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1" showHorizontalScroll="1" showVerticalScroll="1" showSheetTabs="1" xWindow="4455" yWindow="3885" windowWidth="18000" windowHeight="9360" tabRatio="600" firstSheet="0" activeTab="2" autoFilterDateGrouping="1"/>
  </bookViews>
  <sheets>
    <sheet name="ص امضاء" sheetId="1" state="visible" r:id="rId1"/>
    <sheet name="راهنما" sheetId="2" state="visible" r:id="rId2"/>
    <sheet name="Info" sheetId="3" state="visible" r:id="rId3"/>
    <sheet name="جدول نمونه" sheetId="4" state="visible" r:id="rId4"/>
    <sheet name="یکجا" sheetId="5" state="hidden" r:id="rId5"/>
    <sheet name="MIDAS" sheetId="6" state="hidden" r:id="rId6"/>
    <sheet name="Rates" sheetId="7" state="hidden" r:id="rId7"/>
  </sheets>
  <definedNames>
    <definedName name="پرريسک">Info!$L$7</definedName>
    <definedName name="رشد">Info!$N$7</definedName>
    <definedName name="رشد1">Info!$M$7:$M$10</definedName>
    <definedName name="کم_ريسک">Info!$O$7</definedName>
    <definedName name="متوسط_ريسک">Info!$P$7</definedName>
  </definedNames>
  <calcPr calcId="191028" fullCalcOnLoad="1"/>
</workbook>
</file>

<file path=xl/styles.xml><?xml version="1.0" encoding="utf-8"?>
<styleSheet xmlns="http://schemas.openxmlformats.org/spreadsheetml/2006/main">
  <numFmts count="6">
    <numFmt numFmtId="164" formatCode="#,##0.0"/>
    <numFmt numFmtId="165" formatCode="#,##0.000"/>
    <numFmt numFmtId="166" formatCode="0.0000"/>
    <numFmt numFmtId="167" formatCode="0.000000"/>
    <numFmt numFmtId="168" formatCode="0.0%"/>
    <numFmt numFmtId="169" formatCode="_-* #,##0_-;_-* #,##0\-;_-* &quot;-&quot;??_-;_-@_-"/>
  </numFmts>
  <fonts count="28">
    <font>
      <name val="Calibri"/>
      <family val="2"/>
      <color theme="1"/>
      <sz val="11"/>
      <scheme val="minor"/>
    </font>
    <font>
      <name val="B Mitra"/>
      <charset val="178"/>
      <color theme="1"/>
      <sz val="11"/>
    </font>
    <font>
      <name val="Times New Roman"/>
      <family val="1"/>
      <color theme="1"/>
      <sz val="11"/>
    </font>
    <font>
      <name val="B Mitra"/>
      <charset val="178"/>
      <b val="1"/>
      <color theme="1"/>
      <sz val="11"/>
    </font>
    <font>
      <name val="B Mitra"/>
      <charset val="178"/>
      <color indexed="16"/>
      <sz val="11"/>
    </font>
    <font>
      <name val="B Mitra"/>
      <charset val="178"/>
      <color indexed="56"/>
      <sz val="11"/>
    </font>
    <font>
      <name val="B Mitra"/>
      <charset val="178"/>
      <color indexed="8"/>
      <sz val="11"/>
    </font>
    <font>
      <name val="B Nazanin"/>
      <charset val="178"/>
      <color indexed="16"/>
      <sz val="11"/>
    </font>
    <font>
      <name val="B Nazanin"/>
      <charset val="178"/>
      <color indexed="56"/>
      <sz val="11"/>
    </font>
    <font>
      <name val="Calibri"/>
      <charset val="178"/>
      <family val="2"/>
      <color theme="1"/>
      <sz val="11"/>
    </font>
    <font>
      <name val="B Nazanin"/>
      <charset val="178"/>
      <b val="1"/>
      <color theme="1"/>
      <sz val="11"/>
    </font>
    <font>
      <name val="Times New Roman"/>
      <family val="1"/>
      <b val="1"/>
      <color theme="1"/>
      <sz val="11"/>
    </font>
    <font>
      <name val="B Nazanin"/>
      <charset val="178"/>
      <b val="1"/>
      <color theme="1"/>
      <sz val="12"/>
    </font>
    <font>
      <name val="B Titr"/>
      <charset val="178"/>
      <color theme="1"/>
      <sz val="12"/>
    </font>
    <font>
      <name val="B Nazanin"/>
      <charset val="178"/>
      <b val="1"/>
      <color theme="1"/>
      <sz val="14"/>
    </font>
    <font>
      <name val="B Nazanin"/>
      <charset val="178"/>
      <color theme="1"/>
      <sz val="11"/>
    </font>
    <font>
      <name val="B Nazanin"/>
      <charset val="178"/>
      <color theme="1"/>
      <sz val="12"/>
    </font>
    <font>
      <name val="B Mitra"/>
      <charset val="178"/>
      <color theme="1"/>
      <sz val="10"/>
    </font>
    <font>
      <name val="B Mitra"/>
      <charset val="178"/>
      <color theme="1"/>
      <sz val="9"/>
    </font>
    <font>
      <name val="B Mitra"/>
      <charset val="178"/>
      <color theme="1"/>
      <sz val="12"/>
    </font>
    <font>
      <name val="Calibri"/>
      <family val="2"/>
      <color theme="1"/>
      <sz val="11"/>
      <scheme val="minor"/>
    </font>
    <font>
      <name val="Times New Roman"/>
      <family val="1"/>
      <color rgb="FF00B0F0"/>
      <sz val="11"/>
    </font>
    <font>
      <name val="Times New Roman"/>
      <charset val="178"/>
      <family val="1"/>
      <b val="1"/>
      <color theme="1"/>
      <sz val="11"/>
    </font>
    <font>
      <name val="Calibri"/>
      <family val="2"/>
      <color rgb="FF00B0F0"/>
      <sz val="11"/>
      <scheme val="minor"/>
    </font>
    <font>
      <b val="1"/>
      <color rgb="00FFFFFF"/>
    </font>
    <font>
      <color rgb="00FFFFFF"/>
    </font>
    <font>
      <b val="1"/>
      <color rgb="00FFFFFF"/>
      <sz val="16"/>
    </font>
    <font>
      <color rgb="00666666"/>
      <sz val="6"/>
    </font>
  </fonts>
  <fills count="27">
    <fill>
      <patternFill/>
    </fill>
    <fill>
      <patternFill patternType="gray125"/>
    </fill>
    <fill>
      <patternFill patternType="solid">
        <fgColor theme="6" tint="0.3999755851924192"/>
        <bgColor indexed="64"/>
      </patternFill>
    </fill>
    <fill>
      <patternFill patternType="solid">
        <fgColor theme="6" tint="-0.249977111117893"/>
        <bgColor indexed="64"/>
      </patternFill>
    </fill>
    <fill>
      <patternFill patternType="solid">
        <fgColor theme="4" tint="0.5999938962981048"/>
        <bgColor indexed="64"/>
      </patternFill>
    </fill>
    <fill>
      <patternFill patternType="solid">
        <fgColor theme="4" tint="0.7999816888943144"/>
        <bgColor indexed="64"/>
      </patternFill>
    </fill>
    <fill>
      <patternFill patternType="solid">
        <fgColor theme="0"/>
        <bgColor indexed="64"/>
      </patternFill>
    </fill>
    <fill>
      <patternFill patternType="solid">
        <fgColor theme="3" tint="0.7999816888943144"/>
        <bgColor indexed="64"/>
      </patternFill>
    </fill>
    <fill>
      <patternFill patternType="solid">
        <fgColor theme="9" tint="0.3999755851924192"/>
        <bgColor indexed="64"/>
      </patternFill>
    </fill>
    <fill>
      <patternFill patternType="solid">
        <fgColor theme="9"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theme="5" tint="0.5999938962981048"/>
        <bgColor indexed="64"/>
      </patternFill>
    </fill>
    <fill>
      <patternFill patternType="solid">
        <fgColor theme="3" tint="0.5999938962981048"/>
        <bgColor indexed="64"/>
      </patternFill>
    </fill>
    <fill>
      <patternFill patternType="solid">
        <fgColor theme="2" tint="-0.249977111117893"/>
        <bgColor indexed="64"/>
      </patternFill>
    </fill>
    <fill>
      <patternFill patternType="solid">
        <fgColor theme="7" tint="0.3999755851924192"/>
        <bgColor indexed="64"/>
      </patternFill>
    </fill>
    <fill>
      <patternFill patternType="solid">
        <fgColor theme="5" tint="0.7999816888943144"/>
        <bgColor indexed="64"/>
      </patternFill>
    </fill>
    <fill>
      <patternFill patternType="solid">
        <fgColor theme="2" tint="-0.09997863704336681"/>
        <bgColor indexed="64"/>
      </patternFill>
    </fill>
    <fill>
      <patternFill patternType="solid">
        <fgColor theme="8" tint="-0.249977111117893"/>
        <bgColor indexed="64"/>
      </patternFill>
    </fill>
    <fill>
      <patternFill patternType="solid">
        <fgColor theme="8" tint="0.3999755851924192"/>
        <bgColor indexed="64"/>
      </patternFill>
    </fill>
    <fill>
      <patternFill patternType="solid">
        <fgColor theme="0" tint="-0.249977111117893"/>
        <bgColor indexed="64"/>
      </patternFill>
    </fill>
    <fill>
      <patternFill patternType="solid">
        <fgColor theme="0" tint="-0.0499893185216834"/>
        <bgColor indexed="64"/>
      </patternFill>
    </fill>
    <fill>
      <patternFill patternType="solid">
        <fgColor rgb="FFFFFF00"/>
        <bgColor indexed="64"/>
      </patternFill>
    </fill>
    <fill>
      <patternFill patternType="darkGray">
        <bgColor theme="6" tint="-0.249977111117893"/>
      </patternFill>
    </fill>
    <fill>
      <patternFill patternType="darkGray"/>
    </fill>
    <fill>
      <patternFill patternType="solid">
        <fgColor rgb="0000B4FF"/>
        <bgColor rgb="0000B4FF"/>
      </patternFill>
    </fill>
    <fill>
      <patternFill patternType="solid">
        <fgColor rgb="00003366"/>
        <bgColor rgb="00003366"/>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theme="3" tint="-0.249946592608417"/>
      </left>
      <right/>
      <top/>
      <bottom/>
      <diagonal/>
    </border>
    <border>
      <left style="medium">
        <color theme="4" tint="-0.249946592608417"/>
      </left>
      <right style="medium">
        <color theme="4" tint="-0.249946592608417"/>
      </right>
      <top style="medium">
        <color theme="4" tint="-0.249946592608417"/>
      </top>
      <bottom style="medium">
        <color theme="4" tint="-0.249946592608417"/>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ck">
        <color theme="3"/>
      </left>
      <right/>
      <top/>
      <bottom/>
      <diagonal/>
    </border>
    <border>
      <left/>
      <right style="medium">
        <color theme="4" tint="-0.249946592608417"/>
      </right>
      <top style="medium">
        <color theme="4" tint="-0.249946592608417"/>
      </top>
      <bottom style="medium">
        <color theme="4" tint="-0.249946592608417"/>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right style="medium">
        <color theme="3"/>
      </right>
      <top/>
      <bottom/>
      <diagonal/>
    </border>
    <border>
      <left style="medium">
        <color theme="3"/>
      </left>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right/>
      <top style="medium">
        <color theme="4" tint="-0.249946592608417"/>
      </top>
      <bottom style="medium">
        <color theme="4" tint="-0.249946592608417"/>
      </bottom>
      <diagonal/>
    </border>
    <border>
      <left/>
      <right/>
      <top style="medium">
        <color theme="3"/>
      </top>
      <bottom style="medium">
        <color theme="4" tint="-0.249946592608417"/>
      </bottom>
      <diagonal/>
    </border>
    <border>
      <left style="medium">
        <color theme="4" tint="-0.499984740745262"/>
      </left>
      <right style="medium">
        <color theme="4" tint="-0.499984740745262"/>
      </right>
      <top style="medium">
        <color theme="4" tint="-0.499984740745262"/>
      </top>
      <bottom/>
      <diagonal/>
    </border>
    <border>
      <left style="medium">
        <color theme="4" tint="-0.499984740745262"/>
      </left>
      <right/>
      <top style="medium">
        <color theme="4" tint="-0.499984740745262"/>
      </top>
      <bottom/>
      <diagonal/>
    </border>
    <border>
      <left/>
      <right/>
      <top style="medium">
        <color theme="4" tint="-0.499984740745262"/>
      </top>
      <bottom/>
      <diagonal/>
    </border>
    <border>
      <left/>
      <right style="medium">
        <color theme="4" tint="-0.499984740745262"/>
      </right>
      <top style="medium">
        <color theme="4" tint="-0.499984740745262"/>
      </top>
      <bottom/>
      <diagonal/>
    </border>
    <border>
      <left style="medium">
        <color theme="4" tint="-0.499984740745262"/>
      </left>
      <right style="medium">
        <color theme="4" tint="-0.499984740745262"/>
      </right>
      <top/>
      <bottom style="medium">
        <color theme="4" tint="-0.499984740745262"/>
      </bottom>
      <diagonal/>
    </border>
    <border>
      <left style="medium">
        <color theme="4" tint="-0.499984740745262"/>
      </left>
      <right/>
      <top/>
      <bottom style="medium">
        <color theme="4" tint="-0.499984740745262"/>
      </bottom>
      <diagonal/>
    </border>
    <border>
      <left/>
      <right/>
      <top/>
      <bottom style="medium">
        <color theme="4" tint="-0.499984740745262"/>
      </bottom>
      <diagonal/>
    </border>
    <border>
      <left/>
      <right style="medium">
        <color theme="4" tint="-0.499984740745262"/>
      </right>
      <top/>
      <bottom style="medium">
        <color theme="4" tint="-0.499984740745262"/>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4" tint="-0.499984740745262"/>
      </left>
      <right/>
      <top/>
      <bottom/>
      <diagonal/>
    </border>
    <border>
      <left/>
      <right style="medium">
        <color theme="4" tint="-0.499984740745262"/>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theme="4" tint="-0.499984740745262"/>
      </top>
      <bottom/>
      <diagonal/>
    </border>
    <border>
      <left style="medium">
        <color indexed="64"/>
      </left>
      <right/>
      <top/>
      <bottom style="medium">
        <color theme="4" tint="-0.499984740745262"/>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medium">
        <color theme="4" tint="-0.499984740745262"/>
      </left>
      <right style="medium">
        <color theme="4" tint="-0.499984740745262"/>
      </right>
      <top style="medium">
        <color theme="4" tint="-0.499984740745262"/>
      </top>
      <bottom style="medium">
        <color theme="4" tint="-0.499984740745262"/>
      </bottom>
      <diagonal/>
    </border>
    <border>
      <left style="medium">
        <color indexed="64"/>
      </left>
      <right style="medium">
        <color theme="4" tint="-0.499984740745262"/>
      </right>
      <top style="medium">
        <color theme="4" tint="-0.499984740745262"/>
      </top>
      <bottom style="medium">
        <color theme="4" tint="-0.499984740745262"/>
      </bottom>
      <diagonal/>
    </border>
    <border>
      <left style="medium">
        <color indexed="64"/>
      </left>
      <right/>
      <top/>
      <bottom/>
      <diagonal/>
    </border>
    <border>
      <left/>
      <right/>
      <top style="medium">
        <color indexed="64"/>
      </top>
      <bottom/>
      <diagonal/>
    </border>
    <border>
      <left/>
      <right style="medium">
        <color indexed="64"/>
      </right>
      <top/>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s>
  <cellStyleXfs count="4">
    <xf numFmtId="0" fontId="20" fillId="0" borderId="0"/>
    <xf numFmtId="0" fontId="9" fillId="0" borderId="0"/>
    <xf numFmtId="9" fontId="20" fillId="0" borderId="0"/>
    <xf numFmtId="43" fontId="20" fillId="0" borderId="0"/>
  </cellStyleXfs>
  <cellXfs count="265">
    <xf numFmtId="0" fontId="0" fillId="0" borderId="0" pivotButton="0" quotePrefix="0" xfId="0"/>
    <xf numFmtId="0" fontId="15" fillId="0" borderId="0" applyProtection="1" pivotButton="0" quotePrefix="0" xfId="0">
      <protection locked="1" hidden="1"/>
    </xf>
    <xf numFmtId="0" fontId="10" fillId="0" borderId="42" applyProtection="1" pivotButton="0" quotePrefix="0" xfId="0">
      <protection locked="1" hidden="1"/>
    </xf>
    <xf numFmtId="0" fontId="15" fillId="0" borderId="42" applyProtection="1" pivotButton="0" quotePrefix="0" xfId="0">
      <protection locked="1" hidden="1"/>
    </xf>
    <xf numFmtId="0" fontId="10" fillId="20" borderId="41" applyAlignment="1" applyProtection="1" pivotButton="0" quotePrefix="0" xfId="0">
      <alignment horizontal="center" vertical="center"/>
      <protection locked="1" hidden="1"/>
    </xf>
    <xf numFmtId="0" fontId="10" fillId="0" borderId="42" applyAlignment="1" applyProtection="1" pivotButton="0" quotePrefix="0" xfId="0">
      <alignment horizontal="center" vertical="center"/>
      <protection locked="1" hidden="1"/>
    </xf>
    <xf numFmtId="0" fontId="10" fillId="20" borderId="41" applyAlignment="1" applyProtection="1" pivotButton="0" quotePrefix="0" xfId="0">
      <alignment horizontal="center" vertical="center" wrapText="1"/>
      <protection locked="1" hidden="1"/>
    </xf>
    <xf numFmtId="3" fontId="10" fillId="20" borderId="41" applyAlignment="1" applyProtection="1" pivotButton="0" quotePrefix="0" xfId="0">
      <alignment horizontal="center" vertical="center" wrapText="1"/>
      <protection locked="1" hidden="1"/>
    </xf>
    <xf numFmtId="3" fontId="16" fillId="6" borderId="44" applyAlignment="1" applyProtection="1" pivotButton="0" quotePrefix="0" xfId="0">
      <alignment horizontal="center" vertical="center"/>
      <protection locked="1" hidden="1"/>
    </xf>
    <xf numFmtId="0" fontId="16" fillId="6" borderId="44" applyAlignment="1" applyProtection="1" pivotButton="0" quotePrefix="0" xfId="0">
      <alignment horizontal="center" vertical="center"/>
      <protection locked="1" hidden="1"/>
    </xf>
    <xf numFmtId="0" fontId="16" fillId="6" borderId="43" applyAlignment="1" applyProtection="1" pivotButton="0" quotePrefix="0" xfId="0">
      <alignment horizontal="center" vertical="center"/>
      <protection locked="1" hidden="1"/>
    </xf>
    <xf numFmtId="3" fontId="16" fillId="21" borderId="45" applyAlignment="1" applyProtection="1" pivotButton="0" quotePrefix="0" xfId="0">
      <alignment horizontal="center" vertical="center"/>
      <protection locked="1" hidden="1"/>
    </xf>
    <xf numFmtId="3" fontId="16" fillId="21" borderId="1" applyAlignment="1" applyProtection="1" pivotButton="0" quotePrefix="0" xfId="0">
      <alignment horizontal="center" vertical="center"/>
      <protection locked="1" hidden="1"/>
    </xf>
    <xf numFmtId="3" fontId="16" fillId="6" borderId="1" applyAlignment="1" applyProtection="1" pivotButton="0" quotePrefix="0" xfId="0">
      <alignment horizontal="center" vertical="center"/>
      <protection locked="1" hidden="1"/>
    </xf>
    <xf numFmtId="0" fontId="16" fillId="21" borderId="1" applyAlignment="1" applyProtection="1" pivotButton="0" quotePrefix="0" xfId="0">
      <alignment horizontal="center" vertical="center"/>
      <protection locked="1" hidden="1"/>
    </xf>
    <xf numFmtId="0" fontId="16" fillId="21" borderId="5" applyAlignment="1" applyProtection="1" pivotButton="0" quotePrefix="0" xfId="0">
      <alignment horizontal="center" vertical="center"/>
      <protection locked="1" hidden="1"/>
    </xf>
    <xf numFmtId="3" fontId="16" fillId="6" borderId="45" applyAlignment="1" applyProtection="1" pivotButton="0" quotePrefix="0" xfId="0">
      <alignment horizontal="center" vertical="center"/>
      <protection locked="1" hidden="1"/>
    </xf>
    <xf numFmtId="0" fontId="16" fillId="6" borderId="1" applyAlignment="1" applyProtection="1" pivotButton="0" quotePrefix="0" xfId="0">
      <alignment horizontal="center" vertical="center"/>
      <protection locked="1" hidden="1"/>
    </xf>
    <xf numFmtId="0" fontId="16" fillId="6" borderId="5" applyAlignment="1" applyProtection="1" pivotButton="0" quotePrefix="0" xfId="0">
      <alignment horizontal="center" vertical="center"/>
      <protection locked="1" hidden="1"/>
    </xf>
    <xf numFmtId="0" fontId="0" fillId="0" borderId="0" applyProtection="1" pivotButton="0" quotePrefix="0" xfId="0">
      <protection locked="1" hidden="1"/>
    </xf>
    <xf numFmtId="3" fontId="0" fillId="0" borderId="0" applyProtection="1" pivotButton="0" quotePrefix="0" xfId="0">
      <protection locked="1" hidden="1"/>
    </xf>
    <xf numFmtId="10" fontId="10" fillId="20" borderId="41" applyAlignment="1" applyProtection="1" pivotButton="0" quotePrefix="0" xfId="0">
      <alignment horizontal="center" vertical="center" wrapText="1"/>
      <protection locked="1" hidden="1"/>
    </xf>
    <xf numFmtId="0" fontId="15" fillId="6" borderId="4" applyAlignment="1" applyProtection="1" pivotButton="0" quotePrefix="0" xfId="0">
      <alignment horizontal="center" vertical="center"/>
      <protection locked="0" hidden="0"/>
    </xf>
    <xf numFmtId="0" fontId="15" fillId="6" borderId="4" applyAlignment="1" applyProtection="1" pivotButton="0" quotePrefix="0" xfId="0">
      <alignment horizontal="center" vertical="center"/>
      <protection locked="1" hidden="1"/>
    </xf>
    <xf numFmtId="3" fontId="15" fillId="6" borderId="4" applyAlignment="1" applyProtection="1" pivotButton="0" quotePrefix="0" xfId="0">
      <alignment horizontal="center" vertical="center" wrapText="1"/>
      <protection locked="0" hidden="0"/>
    </xf>
    <xf numFmtId="9" fontId="15" fillId="0" borderId="4" applyAlignment="1" applyProtection="1" pivotButton="0" quotePrefix="0" xfId="0">
      <alignment horizontal="center" vertical="center" wrapText="1"/>
      <protection locked="0" hidden="0"/>
    </xf>
    <xf numFmtId="1" fontId="15" fillId="0" borderId="4" applyAlignment="1" applyProtection="1" pivotButton="0" quotePrefix="0" xfId="0">
      <alignment horizontal="center" vertical="center" wrapText="1"/>
      <protection locked="0" hidden="0"/>
    </xf>
    <xf numFmtId="9" fontId="15" fillId="6" borderId="4" applyAlignment="1" applyProtection="1" pivotButton="0" quotePrefix="0" xfId="2">
      <alignment horizontal="center" vertical="center" wrapText="1"/>
      <protection locked="0" hidden="0"/>
    </xf>
    <xf numFmtId="0" fontId="15" fillId="0" borderId="4" applyAlignment="1" applyProtection="1" pivotButton="0" quotePrefix="0" xfId="0">
      <alignment horizontal="center" vertical="center" wrapText="1"/>
      <protection locked="0" hidden="0"/>
    </xf>
    <xf numFmtId="2" fontId="15" fillId="0" borderId="4" applyAlignment="1" applyProtection="1" pivotButton="0" quotePrefix="0" xfId="0">
      <alignment horizontal="center" vertical="center"/>
      <protection locked="0" hidden="0"/>
    </xf>
    <xf numFmtId="3" fontId="15" fillId="0" borderId="4" applyAlignment="1" applyProtection="1" pivotButton="0" quotePrefix="0" xfId="0">
      <alignment horizontal="center" vertical="center"/>
      <protection locked="0" hidden="0"/>
    </xf>
    <xf numFmtId="0" fontId="15" fillId="0" borderId="4" applyAlignment="1" applyProtection="1" pivotButton="0" quotePrefix="0" xfId="0">
      <alignment horizontal="center" vertical="center"/>
      <protection locked="0" hidden="0"/>
    </xf>
    <xf numFmtId="3" fontId="15" fillId="0" borderId="4" applyAlignment="1" applyProtection="1" pivotButton="0" quotePrefix="0" xfId="0">
      <alignment horizontal="center" vertical="center" wrapText="1"/>
      <protection locked="0" hidden="0"/>
    </xf>
    <xf numFmtId="10" fontId="15" fillId="0" borderId="4" applyAlignment="1" applyProtection="1" pivotButton="0" quotePrefix="0" xfId="0">
      <alignment horizontal="center" vertical="center" wrapText="1"/>
      <protection locked="1" hidden="1"/>
    </xf>
    <xf numFmtId="0" fontId="3" fillId="2" borderId="9" applyAlignment="1" applyProtection="1" pivotButton="0" quotePrefix="0" xfId="0">
      <alignment horizontal="center" vertical="center"/>
      <protection locked="1" hidden="1"/>
    </xf>
    <xf numFmtId="0" fontId="3" fillId="2" borderId="10" applyAlignment="1" applyProtection="1" pivotButton="0" quotePrefix="0" xfId="0">
      <alignment horizontal="center" vertical="center"/>
      <protection locked="1" hidden="1"/>
    </xf>
    <xf numFmtId="0" fontId="3" fillId="14" borderId="10" applyAlignment="1" applyProtection="1" pivotButton="0" quotePrefix="0" xfId="0">
      <alignment horizontal="center" vertical="center"/>
      <protection locked="1" hidden="1"/>
    </xf>
    <xf numFmtId="3" fontId="3" fillId="14" borderId="10" applyAlignment="1" applyProtection="1" pivotButton="0" quotePrefix="0" xfId="0">
      <alignment horizontal="center" vertical="center"/>
      <protection locked="1" hidden="1"/>
    </xf>
    <xf numFmtId="0" fontId="3" fillId="12" borderId="10" applyAlignment="1" applyProtection="1" pivotButton="0" quotePrefix="0" xfId="0">
      <alignment horizontal="center" vertical="center"/>
      <protection locked="1" hidden="1"/>
    </xf>
    <xf numFmtId="0" fontId="3" fillId="13" borderId="10" applyAlignment="1" applyProtection="1" pivotButton="0" quotePrefix="0" xfId="0">
      <alignment horizontal="center" vertical="center"/>
      <protection locked="1" hidden="1"/>
    </xf>
    <xf numFmtId="0" fontId="3" fillId="8" borderId="10" applyAlignment="1" applyProtection="1" pivotButton="0" quotePrefix="0" xfId="0">
      <alignment horizontal="center" vertical="center"/>
      <protection locked="1" hidden="1"/>
    </xf>
    <xf numFmtId="0" fontId="3" fillId="15" borderId="10" applyAlignment="1" applyProtection="1" pivotButton="0" quotePrefix="0" xfId="0">
      <alignment horizontal="center" vertical="center"/>
      <protection locked="1" hidden="1"/>
    </xf>
    <xf numFmtId="3" fontId="1" fillId="11" borderId="7" applyAlignment="1" applyProtection="1" pivotButton="0" quotePrefix="0" xfId="0">
      <alignment horizontal="center" vertical="center"/>
      <protection locked="1" hidden="1"/>
    </xf>
    <xf numFmtId="164" fontId="1" fillId="17" borderId="7" applyAlignment="1" applyProtection="1" pivotButton="0" quotePrefix="0" xfId="0">
      <alignment horizontal="center" vertical="center"/>
      <protection locked="1" hidden="1"/>
    </xf>
    <xf numFmtId="3" fontId="1" fillId="17" borderId="7" applyAlignment="1" applyProtection="1" pivotButton="0" quotePrefix="0" xfId="0">
      <alignment horizontal="center" vertical="center"/>
      <protection locked="1" hidden="1"/>
    </xf>
    <xf numFmtId="164" fontId="1" fillId="16" borderId="7" applyAlignment="1" applyProtection="1" pivotButton="0" quotePrefix="0" xfId="0">
      <alignment horizontal="center" vertical="center"/>
      <protection locked="1" hidden="1"/>
    </xf>
    <xf numFmtId="164" fontId="1" fillId="7" borderId="7" applyAlignment="1" applyProtection="1" pivotButton="0" quotePrefix="0" xfId="0">
      <alignment horizontal="center" vertical="center"/>
      <protection locked="1" hidden="1"/>
    </xf>
    <xf numFmtId="165" fontId="1" fillId="7" borderId="7" applyAlignment="1" applyProtection="1" pivotButton="0" quotePrefix="0" xfId="0">
      <alignment horizontal="center" vertical="center"/>
      <protection locked="1" hidden="1"/>
    </xf>
    <xf numFmtId="164" fontId="1" fillId="9" borderId="7" applyAlignment="1" applyProtection="1" pivotButton="0" quotePrefix="0" xfId="0">
      <alignment horizontal="center" vertical="center"/>
      <protection locked="1" hidden="1"/>
    </xf>
    <xf numFmtId="0" fontId="1" fillId="10" borderId="7" applyAlignment="1" applyProtection="1" pivotButton="0" quotePrefix="0" xfId="0">
      <alignment horizontal="center" vertical="center"/>
      <protection locked="1" hidden="1"/>
    </xf>
    <xf numFmtId="164" fontId="0" fillId="0" borderId="0" applyProtection="1" pivotButton="0" quotePrefix="0" xfId="0">
      <protection locked="1" hidden="1"/>
    </xf>
    <xf numFmtId="3" fontId="1" fillId="11" borderId="1" applyAlignment="1" applyProtection="1" pivotButton="0" quotePrefix="0" xfId="0">
      <alignment horizontal="center" vertical="center"/>
      <protection locked="1" hidden="1"/>
    </xf>
    <xf numFmtId="164" fontId="1" fillId="17" borderId="1" applyAlignment="1" applyProtection="1" pivotButton="0" quotePrefix="0" xfId="0">
      <alignment horizontal="center" vertical="center"/>
      <protection locked="1" hidden="1"/>
    </xf>
    <xf numFmtId="3" fontId="1" fillId="17" borderId="1" applyAlignment="1" applyProtection="1" pivotButton="0" quotePrefix="0" xfId="0">
      <alignment horizontal="center" vertical="center"/>
      <protection locked="1" hidden="1"/>
    </xf>
    <xf numFmtId="164" fontId="1" fillId="7" borderId="1" applyAlignment="1" applyProtection="1" pivotButton="0" quotePrefix="0" xfId="0">
      <alignment horizontal="center" vertical="center"/>
      <protection locked="1" hidden="1"/>
    </xf>
    <xf numFmtId="164" fontId="1" fillId="16" borderId="1" applyAlignment="1" applyProtection="1" pivotButton="0" quotePrefix="0" xfId="0">
      <alignment horizontal="center" vertical="center"/>
      <protection locked="1" hidden="1"/>
    </xf>
    <xf numFmtId="164" fontId="1" fillId="9" borderId="1" applyAlignment="1" applyProtection="1" pivotButton="0" quotePrefix="0" xfId="0">
      <alignment horizontal="center" vertical="center"/>
      <protection locked="1" hidden="1"/>
    </xf>
    <xf numFmtId="0" fontId="1" fillId="10" borderId="1" applyAlignment="1" applyProtection="1" pivotButton="0" quotePrefix="0" xfId="0">
      <alignment horizontal="center" vertical="center"/>
      <protection locked="1" hidden="1"/>
    </xf>
    <xf numFmtId="164" fontId="1" fillId="17" borderId="6" applyAlignment="1" applyProtection="1" pivotButton="0" quotePrefix="0" xfId="0">
      <alignment horizontal="center" vertical="center"/>
      <protection locked="1" hidden="1"/>
    </xf>
    <xf numFmtId="164" fontId="1" fillId="7" borderId="6" applyAlignment="1" applyProtection="1" pivotButton="0" quotePrefix="0" xfId="0">
      <alignment horizontal="center" vertical="center"/>
      <protection locked="1" hidden="1"/>
    </xf>
    <xf numFmtId="164" fontId="1" fillId="16" borderId="6" applyAlignment="1" applyProtection="1" pivotButton="0" quotePrefix="0" xfId="0">
      <alignment horizontal="center" vertical="center"/>
      <protection locked="1" hidden="1"/>
    </xf>
    <xf numFmtId="164" fontId="1" fillId="9" borderId="6" applyAlignment="1" applyProtection="1" pivotButton="0" quotePrefix="0" xfId="0">
      <alignment horizontal="center" vertical="center"/>
      <protection locked="1" hidden="1"/>
    </xf>
    <xf numFmtId="0" fontId="1" fillId="10" borderId="6" applyAlignment="1" applyProtection="1" pivotButton="0" quotePrefix="0" xfId="0">
      <alignment horizontal="center" vertical="center"/>
      <protection locked="1" hidden="1"/>
    </xf>
    <xf numFmtId="0" fontId="3" fillId="15" borderId="17" applyAlignment="1" applyProtection="1" pivotButton="0" quotePrefix="0" xfId="0">
      <alignment horizontal="center" vertical="center"/>
      <protection locked="1" hidden="1"/>
    </xf>
    <xf numFmtId="0" fontId="3" fillId="15" borderId="11" applyAlignment="1" applyProtection="1" pivotButton="0" quotePrefix="0" xfId="0">
      <alignment horizontal="center" vertical="center"/>
      <protection locked="1" hidden="1"/>
    </xf>
    <xf numFmtId="3" fontId="1" fillId="9" borderId="7" applyAlignment="1" applyProtection="1" pivotButton="0" quotePrefix="0" xfId="0">
      <alignment horizontal="center" vertical="center"/>
      <protection locked="1" hidden="1"/>
    </xf>
    <xf numFmtId="0" fontId="1" fillId="10" borderId="18" applyAlignment="1" applyProtection="1" pivotButton="0" quotePrefix="0" xfId="0">
      <alignment horizontal="center" vertical="center"/>
      <protection locked="1" hidden="1"/>
    </xf>
    <xf numFmtId="0" fontId="1" fillId="10" borderId="8" applyAlignment="1" applyProtection="1" pivotButton="0" quotePrefix="0" xfId="0">
      <alignment horizontal="center" vertical="center"/>
      <protection locked="1" hidden="1"/>
    </xf>
    <xf numFmtId="3" fontId="1" fillId="9" borderId="1" applyAlignment="1" applyProtection="1" pivotButton="0" quotePrefix="0" xfId="0">
      <alignment horizontal="center" vertical="center"/>
      <protection locked="1" hidden="1"/>
    </xf>
    <xf numFmtId="0" fontId="1" fillId="10" borderId="5" applyAlignment="1" applyProtection="1" pivotButton="0" quotePrefix="0" xfId="0">
      <alignment horizontal="center" vertical="center"/>
      <protection locked="1" hidden="1"/>
    </xf>
    <xf numFmtId="166" fontId="0" fillId="0" borderId="0" applyProtection="1" pivotButton="0" quotePrefix="0" xfId="0">
      <protection locked="1" hidden="1"/>
    </xf>
    <xf numFmtId="0" fontId="0" fillId="0" borderId="0" applyAlignment="1" applyProtection="1" pivotButton="0" quotePrefix="0" xfId="0">
      <alignment horizontal="center" vertical="center"/>
      <protection locked="1" hidden="1"/>
    </xf>
    <xf numFmtId="0" fontId="2" fillId="18" borderId="1" applyAlignment="1" applyProtection="1" pivotButton="0" quotePrefix="0" xfId="0">
      <alignment horizontal="center" vertical="center"/>
      <protection locked="1" hidden="1"/>
    </xf>
    <xf numFmtId="0" fontId="1" fillId="2" borderId="1" applyAlignment="1" applyProtection="1" pivotButton="0" quotePrefix="0" xfId="0">
      <alignment horizontal="center" vertical="center"/>
      <protection locked="1" hidden="1"/>
    </xf>
    <xf numFmtId="0" fontId="0" fillId="2" borderId="2" applyAlignment="1" applyProtection="1" pivotButton="0" quotePrefix="0" xfId="0">
      <alignment horizontal="center" vertical="center"/>
      <protection locked="1" hidden="1"/>
    </xf>
    <xf numFmtId="0" fontId="2" fillId="4" borderId="1" applyAlignment="1" applyProtection="1" pivotButton="0" quotePrefix="0" xfId="0">
      <alignment horizontal="center" vertical="center"/>
      <protection locked="1" hidden="1"/>
    </xf>
    <xf numFmtId="167" fontId="2" fillId="4" borderId="1" applyAlignment="1" applyProtection="1" pivotButton="0" quotePrefix="0" xfId="0">
      <alignment horizontal="center" vertical="center"/>
      <protection locked="1" hidden="1"/>
    </xf>
    <xf numFmtId="0" fontId="2" fillId="0" borderId="14" applyAlignment="1" applyProtection="1" pivotButton="0" quotePrefix="0" xfId="0">
      <alignment horizontal="center" vertical="center"/>
      <protection locked="1" hidden="1"/>
    </xf>
    <xf numFmtId="0" fontId="1" fillId="0" borderId="14" applyAlignment="1" applyProtection="1" pivotButton="0" quotePrefix="0" xfId="0">
      <alignment horizontal="center" vertical="center"/>
      <protection locked="1" hidden="1"/>
    </xf>
    <xf numFmtId="0" fontId="2" fillId="0" borderId="15" applyAlignment="1" applyProtection="1" pivotButton="0" quotePrefix="0" xfId="0">
      <alignment horizontal="center" vertical="center"/>
      <protection locked="1" hidden="1"/>
    </xf>
    <xf numFmtId="0" fontId="1" fillId="0" borderId="15" applyAlignment="1" applyProtection="1" pivotButton="0" quotePrefix="0" xfId="0">
      <alignment horizontal="center" vertical="center"/>
      <protection locked="1" hidden="1"/>
    </xf>
    <xf numFmtId="0" fontId="2" fillId="0" borderId="16" applyAlignment="1" applyProtection="1" pivotButton="0" quotePrefix="0" xfId="0">
      <alignment horizontal="center" vertical="center"/>
      <protection locked="1" hidden="1"/>
    </xf>
    <xf numFmtId="0" fontId="1" fillId="0" borderId="16" applyAlignment="1" applyProtection="1" pivotButton="0" quotePrefix="0" xfId="0">
      <alignment horizontal="center" vertical="center"/>
      <protection locked="1" hidden="1"/>
    </xf>
    <xf numFmtId="40" fontId="2" fillId="0" borderId="1" applyAlignment="1" applyProtection="1" pivotButton="0" quotePrefix="0" xfId="0">
      <alignment horizontal="center" vertical="center"/>
      <protection locked="1" hidden="1"/>
    </xf>
    <xf numFmtId="0" fontId="1" fillId="0" borderId="1" applyAlignment="1" applyProtection="1" pivotButton="0" quotePrefix="0" xfId="0">
      <alignment horizontal="center" vertical="center"/>
      <protection locked="1" hidden="1"/>
    </xf>
    <xf numFmtId="0" fontId="21" fillId="0" borderId="1" applyAlignment="1" applyProtection="1" pivotButton="0" quotePrefix="0" xfId="0">
      <alignment horizontal="center" vertical="center"/>
      <protection locked="1" hidden="1"/>
    </xf>
    <xf numFmtId="0" fontId="2" fillId="0" borderId="0" applyAlignment="1" applyProtection="1" pivotButton="0" quotePrefix="0" xfId="0">
      <alignment horizontal="center" vertical="center"/>
      <protection locked="1" hidden="1"/>
    </xf>
    <xf numFmtId="10" fontId="2" fillId="0" borderId="1" applyAlignment="1" applyProtection="1" pivotButton="0" quotePrefix="0" xfId="2">
      <alignment horizontal="center" vertical="center"/>
      <protection locked="1" hidden="1"/>
    </xf>
    <xf numFmtId="0" fontId="1" fillId="3" borderId="1" applyAlignment="1" applyProtection="1" pivotButton="0" quotePrefix="0" xfId="0">
      <alignment horizontal="center" vertical="center" wrapText="1"/>
      <protection locked="1" hidden="1"/>
    </xf>
    <xf numFmtId="0" fontId="0" fillId="0" borderId="0" applyAlignment="1" applyProtection="1" pivotButton="0" quotePrefix="0" xfId="0">
      <alignment horizontal="center" vertical="center" wrapText="1"/>
      <protection locked="1" hidden="1"/>
    </xf>
    <xf numFmtId="0" fontId="1" fillId="18" borderId="1" applyAlignment="1" applyProtection="1" pivotButton="0" quotePrefix="0" xfId="0">
      <alignment horizontal="center" vertical="center" wrapText="1"/>
      <protection locked="1" hidden="1"/>
    </xf>
    <xf numFmtId="0" fontId="2" fillId="18" borderId="1" applyAlignment="1" applyProtection="1" pivotButton="0" quotePrefix="0" xfId="0">
      <alignment horizontal="center" vertical="center" wrapText="1"/>
      <protection locked="1" hidden="1"/>
    </xf>
    <xf numFmtId="0" fontId="6" fillId="19" borderId="14" applyAlignment="1" applyProtection="1" pivotButton="0" quotePrefix="0" xfId="0">
      <alignment horizontal="center" vertical="center" wrapText="1"/>
      <protection locked="1" hidden="1"/>
    </xf>
    <xf numFmtId="0" fontId="0" fillId="0" borderId="0" applyAlignment="1" applyProtection="1" pivotButton="0" quotePrefix="0" xfId="0">
      <alignment wrapText="1"/>
      <protection locked="1" hidden="1"/>
    </xf>
    <xf numFmtId="168" fontId="0" fillId="0" borderId="1" applyAlignment="1" applyProtection="1" pivotButton="0" quotePrefix="0" xfId="2">
      <alignment horizontal="center" vertical="center"/>
      <protection locked="1" hidden="1"/>
    </xf>
    <xf numFmtId="0" fontId="1" fillId="22" borderId="1" applyAlignment="1" applyProtection="1" pivotButton="0" quotePrefix="0" xfId="0">
      <alignment horizontal="center" vertical="center" wrapText="1"/>
      <protection locked="1" hidden="1"/>
    </xf>
    <xf numFmtId="0" fontId="6" fillId="22" borderId="14" applyAlignment="1" applyProtection="1" pivotButton="0" quotePrefix="0" xfId="0">
      <alignment horizontal="center" vertical="center" wrapText="1"/>
      <protection locked="1" hidden="1"/>
    </xf>
    <xf numFmtId="0" fontId="15" fillId="2" borderId="1" applyAlignment="1" applyProtection="1" pivotButton="0" quotePrefix="0" xfId="0">
      <alignment horizontal="center" vertical="center"/>
      <protection locked="1" hidden="1"/>
    </xf>
    <xf numFmtId="0" fontId="2" fillId="0" borderId="1" applyAlignment="1" applyProtection="1" pivotButton="0" quotePrefix="0" xfId="0">
      <alignment horizontal="center" vertical="center" wrapText="1"/>
      <protection locked="1" hidden="1"/>
    </xf>
    <xf numFmtId="0" fontId="1" fillId="23" borderId="1" applyAlignment="1" applyProtection="1" pivotButton="0" quotePrefix="0" xfId="0">
      <alignment horizontal="center" vertical="center" wrapText="1"/>
      <protection locked="1" hidden="1"/>
    </xf>
    <xf numFmtId="0" fontId="2" fillId="24" borderId="1" applyAlignment="1" applyProtection="1" pivotButton="0" quotePrefix="0" xfId="0">
      <alignment horizontal="center" vertical="center"/>
      <protection locked="1" hidden="1"/>
    </xf>
    <xf numFmtId="0" fontId="1" fillId="12" borderId="1" applyAlignment="1" applyProtection="1" pivotButton="0" quotePrefix="0" xfId="0">
      <alignment horizontal="center" vertical="center" wrapText="1"/>
      <protection locked="1" hidden="1"/>
    </xf>
    <xf numFmtId="0" fontId="2" fillId="12" borderId="1" applyAlignment="1" applyProtection="1" pivotButton="0" quotePrefix="0" xfId="0">
      <alignment horizontal="center" vertical="center"/>
      <protection locked="1" hidden="1"/>
    </xf>
    <xf numFmtId="3" fontId="16" fillId="6" borderId="52" applyAlignment="1" applyProtection="1" pivotButton="0" quotePrefix="0" xfId="0">
      <alignment horizontal="center" vertical="center"/>
      <protection locked="1" hidden="1"/>
    </xf>
    <xf numFmtId="3" fontId="16" fillId="21" borderId="38" applyAlignment="1" applyProtection="1" pivotButton="0" quotePrefix="0" xfId="0">
      <alignment horizontal="center" vertical="center"/>
      <protection locked="1" hidden="1"/>
    </xf>
    <xf numFmtId="3" fontId="16" fillId="6" borderId="38" applyAlignment="1" applyProtection="1" pivotButton="0" quotePrefix="0" xfId="0">
      <alignment horizontal="center" vertical="center"/>
      <protection locked="1" hidden="1"/>
    </xf>
    <xf numFmtId="3" fontId="16" fillId="6" borderId="5" applyAlignment="1" applyProtection="1" pivotButton="0" quotePrefix="0" xfId="0">
      <alignment horizontal="center" vertical="center"/>
      <protection locked="1" hidden="1"/>
    </xf>
    <xf numFmtId="3" fontId="16" fillId="21" borderId="5" applyAlignment="1" applyProtection="1" pivotButton="0" quotePrefix="0" xfId="0">
      <alignment horizontal="center" vertical="center"/>
      <protection locked="1" hidden="1"/>
    </xf>
    <xf numFmtId="3" fontId="16" fillId="6" borderId="43" applyAlignment="1" applyProtection="1" pivotButton="0" quotePrefix="0" xfId="0">
      <alignment horizontal="center" vertical="center"/>
      <protection locked="1" hidden="1"/>
    </xf>
    <xf numFmtId="0" fontId="16" fillId="6" borderId="52" applyAlignment="1" applyProtection="1" pivotButton="0" quotePrefix="0" xfId="0">
      <alignment horizontal="center" vertical="center"/>
      <protection locked="1" hidden="1"/>
    </xf>
    <xf numFmtId="0" fontId="16" fillId="21" borderId="38" applyAlignment="1" applyProtection="1" pivotButton="0" quotePrefix="0" xfId="0">
      <alignment horizontal="center" vertical="center"/>
      <protection locked="1" hidden="1"/>
    </xf>
    <xf numFmtId="0" fontId="16" fillId="6" borderId="38" applyAlignment="1" applyProtection="1" pivotButton="0" quotePrefix="0" xfId="0">
      <alignment horizontal="center" vertical="center"/>
      <protection locked="1" hidden="1"/>
    </xf>
    <xf numFmtId="3" fontId="16" fillId="6" borderId="53" applyAlignment="1" applyProtection="1" pivotButton="0" quotePrefix="0" xfId="0">
      <alignment horizontal="center" vertical="center"/>
      <protection locked="1" hidden="1"/>
    </xf>
    <xf numFmtId="3" fontId="16" fillId="6" borderId="7" applyAlignment="1" applyProtection="1" pivotButton="0" quotePrefix="0" xfId="0">
      <alignment horizontal="center" vertical="center"/>
      <protection locked="1" hidden="1"/>
    </xf>
    <xf numFmtId="3" fontId="16" fillId="6" borderId="8" applyAlignment="1" applyProtection="1" pivotButton="0" quotePrefix="0" xfId="0">
      <alignment horizontal="center" vertical="center"/>
      <protection locked="1" hidden="1"/>
    </xf>
    <xf numFmtId="3" fontId="7" fillId="0" borderId="4" applyAlignment="1" applyProtection="1" pivotButton="0" quotePrefix="0" xfId="0">
      <alignment horizontal="center" vertical="center" wrapText="1"/>
      <protection locked="0" hidden="0"/>
    </xf>
    <xf numFmtId="3" fontId="16" fillId="0" borderId="1" applyAlignment="1" applyProtection="1" pivotButton="0" quotePrefix="0" xfId="0">
      <alignment horizontal="center" vertical="center"/>
      <protection locked="1" hidden="1"/>
    </xf>
    <xf numFmtId="43" fontId="7" fillId="6" borderId="4" applyAlignment="1" applyProtection="1" pivotButton="0" quotePrefix="0" xfId="3">
      <alignment horizontal="center" vertical="center" wrapText="1"/>
      <protection locked="1" hidden="1"/>
    </xf>
    <xf numFmtId="0" fontId="2" fillId="0" borderId="1" applyAlignment="1" applyProtection="1" pivotButton="0" quotePrefix="0" xfId="0">
      <alignment horizontal="center" vertical="center"/>
      <protection locked="1" hidden="1"/>
    </xf>
    <xf numFmtId="168" fontId="2" fillId="0" borderId="1" applyAlignment="1" applyProtection="1" pivotButton="0" quotePrefix="0" xfId="2">
      <alignment horizontal="center" vertical="center"/>
      <protection locked="1" hidden="1"/>
    </xf>
    <xf numFmtId="0" fontId="21" fillId="18" borderId="1" applyAlignment="1" applyProtection="1" pivotButton="0" quotePrefix="0" xfId="0">
      <alignment horizontal="center" vertical="center"/>
      <protection locked="1" hidden="1"/>
    </xf>
    <xf numFmtId="0" fontId="9" fillId="6" borderId="0" applyProtection="1" pivotButton="0" quotePrefix="0" xfId="1">
      <protection locked="1" hidden="1"/>
    </xf>
    <xf numFmtId="0" fontId="9" fillId="0" borderId="0" applyProtection="1" pivotButton="0" quotePrefix="0" xfId="1">
      <protection locked="1" hidden="1"/>
    </xf>
    <xf numFmtId="0" fontId="10" fillId="6" borderId="29" applyAlignment="1" applyProtection="1" pivotButton="0" quotePrefix="0" xfId="1">
      <alignment horizontal="center" vertical="center"/>
      <protection locked="1" hidden="1"/>
    </xf>
    <xf numFmtId="0" fontId="9" fillId="6" borderId="29" applyProtection="1" pivotButton="0" quotePrefix="0" xfId="1">
      <protection locked="1" hidden="1"/>
    </xf>
    <xf numFmtId="0" fontId="10" fillId="6" borderId="33" applyAlignment="1" applyProtection="1" pivotButton="0" quotePrefix="0" xfId="1">
      <alignment horizontal="center" vertical="center"/>
      <protection locked="1" hidden="1"/>
    </xf>
    <xf numFmtId="0" fontId="9" fillId="6" borderId="33" applyProtection="1" pivotButton="0" quotePrefix="0" xfId="1">
      <protection locked="1" hidden="1"/>
    </xf>
    <xf numFmtId="0" fontId="12" fillId="0" borderId="0" applyAlignment="1" applyProtection="1" pivotButton="0" quotePrefix="0" xfId="1">
      <alignment horizontal="center" vertical="center" readingOrder="2"/>
      <protection locked="1" hidden="1"/>
    </xf>
    <xf numFmtId="2" fontId="15" fillId="6" borderId="4" applyAlignment="1" applyProtection="1" pivotButton="0" quotePrefix="0" xfId="0">
      <alignment horizontal="center" vertical="center"/>
      <protection locked="0" hidden="0"/>
    </xf>
    <xf numFmtId="0" fontId="17" fillId="5" borderId="19" applyAlignment="1" applyProtection="1" pivotButton="0" quotePrefix="0" xfId="0">
      <alignment horizontal="center" vertical="center"/>
      <protection locked="1" hidden="1"/>
    </xf>
    <xf numFmtId="0" fontId="18" fillId="5" borderId="20" applyAlignment="1" applyProtection="1" pivotButton="0" quotePrefix="0" xfId="0">
      <alignment horizontal="center" vertical="center"/>
      <protection locked="1" hidden="1"/>
    </xf>
    <xf numFmtId="0" fontId="19" fillId="5" borderId="20" applyAlignment="1" applyProtection="1" pivotButton="0" quotePrefix="0" xfId="0">
      <alignment horizontal="center" vertical="center"/>
      <protection locked="1" hidden="1"/>
    </xf>
    <xf numFmtId="0" fontId="17" fillId="5" borderId="21" applyAlignment="1" applyProtection="1" pivotButton="0" quotePrefix="0" xfId="0">
      <alignment horizontal="center" vertical="center"/>
      <protection locked="1" hidden="1"/>
    </xf>
    <xf numFmtId="169" fontId="17" fillId="5" borderId="23" applyProtection="1" pivotButton="0" quotePrefix="0" xfId="0">
      <protection locked="1" hidden="1"/>
    </xf>
    <xf numFmtId="169" fontId="15" fillId="5" borderId="3" applyProtection="1" pivotButton="0" quotePrefix="0" xfId="0">
      <protection locked="1" hidden="1"/>
    </xf>
    <xf numFmtId="169" fontId="17" fillId="5" borderId="22" applyProtection="1" pivotButton="0" quotePrefix="0" xfId="0">
      <protection locked="1" hidden="1"/>
    </xf>
    <xf numFmtId="0" fontId="17" fillId="5" borderId="23" applyAlignment="1" applyProtection="1" pivotButton="0" quotePrefix="0" xfId="0">
      <alignment horizontal="center" vertical="center"/>
      <protection locked="1" hidden="1"/>
    </xf>
    <xf numFmtId="0" fontId="15" fillId="5" borderId="0" applyAlignment="1" applyProtection="1" pivotButton="0" quotePrefix="0" xfId="0">
      <alignment horizontal="center" vertical="center"/>
      <protection locked="1" hidden="1"/>
    </xf>
    <xf numFmtId="0" fontId="17" fillId="5" borderId="22" applyAlignment="1" applyProtection="1" pivotButton="0" quotePrefix="0" xfId="0">
      <alignment horizontal="center" vertical="center"/>
      <protection locked="1" hidden="1"/>
    </xf>
    <xf numFmtId="2" fontId="4" fillId="6" borderId="13" applyAlignment="1" applyProtection="1" pivotButton="0" quotePrefix="0" xfId="0">
      <alignment horizontal="center" vertical="center" wrapText="1"/>
      <protection locked="1" hidden="1"/>
    </xf>
    <xf numFmtId="0" fontId="5" fillId="6" borderId="4" applyAlignment="1" applyProtection="1" pivotButton="0" quotePrefix="0" xfId="0">
      <alignment horizontal="right" vertical="center"/>
      <protection locked="1" hidden="1"/>
    </xf>
    <xf numFmtId="0" fontId="8" fillId="0" borderId="4" applyAlignment="1" applyProtection="1" pivotButton="0" quotePrefix="0" xfId="0">
      <alignment horizontal="center" vertical="center"/>
      <protection locked="1" hidden="1"/>
    </xf>
    <xf numFmtId="2" fontId="4" fillId="6" borderId="13" applyAlignment="1" applyProtection="1" pivotButton="0" quotePrefix="0" xfId="0">
      <alignment horizontal="center" vertical="center"/>
      <protection locked="1" hidden="1"/>
    </xf>
    <xf numFmtId="0" fontId="17" fillId="5" borderId="23" applyProtection="1" pivotButton="0" quotePrefix="0" xfId="0">
      <protection locked="1" hidden="1"/>
    </xf>
    <xf numFmtId="0" fontId="17" fillId="5" borderId="22" applyProtection="1" pivotButton="0" quotePrefix="0" xfId="0">
      <protection locked="1" hidden="1"/>
    </xf>
    <xf numFmtId="2" fontId="4" fillId="6" borderId="0" applyAlignment="1" applyProtection="1" pivotButton="0" quotePrefix="0" xfId="0">
      <alignment horizontal="center" vertical="center"/>
      <protection locked="1" hidden="1"/>
    </xf>
    <xf numFmtId="0" fontId="5" fillId="6" borderId="0" applyAlignment="1" applyProtection="1" pivotButton="0" quotePrefix="0" xfId="0">
      <alignment horizontal="right" vertical="center"/>
      <protection locked="1" hidden="1"/>
    </xf>
    <xf numFmtId="0" fontId="8" fillId="6" borderId="4" applyAlignment="1" applyProtection="1" pivotButton="0" quotePrefix="0" xfId="0">
      <alignment horizontal="center" vertical="center"/>
      <protection locked="1" hidden="1"/>
    </xf>
    <xf numFmtId="0" fontId="17" fillId="5" borderId="24" applyProtection="1" pivotButton="0" quotePrefix="0" xfId="0">
      <protection locked="1" hidden="1"/>
    </xf>
    <xf numFmtId="0" fontId="1" fillId="5" borderId="25" applyAlignment="1" applyProtection="1" pivotButton="0" quotePrefix="0" xfId="0">
      <alignment horizontal="center" vertical="center"/>
      <protection locked="1" hidden="1"/>
    </xf>
    <xf numFmtId="0" fontId="17" fillId="5" borderId="26" applyProtection="1" pivotButton="0" quotePrefix="0" xfId="0">
      <protection locked="1" hidden="1"/>
    </xf>
    <xf numFmtId="0" fontId="1" fillId="5" borderId="0" applyAlignment="1" applyProtection="1" pivotButton="0" quotePrefix="0" xfId="0">
      <alignment horizontal="center" vertical="center"/>
      <protection locked="1" hidden="1"/>
    </xf>
    <xf numFmtId="0" fontId="1" fillId="5" borderId="28" applyAlignment="1" applyProtection="1" pivotButton="0" quotePrefix="0" xfId="0">
      <alignment horizontal="center" vertical="center"/>
      <protection locked="1" hidden="1"/>
    </xf>
    <xf numFmtId="0" fontId="1" fillId="5" borderId="20" applyAlignment="1" applyProtection="1" pivotButton="0" quotePrefix="0" xfId="0">
      <alignment horizontal="center" vertical="center"/>
      <protection locked="1" hidden="1"/>
    </xf>
    <xf numFmtId="0" fontId="17" fillId="5" borderId="21" applyProtection="1" pivotButton="0" quotePrefix="0" xfId="0">
      <protection locked="1" hidden="1"/>
    </xf>
    <xf numFmtId="9" fontId="1" fillId="6" borderId="4" applyAlignment="1" applyProtection="1" pivotButton="0" quotePrefix="0" xfId="0">
      <alignment horizontal="center" vertical="center" wrapText="1"/>
      <protection locked="1" hidden="1"/>
    </xf>
    <xf numFmtId="0" fontId="15" fillId="6" borderId="4" applyAlignment="1" applyProtection="1" pivotButton="0" quotePrefix="0" xfId="0">
      <alignment horizontal="center" vertical="center" wrapText="1"/>
      <protection locked="1" hidden="1"/>
    </xf>
    <xf numFmtId="9" fontId="1" fillId="0" borderId="4" applyAlignment="1" applyProtection="1" pivotButton="0" quotePrefix="0" xfId="0">
      <alignment horizontal="center" vertical="center" wrapText="1"/>
      <protection locked="1" hidden="1"/>
    </xf>
    <xf numFmtId="0" fontId="17" fillId="5" borderId="12" applyProtection="1" pivotButton="0" quotePrefix="0" xfId="0">
      <protection locked="1" hidden="1"/>
    </xf>
    <xf numFmtId="0" fontId="1" fillId="5" borderId="27" applyAlignment="1" applyProtection="1" pivotButton="0" quotePrefix="0" xfId="0">
      <alignment horizontal="center" vertical="center"/>
      <protection locked="1" hidden="1"/>
    </xf>
    <xf numFmtId="2" fontId="7" fillId="6" borderId="13" applyAlignment="1" applyProtection="1" pivotButton="0" quotePrefix="0" xfId="0">
      <alignment horizontal="center" vertical="center"/>
      <protection locked="1" hidden="1"/>
    </xf>
    <xf numFmtId="0" fontId="1" fillId="5" borderId="25" applyProtection="1" pivotButton="0" quotePrefix="0" xfId="0">
      <protection locked="1" hidden="1"/>
    </xf>
    <xf numFmtId="167" fontId="0" fillId="0" borderId="0" applyProtection="1" pivotButton="0" quotePrefix="0" xfId="0">
      <protection locked="1" hidden="1"/>
    </xf>
    <xf numFmtId="0" fontId="15" fillId="0" borderId="0" applyAlignment="1" applyProtection="1" pivotButton="0" quotePrefix="0" xfId="0">
      <alignment wrapText="1"/>
      <protection locked="1" hidden="1"/>
    </xf>
    <xf numFmtId="0" fontId="16" fillId="0" borderId="0" applyProtection="1" pivotButton="0" quotePrefix="0" xfId="0">
      <protection locked="1" hidden="1"/>
    </xf>
    <xf numFmtId="0" fontId="10" fillId="21" borderId="42" applyProtection="1" pivotButton="0" quotePrefix="0" xfId="0">
      <protection locked="1" hidden="1"/>
    </xf>
    <xf numFmtId="0" fontId="10" fillId="21" borderId="41" applyAlignment="1" applyProtection="1" pivotButton="0" quotePrefix="0" xfId="0">
      <alignment horizontal="center" vertical="center" wrapText="1"/>
      <protection locked="1" hidden="1"/>
    </xf>
    <xf numFmtId="3" fontId="16" fillId="21" borderId="43" applyAlignment="1" applyProtection="1" pivotButton="0" quotePrefix="0" xfId="0">
      <alignment horizontal="center" vertical="center"/>
      <protection locked="1" hidden="1"/>
    </xf>
    <xf numFmtId="168" fontId="21" fillId="0" borderId="1" applyAlignment="1" applyProtection="1" pivotButton="0" quotePrefix="0" xfId="2">
      <alignment horizontal="center" vertical="center"/>
      <protection locked="1" hidden="1"/>
    </xf>
    <xf numFmtId="0" fontId="23" fillId="0" borderId="0" applyAlignment="1" applyProtection="1" pivotButton="0" quotePrefix="0" xfId="0">
      <alignment horizontal="center" vertical="center"/>
      <protection locked="1" hidden="1"/>
    </xf>
    <xf numFmtId="168" fontId="23" fillId="0" borderId="1" applyAlignment="1" applyProtection="1" pivotButton="0" quotePrefix="0" xfId="2">
      <alignment horizontal="center" vertical="center"/>
      <protection locked="1" hidden="1"/>
    </xf>
    <xf numFmtId="0" fontId="0" fillId="0" borderId="54" applyProtection="1" pivotButton="0" quotePrefix="0" xfId="0">
      <protection locked="1" hidden="1"/>
    </xf>
    <xf numFmtId="0" fontId="0" fillId="21" borderId="0" applyProtection="1" pivotButton="0" quotePrefix="0" xfId="0">
      <protection locked="1" hidden="1"/>
    </xf>
    <xf numFmtId="0" fontId="12" fillId="0" borderId="0" applyAlignment="1" applyProtection="1" pivotButton="0" quotePrefix="0" xfId="1">
      <alignment horizontal="right" vertical="center" readingOrder="2"/>
      <protection locked="1" hidden="1"/>
    </xf>
    <xf numFmtId="0" fontId="12" fillId="6" borderId="30" applyAlignment="1" applyProtection="1" pivotButton="0" quotePrefix="0" xfId="1">
      <alignment horizontal="center" vertical="center"/>
      <protection locked="1" hidden="1"/>
    </xf>
    <xf numFmtId="0" fontId="12" fillId="6" borderId="31" applyAlignment="1" applyProtection="1" pivotButton="0" quotePrefix="0" xfId="1">
      <alignment horizontal="center" vertical="center"/>
      <protection locked="1" hidden="1"/>
    </xf>
    <xf numFmtId="0" fontId="12" fillId="6" borderId="32" applyAlignment="1" applyProtection="1" pivotButton="0" quotePrefix="0" xfId="1">
      <alignment horizontal="center" vertical="center"/>
      <protection locked="1" hidden="1"/>
    </xf>
    <xf numFmtId="0" fontId="13" fillId="6" borderId="34" applyAlignment="1" applyProtection="1" pivotButton="0" quotePrefix="0" xfId="1">
      <alignment horizontal="center" vertical="center"/>
      <protection locked="1" hidden="1"/>
    </xf>
    <xf numFmtId="0" fontId="9" fillId="6" borderId="35" applyAlignment="1" applyProtection="1" pivotButton="0" quotePrefix="0" xfId="1">
      <alignment horizontal="center" vertical="center"/>
      <protection locked="1" hidden="1"/>
    </xf>
    <xf numFmtId="0" fontId="9" fillId="6" borderId="36" applyAlignment="1" applyProtection="1" pivotButton="0" quotePrefix="0" xfId="1">
      <alignment horizontal="center" vertical="center"/>
      <protection locked="1" hidden="1"/>
    </xf>
    <xf numFmtId="0" fontId="14" fillId="22" borderId="2" applyAlignment="1" applyProtection="1" pivotButton="0" quotePrefix="0" xfId="1">
      <alignment horizontal="center" vertical="center" readingOrder="2"/>
      <protection locked="1" hidden="1"/>
    </xf>
    <xf numFmtId="0" fontId="14" fillId="22" borderId="37" applyAlignment="1" applyProtection="1" pivotButton="0" quotePrefix="0" xfId="1">
      <alignment horizontal="center" vertical="center" readingOrder="2"/>
      <protection locked="1" hidden="1"/>
    </xf>
    <xf numFmtId="0" fontId="14" fillId="22" borderId="38" applyAlignment="1" applyProtection="1" pivotButton="0" quotePrefix="0" xfId="1">
      <alignment horizontal="center" vertical="center" readingOrder="2"/>
      <protection locked="1" hidden="1"/>
    </xf>
    <xf numFmtId="0" fontId="16" fillId="16" borderId="30" applyAlignment="1" applyProtection="1" pivotButton="0" quotePrefix="0" xfId="0">
      <alignment horizontal="right" vertical="center" wrapText="1" readingOrder="2"/>
      <protection locked="1" hidden="1"/>
    </xf>
    <xf numFmtId="0" fontId="16" fillId="16" borderId="31" applyAlignment="1" applyProtection="1" pivotButton="0" quotePrefix="0" xfId="0">
      <alignment horizontal="right" vertical="center" readingOrder="2"/>
      <protection locked="1" hidden="1"/>
    </xf>
    <xf numFmtId="0" fontId="16" fillId="16" borderId="32" applyAlignment="1" applyProtection="1" pivotButton="0" quotePrefix="0" xfId="0">
      <alignment horizontal="right" vertical="center" readingOrder="2"/>
      <protection locked="1" hidden="1"/>
    </xf>
    <xf numFmtId="0" fontId="16" fillId="16" borderId="39" applyAlignment="1" applyProtection="1" pivotButton="0" quotePrefix="0" xfId="0">
      <alignment horizontal="right" vertical="center" readingOrder="2"/>
      <protection locked="1" hidden="1"/>
    </xf>
    <xf numFmtId="0" fontId="16" fillId="16" borderId="0" applyAlignment="1" applyProtection="1" pivotButton="0" quotePrefix="0" xfId="0">
      <alignment horizontal="right" vertical="center" readingOrder="2"/>
      <protection locked="1" hidden="1"/>
    </xf>
    <xf numFmtId="0" fontId="16" fillId="16" borderId="40" applyAlignment="1" applyProtection="1" pivotButton="0" quotePrefix="0" xfId="0">
      <alignment horizontal="right" vertical="center" readingOrder="2"/>
      <protection locked="1" hidden="1"/>
    </xf>
    <xf numFmtId="0" fontId="16" fillId="16" borderId="34" applyAlignment="1" applyProtection="1" pivotButton="0" quotePrefix="0" xfId="0">
      <alignment horizontal="right" vertical="center" readingOrder="2"/>
      <protection locked="1" hidden="1"/>
    </xf>
    <xf numFmtId="0" fontId="16" fillId="16" borderId="35" applyAlignment="1" applyProtection="1" pivotButton="0" quotePrefix="0" xfId="0">
      <alignment horizontal="right" vertical="center" readingOrder="2"/>
      <protection locked="1" hidden="1"/>
    </xf>
    <xf numFmtId="0" fontId="16" fillId="16" borderId="36" applyAlignment="1" applyProtection="1" pivotButton="0" quotePrefix="0" xfId="0">
      <alignment horizontal="right" vertical="center" readingOrder="2"/>
      <protection locked="1" hidden="1"/>
    </xf>
    <xf numFmtId="0" fontId="15" fillId="0" borderId="30" applyAlignment="1" applyProtection="1" pivotButton="0" quotePrefix="0" xfId="0">
      <alignment horizontal="center" vertical="center"/>
      <protection locked="1" hidden="1"/>
    </xf>
    <xf numFmtId="0" fontId="15" fillId="0" borderId="32" applyAlignment="1" applyProtection="1" pivotButton="0" quotePrefix="0" xfId="0">
      <alignment horizontal="center" vertical="center"/>
      <protection locked="1" hidden="1"/>
    </xf>
    <xf numFmtId="0" fontId="15" fillId="0" borderId="34" applyAlignment="1" applyProtection="1" pivotButton="0" quotePrefix="0" xfId="0">
      <alignment horizontal="center" vertical="center"/>
      <protection locked="1" hidden="1"/>
    </xf>
    <xf numFmtId="0" fontId="15" fillId="0" borderId="36" applyAlignment="1" applyProtection="1" pivotButton="0" quotePrefix="0" xfId="0">
      <alignment horizontal="center" vertical="center"/>
      <protection locked="1" hidden="1"/>
    </xf>
    <xf numFmtId="0" fontId="12" fillId="0" borderId="50" applyAlignment="1" applyProtection="1" pivotButton="0" quotePrefix="0" xfId="0">
      <alignment horizontal="center" vertical="center" wrapText="1"/>
      <protection locked="1" hidden="1"/>
    </xf>
    <xf numFmtId="0" fontId="12" fillId="0" borderId="31" applyAlignment="1" applyProtection="1" pivotButton="0" quotePrefix="0" xfId="0">
      <alignment horizontal="center" vertical="center"/>
      <protection locked="1" hidden="1"/>
    </xf>
    <xf numFmtId="0" fontId="12" fillId="0" borderId="32" applyAlignment="1" applyProtection="1" pivotButton="0" quotePrefix="0" xfId="0">
      <alignment horizontal="center" vertical="center"/>
      <protection locked="1" hidden="1"/>
    </xf>
    <xf numFmtId="0" fontId="12" fillId="0" borderId="51" applyAlignment="1" applyProtection="1" pivotButton="0" quotePrefix="0" xfId="0">
      <alignment horizontal="center" vertical="center"/>
      <protection locked="1" hidden="1"/>
    </xf>
    <xf numFmtId="0" fontId="12" fillId="0" borderId="35" applyAlignment="1" applyProtection="1" pivotButton="0" quotePrefix="0" xfId="0">
      <alignment horizontal="center" vertical="center"/>
      <protection locked="1" hidden="1"/>
    </xf>
    <xf numFmtId="0" fontId="12" fillId="0" borderId="36" applyAlignment="1" applyProtection="1" pivotButton="0" quotePrefix="0" xfId="0">
      <alignment horizontal="center" vertical="center"/>
      <protection locked="1" hidden="1"/>
    </xf>
    <xf numFmtId="0" fontId="22" fillId="0" borderId="46" applyAlignment="1" applyProtection="1" pivotButton="0" quotePrefix="0" xfId="0">
      <alignment horizontal="center" vertical="center" wrapText="1" readingOrder="2"/>
      <protection locked="1" hidden="1"/>
    </xf>
    <xf numFmtId="0" fontId="11" fillId="0" borderId="47" applyAlignment="1" applyProtection="1" pivotButton="0" quotePrefix="0" xfId="0">
      <alignment horizontal="center" vertical="center" wrapText="1" readingOrder="2"/>
      <protection locked="1" hidden="1"/>
    </xf>
    <xf numFmtId="0" fontId="11" fillId="0" borderId="48" applyAlignment="1" applyProtection="1" pivotButton="0" quotePrefix="0" xfId="0">
      <alignment horizontal="center" vertical="center" wrapText="1" readingOrder="2"/>
      <protection locked="1" hidden="1"/>
    </xf>
    <xf numFmtId="0" fontId="11" fillId="0" borderId="49" applyAlignment="1" applyProtection="1" pivotButton="0" quotePrefix="0" xfId="0">
      <alignment horizontal="center" vertical="center" wrapText="1" readingOrder="2"/>
      <protection locked="1" hidden="1"/>
    </xf>
    <xf numFmtId="0" fontId="10" fillId="20" borderId="41" applyAlignment="1" applyProtection="1" pivotButton="0" quotePrefix="0" xfId="0">
      <alignment horizontal="center"/>
      <protection locked="1" hidden="1"/>
    </xf>
    <xf numFmtId="0" fontId="0" fillId="22" borderId="0" applyAlignment="1" applyProtection="1" pivotButton="0" quotePrefix="0" xfId="0">
      <alignment horizontal="center"/>
      <protection locked="0" hidden="0"/>
    </xf>
    <xf numFmtId="0" fontId="2" fillId="0" borderId="1" applyAlignment="1" applyProtection="1" pivotButton="0" quotePrefix="0" xfId="0">
      <alignment horizontal="center" vertical="center"/>
      <protection locked="1" hidden="1"/>
    </xf>
    <xf numFmtId="168" fontId="2" fillId="0" borderId="1" applyAlignment="1" applyProtection="1" pivotButton="0" quotePrefix="0" xfId="2">
      <alignment horizontal="center" vertical="center"/>
      <protection locked="1" hidden="1"/>
    </xf>
    <xf numFmtId="0" fontId="12" fillId="6" borderId="29" applyAlignment="1" applyProtection="1" pivotButton="0" quotePrefix="0" xfId="1">
      <alignment horizontal="center" vertical="center"/>
      <protection locked="1" hidden="1"/>
    </xf>
    <xf numFmtId="0" fontId="0" fillId="0" borderId="31" applyProtection="1" pivotButton="0" quotePrefix="0" xfId="0">
      <protection locked="1" hidden="1"/>
    </xf>
    <xf numFmtId="0" fontId="0" fillId="0" borderId="32" applyProtection="1" pivotButton="0" quotePrefix="0" xfId="0">
      <protection locked="1" hidden="1"/>
    </xf>
    <xf numFmtId="0" fontId="13" fillId="6" borderId="33" applyAlignment="1" applyProtection="1" pivotButton="0" quotePrefix="0" xfId="1">
      <alignment horizontal="center" vertical="center"/>
      <protection locked="1" hidden="1"/>
    </xf>
    <xf numFmtId="0" fontId="0" fillId="0" borderId="35" applyProtection="1" pivotButton="0" quotePrefix="0" xfId="0">
      <protection locked="1" hidden="1"/>
    </xf>
    <xf numFmtId="0" fontId="0" fillId="0" borderId="36" applyProtection="1" pivotButton="0" quotePrefix="0" xfId="0">
      <protection locked="1" hidden="1"/>
    </xf>
    <xf numFmtId="0" fontId="14" fillId="22" borderId="1" applyAlignment="1" applyProtection="1" pivotButton="0" quotePrefix="0" xfId="1">
      <alignment horizontal="center" vertical="center" readingOrder="2"/>
      <protection locked="1" hidden="1"/>
    </xf>
    <xf numFmtId="0" fontId="0" fillId="0" borderId="37" applyProtection="1" pivotButton="0" quotePrefix="0" xfId="0">
      <protection locked="1" hidden="1"/>
    </xf>
    <xf numFmtId="0" fontId="0" fillId="0" borderId="38" applyProtection="1" pivotButton="0" quotePrefix="0" xfId="0">
      <protection locked="1" hidden="1"/>
    </xf>
    <xf numFmtId="0" fontId="22" fillId="0" borderId="41" applyAlignment="1" applyProtection="1" pivotButton="0" quotePrefix="0" xfId="0">
      <alignment horizontal="center" vertical="center" wrapText="1" readingOrder="2"/>
      <protection locked="1" hidden="1"/>
    </xf>
    <xf numFmtId="0" fontId="0" fillId="0" borderId="47" applyProtection="1" pivotButton="0" quotePrefix="0" xfId="0">
      <protection locked="1" hidden="1"/>
    </xf>
    <xf numFmtId="0" fontId="12" fillId="0" borderId="57" applyAlignment="1" applyProtection="1" pivotButton="0" quotePrefix="0" xfId="0">
      <alignment horizontal="center" vertical="center" wrapText="1"/>
      <protection locked="1" hidden="1"/>
    </xf>
    <xf numFmtId="0" fontId="15" fillId="0" borderId="56" applyAlignment="1" applyProtection="1" pivotButton="0" quotePrefix="0" xfId="0">
      <alignment horizontal="center" vertical="center"/>
      <protection locked="1" hidden="1"/>
    </xf>
    <xf numFmtId="0" fontId="0" fillId="0" borderId="48" applyProtection="1" pivotButton="0" quotePrefix="0" xfId="0">
      <protection locked="1" hidden="1"/>
    </xf>
    <xf numFmtId="0" fontId="0" fillId="0" borderId="49" applyProtection="1" pivotButton="0" quotePrefix="0" xfId="0">
      <protection locked="1" hidden="1"/>
    </xf>
    <xf numFmtId="0" fontId="0" fillId="0" borderId="51" applyProtection="1" pivotButton="0" quotePrefix="0" xfId="0">
      <protection locked="1" hidden="1"/>
    </xf>
    <xf numFmtId="0" fontId="0" fillId="0" borderId="34" applyProtection="1" pivotButton="0" quotePrefix="0" xfId="0">
      <protection locked="1" hidden="1"/>
    </xf>
    <xf numFmtId="169" fontId="17" fillId="5" borderId="23" applyProtection="1" pivotButton="0" quotePrefix="0" xfId="0">
      <protection locked="1" hidden="1"/>
    </xf>
    <xf numFmtId="169" fontId="15" fillId="5" borderId="3" applyProtection="1" pivotButton="0" quotePrefix="0" xfId="0">
      <protection locked="1" hidden="1"/>
    </xf>
    <xf numFmtId="169" fontId="17" fillId="5" borderId="22" applyProtection="1" pivotButton="0" quotePrefix="0" xfId="0">
      <protection locked="1" hidden="1"/>
    </xf>
    <xf numFmtId="167" fontId="0" fillId="0" borderId="0" applyProtection="1" pivotButton="0" quotePrefix="0" xfId="0">
      <protection locked="1" hidden="1"/>
    </xf>
    <xf numFmtId="0" fontId="16" fillId="16" borderId="56" applyAlignment="1" applyProtection="1" pivotButton="0" quotePrefix="0" xfId="0">
      <alignment horizontal="right" vertical="center" wrapText="1" readingOrder="2"/>
      <protection locked="1" hidden="1"/>
    </xf>
    <xf numFmtId="0" fontId="0" fillId="0" borderId="39" applyProtection="1" pivotButton="0" quotePrefix="0" xfId="0">
      <protection locked="1" hidden="1"/>
    </xf>
    <xf numFmtId="0" fontId="0" fillId="0" borderId="40" applyProtection="1" pivotButton="0" quotePrefix="0" xfId="0">
      <protection locked="1" hidden="1"/>
    </xf>
    <xf numFmtId="0" fontId="0" fillId="0" borderId="0" applyProtection="1" pivotButton="0" quotePrefix="0" xfId="0">
      <protection locked="0" hidden="0"/>
    </xf>
    <xf numFmtId="0" fontId="0" fillId="0" borderId="61" applyProtection="1" pivotButton="0" quotePrefix="0" xfId="0">
      <protection locked="1" hidden="1"/>
    </xf>
    <xf numFmtId="164" fontId="1" fillId="17" borderId="7" applyAlignment="1" applyProtection="1" pivotButton="0" quotePrefix="0" xfId="0">
      <alignment horizontal="center" vertical="center"/>
      <protection locked="1" hidden="1"/>
    </xf>
    <xf numFmtId="164" fontId="1" fillId="16" borderId="7" applyAlignment="1" applyProtection="1" pivotButton="0" quotePrefix="0" xfId="0">
      <alignment horizontal="center" vertical="center"/>
      <protection locked="1" hidden="1"/>
    </xf>
    <xf numFmtId="164" fontId="1" fillId="7" borderId="7" applyAlignment="1" applyProtection="1" pivotButton="0" quotePrefix="0" xfId="0">
      <alignment horizontal="center" vertical="center"/>
      <protection locked="1" hidden="1"/>
    </xf>
    <xf numFmtId="165" fontId="1" fillId="7" borderId="7" applyAlignment="1" applyProtection="1" pivotButton="0" quotePrefix="0" xfId="0">
      <alignment horizontal="center" vertical="center"/>
      <protection locked="1" hidden="1"/>
    </xf>
    <xf numFmtId="164" fontId="1" fillId="9" borderId="7" applyAlignment="1" applyProtection="1" pivotButton="0" quotePrefix="0" xfId="0">
      <alignment horizontal="center" vertical="center"/>
      <protection locked="1" hidden="1"/>
    </xf>
    <xf numFmtId="164" fontId="0" fillId="0" borderId="0" applyProtection="1" pivotButton="0" quotePrefix="0" xfId="0">
      <protection locked="1" hidden="1"/>
    </xf>
    <xf numFmtId="164" fontId="1" fillId="17" borderId="1" applyAlignment="1" applyProtection="1" pivotButton="0" quotePrefix="0" xfId="0">
      <alignment horizontal="center" vertical="center"/>
      <protection locked="1" hidden="1"/>
    </xf>
    <xf numFmtId="164" fontId="1" fillId="7" borderId="1" applyAlignment="1" applyProtection="1" pivotButton="0" quotePrefix="0" xfId="0">
      <alignment horizontal="center" vertical="center"/>
      <protection locked="1" hidden="1"/>
    </xf>
    <xf numFmtId="164" fontId="1" fillId="16" borderId="1" applyAlignment="1" applyProtection="1" pivotButton="0" quotePrefix="0" xfId="0">
      <alignment horizontal="center" vertical="center"/>
      <protection locked="1" hidden="1"/>
    </xf>
    <xf numFmtId="164" fontId="1" fillId="9" borderId="1" applyAlignment="1" applyProtection="1" pivotButton="0" quotePrefix="0" xfId="0">
      <alignment horizontal="center" vertical="center"/>
      <protection locked="1" hidden="1"/>
    </xf>
    <xf numFmtId="164" fontId="1" fillId="17" borderId="6" applyAlignment="1" applyProtection="1" pivotButton="0" quotePrefix="0" xfId="0">
      <alignment horizontal="center" vertical="center"/>
      <protection locked="1" hidden="1"/>
    </xf>
    <xf numFmtId="164" fontId="1" fillId="7" borderId="6" applyAlignment="1" applyProtection="1" pivotButton="0" quotePrefix="0" xfId="0">
      <alignment horizontal="center" vertical="center"/>
      <protection locked="1" hidden="1"/>
    </xf>
    <xf numFmtId="164" fontId="1" fillId="16" borderId="6" applyAlignment="1" applyProtection="1" pivotButton="0" quotePrefix="0" xfId="0">
      <alignment horizontal="center" vertical="center"/>
      <protection locked="1" hidden="1"/>
    </xf>
    <xf numFmtId="164" fontId="1" fillId="9" borderId="6" applyAlignment="1" applyProtection="1" pivotButton="0" quotePrefix="0" xfId="0">
      <alignment horizontal="center" vertical="center"/>
      <protection locked="1" hidden="1"/>
    </xf>
    <xf numFmtId="166" fontId="0" fillId="0" borderId="0" applyProtection="1" pivotButton="0" quotePrefix="0" xfId="0">
      <protection locked="1" hidden="1"/>
    </xf>
    <xf numFmtId="167" fontId="2" fillId="4" borderId="1" applyAlignment="1" applyProtection="1" pivotButton="0" quotePrefix="0" xfId="0">
      <alignment horizontal="center" vertical="center"/>
      <protection locked="1" hidden="1"/>
    </xf>
    <xf numFmtId="168" fontId="2" fillId="0" borderId="1" applyAlignment="1" applyProtection="1" pivotButton="0" quotePrefix="0" xfId="2">
      <alignment horizontal="center" vertical="center"/>
      <protection locked="1" hidden="1"/>
    </xf>
    <xf numFmtId="168" fontId="21" fillId="0" borderId="1" applyAlignment="1" applyProtection="1" pivotButton="0" quotePrefix="0" xfId="2">
      <alignment horizontal="center" vertical="center"/>
      <protection locked="1" hidden="1"/>
    </xf>
    <xf numFmtId="168" fontId="0" fillId="0" borderId="1" applyAlignment="1" applyProtection="1" pivotButton="0" quotePrefix="0" xfId="2">
      <alignment horizontal="center" vertical="center"/>
      <protection locked="1" hidden="1"/>
    </xf>
    <xf numFmtId="168" fontId="23" fillId="0" borderId="1" applyAlignment="1" applyProtection="1" pivotButton="0" quotePrefix="0" xfId="2">
      <alignment horizontal="center" vertical="center"/>
      <protection locked="1" hidden="1"/>
    </xf>
    <xf numFmtId="0" fontId="0" fillId="0" borderId="7" applyProtection="1" pivotButton="0" quotePrefix="0" xfId="0">
      <protection locked="1" hidden="1"/>
    </xf>
    <xf numFmtId="0" fontId="24" fillId="25" borderId="0" applyAlignment="1" applyProtection="1" pivotButton="0" quotePrefix="0" xfId="0">
      <alignment horizontal="center"/>
      <protection locked="0" hidden="0"/>
    </xf>
    <xf numFmtId="0" fontId="25" fillId="26" borderId="41" applyAlignment="1" applyProtection="1" pivotButton="0" quotePrefix="0" xfId="0">
      <alignment horizontal="center" vertical="center"/>
      <protection locked="1" hidden="1"/>
    </xf>
    <xf numFmtId="0" fontId="25" fillId="26" borderId="41" applyAlignment="1" applyProtection="1" pivotButton="0" quotePrefix="0" xfId="0">
      <alignment horizontal="center"/>
      <protection locked="1" hidden="1"/>
    </xf>
    <xf numFmtId="0" fontId="25" fillId="26" borderId="41" applyAlignment="1" applyProtection="1" pivotButton="0" quotePrefix="0" xfId="0">
      <alignment horizontal="center" vertical="center" wrapText="1"/>
      <protection locked="1" hidden="1"/>
    </xf>
    <xf numFmtId="10" fontId="25" fillId="26" borderId="41" applyAlignment="1" applyProtection="1" pivotButton="0" quotePrefix="0" xfId="0">
      <alignment horizontal="center" vertical="center" wrapText="1"/>
      <protection locked="1" hidden="1"/>
    </xf>
    <xf numFmtId="3" fontId="25" fillId="26" borderId="41" applyAlignment="1" applyProtection="1" pivotButton="0" quotePrefix="0" xfId="0">
      <alignment horizontal="center" vertical="center" wrapText="1"/>
      <protection locked="1" hidden="1"/>
    </xf>
    <xf numFmtId="0" fontId="26" fillId="25" borderId="0" applyAlignment="1" applyProtection="1" pivotButton="0" quotePrefix="0" xfId="0">
      <alignment horizontal="center"/>
      <protection locked="0" hidden="0"/>
    </xf>
    <xf numFmtId="3" fontId="27" fillId="6" borderId="45" applyAlignment="1" applyProtection="1" pivotButton="0" quotePrefix="0" xfId="0">
      <alignment horizontal="center" vertical="center"/>
      <protection locked="1" hidden="1"/>
    </xf>
  </cellXfs>
  <cellStyles count="4">
    <cellStyle name="Normal" xfId="0" builtinId="0"/>
    <cellStyle name="Normal 2" xfId="1"/>
    <cellStyle name="Percent" xfId="2" builtinId="5"/>
    <cellStyle name="Comma" xfId="3" builtinId="3"/>
  </cellStyle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1"/>
  <sheetViews>
    <sheetView showGridLines="0" rightToLeft="1" topLeftCell="A28" workbookViewId="0">
      <selection activeCell="F15" sqref="F15"/>
    </sheetView>
  </sheetViews>
  <sheetFormatPr baseColWidth="8" defaultRowHeight="15"/>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H97"/>
  <sheetViews>
    <sheetView showGridLines="0" zoomScaleNormal="100" workbookViewId="0">
      <selection activeCell="A4" sqref="A4"/>
    </sheetView>
  </sheetViews>
  <sheetFormatPr baseColWidth="8" defaultColWidth="0" defaultRowHeight="15" customHeight="1" zeroHeight="1"/>
  <cols>
    <col width="8.875" customWidth="1" style="122" min="1" max="1"/>
    <col width="17.21875" customWidth="1" style="122" min="2" max="2"/>
    <col width="14.796875" customWidth="1" style="122" min="3" max="3"/>
    <col width="20.04296875" customWidth="1" style="122" min="4" max="4"/>
    <col width="9.01171875" customWidth="1" style="122" min="5" max="5"/>
    <col width="14.390625" customWidth="1" style="122" min="6" max="6"/>
    <col width="23.5390625" bestFit="1" customWidth="1" style="122" min="7" max="7"/>
    <col width="15.73828125" customWidth="1" style="122" min="8" max="8"/>
    <col width="9.14453125" customWidth="1" style="122" min="9" max="9"/>
    <col hidden="1" width="9.14453125" customWidth="1" style="122" min="10" max="16384"/>
  </cols>
  <sheetData>
    <row r="1" ht="15.75" customHeight="1" thickBot="1">
      <c r="A1" s="121" t="n"/>
      <c r="B1" s="121" t="n"/>
      <c r="C1" s="121" t="n"/>
      <c r="D1" s="121" t="n"/>
      <c r="E1" s="121" t="n"/>
      <c r="F1" s="121" t="n"/>
      <c r="G1" s="121" t="n"/>
      <c r="H1" s="121" t="n"/>
    </row>
    <row r="2">
      <c r="A2" s="121" t="n"/>
      <c r="B2" s="123" t="inlineStr">
        <is>
          <t>کد مدرک: LIF208</t>
        </is>
      </c>
      <c r="C2" s="210" t="inlineStr">
        <is>
          <t>بیمه سامان</t>
        </is>
      </c>
      <c r="D2" s="211" t="n"/>
      <c r="E2" s="211" t="n"/>
      <c r="F2" s="211" t="n"/>
      <c r="G2" s="212" t="n"/>
      <c r="H2" s="124" t="n"/>
    </row>
    <row r="3" ht="15.75" customHeight="1" thickBot="1">
      <c r="A3" s="121" t="n"/>
      <c r="B3" s="125" t="inlineStr">
        <is>
          <t>شماره تجدیدنظر: 04</t>
        </is>
      </c>
      <c r="C3" s="213" t="inlineStr">
        <is>
          <t>جدول آفلاین بیمه عمر و تشکیل سرمایه (روش پرداخت غیریکجا)</t>
        </is>
      </c>
      <c r="D3" s="214" t="n"/>
      <c r="E3" s="214" t="n"/>
      <c r="F3" s="214" t="n"/>
      <c r="G3" s="215" t="n"/>
      <c r="H3" s="126" t="n"/>
    </row>
    <row r="5" ht="27" customHeight="1">
      <c r="B5" s="216" t="inlineStr">
        <is>
          <t>پیش از اولین استفاده از این فایل ابتدا می بایست مراحل ذیل را انجام دهید:</t>
        </is>
      </c>
      <c r="C5" s="217" t="n"/>
      <c r="D5" s="217" t="n"/>
      <c r="E5" s="217" t="n"/>
      <c r="F5" s="217" t="n"/>
      <c r="G5" s="217" t="n"/>
      <c r="H5" s="218" t="n"/>
    </row>
    <row r="6">
      <c r="B6" s="127" t="n"/>
      <c r="C6" s="127" t="n"/>
      <c r="D6" s="127" t="n"/>
      <c r="E6" s="127" t="n"/>
      <c r="F6" s="127" t="n"/>
      <c r="G6" s="127" t="n"/>
      <c r="H6" s="127" t="n"/>
    </row>
    <row r="7">
      <c r="B7" s="173" t="inlineStr">
        <is>
          <t>1. ابتدا از منوی File بر روی تب Option کلیک نمایید:</t>
        </is>
      </c>
      <c r="C7" s="19" t="n"/>
      <c r="D7" s="19" t="n"/>
      <c r="E7" s="19" t="n"/>
      <c r="F7" s="19" t="n"/>
      <c r="G7" s="19" t="n"/>
      <c r="H7" s="19" t="n"/>
    </row>
    <row r="29" ht="39" customHeight="1"/>
    <row r="30">
      <c r="B30" s="173" t="inlineStr">
        <is>
          <t>2. سپس بر روی Formulas کلیک کنید:</t>
        </is>
      </c>
      <c r="C30" s="19" t="n"/>
      <c r="D30" s="19" t="n"/>
      <c r="E30" s="19" t="n"/>
      <c r="F30" s="19" t="n"/>
      <c r="G30" s="19" t="n"/>
      <c r="H30" s="19" t="n"/>
    </row>
    <row r="60" ht="24" customHeight="1"/>
    <row r="61">
      <c r="B61" s="173" t="inlineStr">
        <is>
          <t>3. مانند شکل زیر تیک آیتم Enable iterative calculation  را بزنید:</t>
        </is>
      </c>
      <c r="C61" s="19" t="n"/>
      <c r="D61" s="19" t="n"/>
      <c r="E61" s="19" t="n"/>
      <c r="F61" s="19" t="n"/>
      <c r="G61" s="19" t="n"/>
      <c r="H61" s="19" t="n"/>
    </row>
    <row r="96" ht="33" customHeight="1"/>
    <row r="97">
      <c r="A97" s="173" t="inlineStr">
        <is>
          <t>4. در نهایت بر روی کلید OK کلیک نمایید:</t>
        </is>
      </c>
      <c r="B97" s="19" t="n"/>
      <c r="C97" s="19" t="n"/>
      <c r="D97" s="19" t="n"/>
      <c r="E97" s="19" t="n"/>
      <c r="F97" s="19" t="n"/>
      <c r="G97" s="19" t="n"/>
      <c r="H97" s="19" t="n"/>
    </row>
  </sheetData>
  <mergeCells count="7">
    <mergeCell ref="C2:G2"/>
    <mergeCell ref="B30:H30"/>
    <mergeCell ref="B7:H7"/>
    <mergeCell ref="C3:G3"/>
    <mergeCell ref="B5:H5"/>
    <mergeCell ref="A97:H97"/>
    <mergeCell ref="B61:H61"/>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fitToPage="1"/>
  </sheetPr>
  <dimension ref="B2:S36"/>
  <sheetViews>
    <sheetView tabSelected="1" topLeftCell="G1" zoomScale="55" zoomScaleNormal="55" workbookViewId="0">
      <selection activeCell="I6" sqref="I6"/>
    </sheetView>
  </sheetViews>
  <sheetFormatPr baseColWidth="8" defaultColWidth="9.14453125" defaultRowHeight="15"/>
  <cols>
    <col width="4.9765625" customWidth="1" style="19" min="1" max="1"/>
    <col width="9.14453125" customWidth="1" style="19" min="2" max="2"/>
    <col width="20.4453125" customWidth="1" style="19" min="3" max="3"/>
    <col width="34.97265625" customWidth="1" style="19" min="4" max="4"/>
    <col width="9.14453125" customWidth="1" style="19" min="5" max="5"/>
    <col width="18.5625" customWidth="1" style="19" min="6" max="6"/>
    <col width="36.3203125" customWidth="1" style="19" min="7" max="7"/>
    <col width="9.14453125" customWidth="1" style="19" min="8" max="8"/>
    <col width="18.96484375" customWidth="1" style="19" min="9" max="9"/>
    <col width="28.515625" customWidth="1" style="19" min="10" max="10"/>
    <col width="9.14453125" customWidth="1" style="19" min="11" max="11"/>
    <col hidden="1" width="9.55078125" customWidth="1" style="19" min="12" max="12"/>
    <col hidden="1" width="29.0546875" customWidth="1" style="19" min="13" max="13"/>
    <col hidden="1" width="9.14453125" customWidth="1" style="19" min="14" max="15"/>
    <col hidden="1" width="31.07421875" customWidth="1" style="19" min="16" max="16"/>
    <col hidden="1" width="13" customWidth="1" style="19" min="17" max="17"/>
    <col width="9.14453125" customWidth="1" style="19" min="18" max="16384"/>
  </cols>
  <sheetData>
    <row r="1" ht="15.75" customHeight="1" thickBot="1"/>
    <row r="2" ht="21" customHeight="1">
      <c r="B2" s="219" t="inlineStr">
        <is>
          <t>کد مدرک : LIF208
شماره تجدیدنظر: 04</t>
        </is>
      </c>
      <c r="C2" s="220" t="n"/>
      <c r="D2" s="221" t="inlineStr">
        <is>
          <t>بیمه سامان
جدول آفلاین بیمه عمر و تشکیل سرمایه(روش پرداخت غیریکجا)</t>
        </is>
      </c>
      <c r="E2" s="211" t="n"/>
      <c r="F2" s="211" t="n"/>
      <c r="G2" s="211" t="n"/>
      <c r="H2" s="211" t="n"/>
      <c r="I2" s="212" t="n"/>
      <c r="J2" s="222" t="n"/>
      <c r="K2" s="212" t="n"/>
    </row>
    <row r="3" ht="26.25" customHeight="1" thickBot="1">
      <c r="B3" s="223" t="n"/>
      <c r="C3" s="224" t="n"/>
      <c r="D3" s="225" t="n"/>
      <c r="E3" s="214" t="n"/>
      <c r="F3" s="214" t="n"/>
      <c r="G3" s="214" t="n"/>
      <c r="H3" s="214" t="n"/>
      <c r="I3" s="215" t="n"/>
      <c r="J3" s="226" t="n"/>
      <c r="K3" s="215" t="n"/>
    </row>
    <row r="4" ht="15.75" customHeight="1" thickBot="1"/>
    <row r="5" ht="15.75" customHeight="1" thickBot="1">
      <c r="B5" s="129" t="n"/>
      <c r="C5" s="130" t="n"/>
      <c r="D5" s="131" t="n"/>
      <c r="E5" s="131" t="n"/>
      <c r="F5" s="130" t="n"/>
      <c r="G5" s="130" t="n"/>
      <c r="H5" s="131" t="n"/>
      <c r="I5" s="130" t="n"/>
      <c r="J5" s="130" t="n"/>
      <c r="K5" s="132" t="n"/>
    </row>
    <row r="6" ht="16.5" customHeight="1" thickBot="1">
      <c r="B6" s="227" t="n"/>
      <c r="C6" s="28" t="n">
        <v>20</v>
      </c>
      <c r="D6" s="23" t="inlineStr">
        <is>
          <t>سن بیمه گذار</t>
        </is>
      </c>
      <c r="E6" s="228" t="n"/>
      <c r="F6" s="28" t="n">
        <v>20</v>
      </c>
      <c r="G6" s="23" t="inlineStr">
        <is>
          <t xml:space="preserve">سن بیمه شده </t>
        </is>
      </c>
      <c r="H6" s="228" t="n"/>
      <c r="I6" s="28" t="n">
        <v>20</v>
      </c>
      <c r="J6" s="23" t="inlineStr">
        <is>
          <t>مدت بیمه نامه</t>
        </is>
      </c>
      <c r="K6" s="229" t="n"/>
      <c r="L6" s="97" t="inlineStr">
        <is>
          <t>پرريسک</t>
        </is>
      </c>
      <c r="M6" s="97" t="inlineStr">
        <is>
          <t>رشد1</t>
        </is>
      </c>
      <c r="N6" s="97" t="inlineStr">
        <is>
          <t>رشد</t>
        </is>
      </c>
      <c r="O6" s="97" t="inlineStr">
        <is>
          <t>کم_ريسک</t>
        </is>
      </c>
      <c r="P6" s="97" t="inlineStr">
        <is>
          <t>متوسط_ريسک</t>
        </is>
      </c>
      <c r="Q6" s="97" t="n"/>
    </row>
    <row r="7" ht="16.5" customHeight="1" thickBot="1">
      <c r="B7" s="136" t="n"/>
      <c r="C7" s="137" t="n"/>
      <c r="D7" s="137" t="n"/>
      <c r="E7" s="137" t="n"/>
      <c r="F7" s="137" t="n"/>
      <c r="G7" s="137" t="n"/>
      <c r="H7" s="137" t="n"/>
      <c r="I7" s="137" t="n"/>
      <c r="J7" s="137" t="n"/>
      <c r="K7" s="138" t="n"/>
      <c r="L7" s="19" t="inlineStr">
        <is>
          <t>معمولی</t>
        </is>
      </c>
      <c r="M7" s="19" t="inlineStr">
        <is>
          <t>معمولی</t>
        </is>
      </c>
      <c r="N7" s="19" t="inlineStr">
        <is>
          <t>معمولی</t>
        </is>
      </c>
      <c r="O7" s="19" t="inlineStr">
        <is>
          <t>معمولی</t>
        </is>
      </c>
      <c r="P7" s="19" t="inlineStr">
        <is>
          <t>معمولی</t>
        </is>
      </c>
    </row>
    <row r="8" ht="16.5" customHeight="1" thickBot="1">
      <c r="B8" s="227" t="n"/>
      <c r="C8" s="22" t="inlineStr">
        <is>
          <t>سالانه</t>
        </is>
      </c>
      <c r="D8" s="23" t="inlineStr">
        <is>
          <t>روش پرداخت حق‌بیمه</t>
        </is>
      </c>
      <c r="E8" s="137" t="n"/>
      <c r="F8" s="25" t="inlineStr">
        <is>
          <t>0%</t>
        </is>
      </c>
      <c r="G8" s="23" t="inlineStr">
        <is>
          <t>درصد ضریب تغییر حق بيمه</t>
        </is>
      </c>
      <c r="H8" s="137" t="n"/>
      <c r="I8" s="30" t="n">
        <v>100000000</v>
      </c>
      <c r="J8" s="23" t="inlineStr">
        <is>
          <t>حق بیمه اولیه</t>
        </is>
      </c>
      <c r="K8" s="229" t="n"/>
      <c r="M8" s="19" t="inlineStr">
        <is>
          <t>پایه</t>
        </is>
      </c>
    </row>
    <row r="9" ht="16.5" customHeight="1" thickBot="1">
      <c r="B9" s="136" t="n"/>
      <c r="C9" s="137" t="n"/>
      <c r="D9" s="137" t="n"/>
      <c r="E9" s="137" t="n"/>
      <c r="F9" s="137" t="n"/>
      <c r="G9" s="137" t="n"/>
      <c r="H9" s="137" t="n"/>
      <c r="I9" s="137" t="n"/>
      <c r="J9" s="137" t="n"/>
      <c r="K9" s="138" t="n"/>
      <c r="M9" s="19" t="inlineStr">
        <is>
          <t xml:space="preserve">آسایش </t>
        </is>
      </c>
    </row>
    <row r="10" ht="16.5" customHeight="1" thickBot="1">
      <c r="B10" s="227" t="n"/>
      <c r="C10" s="28" t="inlineStr">
        <is>
          <t>رشد1</t>
        </is>
      </c>
      <c r="D10" s="23" t="inlineStr">
        <is>
          <t>طرح</t>
        </is>
      </c>
      <c r="E10" s="137" t="n"/>
      <c r="F10" s="25" t="inlineStr">
        <is>
          <t>0%</t>
        </is>
      </c>
      <c r="G10" s="23" t="inlineStr">
        <is>
          <t>درصد ضریب تغییر سرمايه</t>
        </is>
      </c>
      <c r="H10" s="137" t="n"/>
      <c r="I10" s="30" t="n">
        <v>2500000000</v>
      </c>
      <c r="J10" s="23" t="inlineStr">
        <is>
          <t>سرمایه اولیه</t>
        </is>
      </c>
      <c r="K10" s="229" t="n"/>
      <c r="M10" s="19" t="inlineStr">
        <is>
          <t>ممتاز</t>
        </is>
      </c>
    </row>
    <row r="11" ht="16.5" customHeight="1" thickBot="1">
      <c r="B11" s="227" t="n"/>
      <c r="C11" s="137" t="n"/>
      <c r="D11" s="137" t="n"/>
      <c r="E11" s="137" t="n"/>
      <c r="F11" s="137" t="n"/>
      <c r="G11" s="137" t="n"/>
      <c r="H11" s="137" t="n"/>
      <c r="I11" s="137" t="n"/>
      <c r="J11" s="137" t="n"/>
      <c r="K11" s="229" t="n"/>
    </row>
    <row r="12" ht="16.5" customHeight="1" thickBot="1">
      <c r="B12" s="227" t="n"/>
      <c r="C12" s="128" t="n">
        <v>0.2</v>
      </c>
      <c r="D12" s="23" t="inlineStr">
        <is>
          <t>ضریب هزینه پزشکی ناشی از حادثه</t>
        </is>
      </c>
      <c r="E12" s="137" t="n"/>
      <c r="F12" s="29" t="n">
        <v>0</v>
      </c>
      <c r="G12" s="23" t="inlineStr">
        <is>
          <t>ضریب از کار افتادگی ناشی از حادثه</t>
        </is>
      </c>
      <c r="H12" s="137" t="n"/>
      <c r="I12" s="26" t="n">
        <v>1</v>
      </c>
      <c r="J12" s="23" t="inlineStr">
        <is>
          <t>ضریب فوت حادثه</t>
        </is>
      </c>
      <c r="K12" s="229" t="n"/>
    </row>
    <row r="13" ht="16.5" customHeight="1" thickBot="1">
      <c r="B13" s="227" t="n"/>
      <c r="C13" s="137" t="n"/>
      <c r="D13" s="137" t="n"/>
      <c r="E13" s="137" t="n"/>
      <c r="F13" s="137" t="n"/>
      <c r="G13" s="137" t="n"/>
      <c r="H13" s="137" t="n"/>
      <c r="I13" s="137" t="n"/>
      <c r="J13" s="137" t="n"/>
      <c r="K13" s="229" t="n"/>
    </row>
    <row r="14" ht="16.5" customHeight="1" thickBot="1">
      <c r="B14" s="227" t="n"/>
      <c r="C14" s="28" t="n">
        <v>1</v>
      </c>
      <c r="D14" s="23" t="inlineStr">
        <is>
          <t>ضریب درآمد ازکارافتادگی</t>
        </is>
      </c>
      <c r="E14" s="137" t="n"/>
      <c r="F14" s="28" t="inlineStr">
        <is>
          <t>خیر</t>
        </is>
      </c>
      <c r="G14" s="23" t="inlineStr">
        <is>
          <t>دارای درامد از کارافتادگی</t>
        </is>
      </c>
      <c r="H14" s="137" t="n"/>
      <c r="I14" s="31" t="inlineStr">
        <is>
          <t>خیر</t>
        </is>
      </c>
      <c r="J14" s="23" t="inlineStr">
        <is>
          <t>دارای پوشش معافیت</t>
        </is>
      </c>
      <c r="K14" s="229" t="n"/>
      <c r="L14" s="139">
        <f>IF(I12&gt;3,3,I12)</f>
        <v/>
      </c>
      <c r="M14" s="140" t="inlineStr">
        <is>
          <t>ضریب فوت حادثه اعمال شده</t>
        </is>
      </c>
    </row>
    <row r="15" ht="16.5" customHeight="1" thickBot="1">
      <c r="B15" s="227" t="n"/>
      <c r="C15" s="137" t="n"/>
      <c r="D15" s="137" t="n"/>
      <c r="E15" s="137" t="n"/>
      <c r="F15" s="137" t="n"/>
      <c r="G15" s="137" t="n"/>
      <c r="H15" s="137" t="n"/>
      <c r="I15" s="137" t="n"/>
      <c r="J15" s="137" t="n"/>
      <c r="K15" s="229" t="n"/>
    </row>
    <row r="16" ht="16.5" customHeight="1" thickBot="1">
      <c r="B16" s="227" t="n"/>
      <c r="C16" s="22" t="inlineStr">
        <is>
          <t>بله</t>
        </is>
      </c>
      <c r="D16" s="23" t="inlineStr">
        <is>
          <t xml:space="preserve">منظور کردن پوشش ها در حق بیمه اولیه </t>
        </is>
      </c>
      <c r="E16" s="137" t="n"/>
      <c r="F16" s="115" t="inlineStr">
        <is>
          <t>ممتاز</t>
        </is>
      </c>
      <c r="G16" s="141" t="inlineStr">
        <is>
          <t>طرح امراض</t>
        </is>
      </c>
      <c r="H16" s="137" t="n"/>
      <c r="I16" s="30" t="n">
        <v>2500000000</v>
      </c>
      <c r="J16" s="23" t="inlineStr">
        <is>
          <t>سرمایه امراض</t>
        </is>
      </c>
      <c r="K16" s="229" t="n"/>
      <c r="L16" s="142">
        <f>IF(F12&gt;2,2,F12)</f>
        <v/>
      </c>
      <c r="M16" s="140" t="inlineStr">
        <is>
          <t>ضریب از کار افتادگی ناشی از حادثه اعمال شده</t>
        </is>
      </c>
    </row>
    <row r="17" ht="15.75" customHeight="1" thickBot="1">
      <c r="B17" s="143" t="n"/>
      <c r="C17" s="137" t="n"/>
      <c r="D17" s="137" t="n"/>
      <c r="E17" s="137" t="n"/>
      <c r="F17" s="137" t="n"/>
      <c r="G17" s="137" t="n"/>
      <c r="H17" s="137" t="n"/>
      <c r="I17" s="137" t="n"/>
      <c r="J17" s="137" t="n"/>
      <c r="K17" s="144" t="n"/>
    </row>
    <row r="18" ht="15.75" customHeight="1" thickBot="1">
      <c r="B18" s="143" t="n"/>
      <c r="C18" s="27" t="inlineStr">
        <is>
          <t>0%</t>
        </is>
      </c>
      <c r="D18" s="23" t="inlineStr">
        <is>
          <t>درصد اضافه نرخ پزشکی</t>
        </is>
      </c>
      <c r="E18" s="137" t="n"/>
      <c r="F18" s="31" t="inlineStr">
        <is>
          <t>طبقه یک</t>
        </is>
      </c>
      <c r="G18" s="23" t="inlineStr">
        <is>
          <t>طبقه شغلی بیمه‌گذار</t>
        </is>
      </c>
      <c r="H18" s="137" t="n"/>
      <c r="I18" s="28" t="inlineStr">
        <is>
          <t>طبقه یک</t>
        </is>
      </c>
      <c r="J18" s="23" t="inlineStr">
        <is>
          <t>طبقه شغلی بیمه‌شده</t>
        </is>
      </c>
      <c r="K18" s="144" t="n"/>
    </row>
    <row r="19" ht="15.75" customHeight="1" thickBot="1">
      <c r="B19" s="143" t="n"/>
      <c r="C19" s="137" t="n"/>
      <c r="D19" s="137" t="n"/>
      <c r="E19" s="137" t="n"/>
      <c r="F19" s="137" t="n"/>
      <c r="G19" s="137" t="n"/>
      <c r="H19" s="137" t="n"/>
      <c r="I19" s="137" t="n"/>
      <c r="J19" s="137" t="n"/>
      <c r="K19" s="144" t="n"/>
    </row>
    <row r="20" ht="16.5" customHeight="1" thickBot="1">
      <c r="B20" s="227" t="n"/>
      <c r="C20" s="24" t="n">
        <v>0</v>
      </c>
      <c r="D20" s="23" t="inlineStr">
        <is>
          <t>مبلغ پرداخت اضافه</t>
        </is>
      </c>
      <c r="E20" s="137" t="n"/>
      <c r="F20" s="24" t="n">
        <v>0</v>
      </c>
      <c r="G20" s="23" t="inlineStr">
        <is>
          <t>شماره آخرین سال در پرداخت اضافه</t>
        </is>
      </c>
      <c r="H20" s="137" t="n"/>
      <c r="I20" s="32" t="n">
        <v>0</v>
      </c>
      <c r="J20" s="23" t="inlineStr">
        <is>
          <t>شماره اولین سال در پرداخت اضافه</t>
        </is>
      </c>
      <c r="K20" s="229" t="n"/>
      <c r="L20" s="142">
        <f>C18</f>
        <v/>
      </c>
      <c r="M20" s="140" t="inlineStr">
        <is>
          <t>درصد اضافه نرخ پزشکی اعمال شده</t>
        </is>
      </c>
    </row>
    <row r="21" ht="16.5" customHeight="1" thickBot="1">
      <c r="B21" s="227" t="n"/>
      <c r="C21" s="137" t="n"/>
      <c r="D21" s="137" t="n"/>
      <c r="E21" s="137" t="n"/>
      <c r="F21" s="137" t="n"/>
      <c r="G21" s="137" t="n"/>
      <c r="H21" s="137" t="n"/>
      <c r="I21" s="137" t="n"/>
      <c r="J21" s="137" t="n"/>
      <c r="K21" s="144" t="n"/>
      <c r="L21" s="145" t="n"/>
      <c r="M21" s="146" t="n"/>
    </row>
    <row r="22" ht="16.5" customHeight="1" thickBot="1">
      <c r="B22" s="227" t="n"/>
      <c r="C22" s="137" t="n"/>
      <c r="D22" s="137" t="n"/>
      <c r="E22" s="137" t="n"/>
      <c r="F22" s="137" t="n"/>
      <c r="G22" s="137" t="n"/>
      <c r="H22" s="137" t="n"/>
      <c r="I22" s="33" t="inlineStr">
        <is>
          <t>33.69%</t>
        </is>
      </c>
      <c r="J22" s="23" t="inlineStr">
        <is>
          <t xml:space="preserve">میانگین نرخ سود قطعی </t>
        </is>
      </c>
      <c r="K22" s="144" t="n"/>
      <c r="L22" s="117">
        <f>I22*100</f>
        <v/>
      </c>
      <c r="M22" s="147" t="inlineStr">
        <is>
          <t xml:space="preserve">میانگین نرخ سود قطعی </t>
        </is>
      </c>
    </row>
    <row r="23" ht="15" customHeight="1" thickBot="1">
      <c r="B23" s="148" t="n"/>
      <c r="C23" s="149" t="n"/>
      <c r="D23" s="149" t="n"/>
      <c r="E23" s="149" t="n"/>
      <c r="F23" s="149" t="n"/>
      <c r="G23" s="149" t="n"/>
      <c r="H23" s="149" t="n"/>
      <c r="I23" s="149" t="n"/>
      <c r="J23" s="149" t="n"/>
      <c r="K23" s="150" t="n"/>
    </row>
    <row r="24" hidden="1" ht="15.75" customHeight="1" thickBot="1">
      <c r="B24" s="151" t="n"/>
      <c r="C24" s="152" t="n"/>
      <c r="D24" s="153" t="n"/>
      <c r="E24" s="153" t="n"/>
      <c r="F24" s="153" t="n"/>
      <c r="G24" s="153" t="n"/>
      <c r="H24" s="153" t="n"/>
      <c r="I24" s="153" t="n"/>
      <c r="J24" s="153" t="n"/>
      <c r="K24" s="154" t="n"/>
    </row>
    <row r="25" hidden="1" ht="42" customHeight="1" thickBot="1">
      <c r="B25" s="143" t="n"/>
      <c r="C25" s="155" t="n">
        <v>0</v>
      </c>
      <c r="D25" s="156" t="inlineStr">
        <is>
          <t>درصد تخفیف کارمزد</t>
        </is>
      </c>
      <c r="E25" s="151" t="n"/>
      <c r="F25" s="157" t="n">
        <v>0</v>
      </c>
      <c r="G25" s="156" t="inlineStr">
        <is>
          <t>درصد تخفیف هزینه‌های بیمه گری</t>
        </is>
      </c>
      <c r="H25" s="151" t="n"/>
      <c r="I25" s="157" t="n">
        <v>0</v>
      </c>
      <c r="J25" s="156" t="inlineStr">
        <is>
          <t>درصد تخفیف هزینه‌های اداری</t>
        </is>
      </c>
      <c r="K25" s="144" t="n"/>
      <c r="L25" s="19">
        <f>IF(F6&lt;=15,IF(AND(I10&lt;1500000000,I10&gt;501000000),25,0),IF(AND(F6&gt;=16,F6&lt;=35),IF(AND(I10&lt;5000000000,I10&gt;751000000),35,0),IF(AND(F6&gt;=36,F6&lt;=45),IF(AND(I10&lt;350000000,I10&gt;251000000),30,IF(AND(I10&lt;500000000,I10&gt;351000000),40,IF(AND(I10&lt;750000000,I10&gt;501000000),45,IF(AND(I10&lt;5000000000,I10&gt;751000000),50,0)))),IF(AND(F6&gt;=46,F6&lt;=55),IF(AND(I10&lt;350000000,I10&gt;251000000),45,IF(AND(I10&lt;5000000000,I10&gt;351000000),50,0)),IF(AND(F6&gt;=56,F6&lt;=60),IF(I10&lt;1500000000,50,0),IF(AND(F6&gt;=61,F6&lt;=70),IF(I10&lt;1500000000,60,0),0))))))/100</f>
        <v/>
      </c>
      <c r="M25" s="19" t="inlineStr">
        <is>
          <t>اضافه نرخ ناشی از حذف آزمایش</t>
        </is>
      </c>
    </row>
    <row r="26" hidden="1" ht="15.75" customHeight="1" thickBot="1">
      <c r="B26" s="158" t="n"/>
      <c r="C26" s="159" t="n"/>
      <c r="D26" s="151" t="n"/>
      <c r="E26" s="151" t="n"/>
      <c r="F26" s="151" t="n"/>
      <c r="G26" s="151" t="n"/>
      <c r="H26" s="151" t="n"/>
      <c r="I26" s="151" t="n"/>
      <c r="J26" s="151" t="n"/>
      <c r="K26" s="144" t="n"/>
    </row>
    <row r="27" hidden="1" ht="42" customHeight="1" thickBot="1">
      <c r="B27" s="143" t="n"/>
      <c r="C27" s="157" t="n">
        <v>0</v>
      </c>
      <c r="D27" s="156" t="inlineStr">
        <is>
          <t>درصد تخفیف پوشش هزینه های پزشکی بر اثر حادثه</t>
        </is>
      </c>
      <c r="E27" s="151" t="n"/>
      <c r="F27" s="157" t="n">
        <v>0</v>
      </c>
      <c r="G27" s="156" t="inlineStr">
        <is>
          <t>درصد تخفیف پوشش نقص عضو دائم ناشی از حادثه</t>
        </is>
      </c>
      <c r="H27" s="151" t="n"/>
      <c r="I27" s="157" t="n">
        <v>0</v>
      </c>
      <c r="J27" s="156" t="inlineStr">
        <is>
          <t>درصد تخفیف پوشش فوت بر اثر حادثه</t>
        </is>
      </c>
      <c r="K27" s="144" t="n"/>
    </row>
    <row r="28" hidden="1" ht="16.5" customHeight="1" thickBot="1">
      <c r="B28" s="143" t="n"/>
      <c r="C28" s="151" t="n"/>
      <c r="D28" s="151" t="n"/>
      <c r="E28" s="151" t="n"/>
      <c r="F28" s="151" t="n"/>
      <c r="G28" s="151" t="n"/>
      <c r="H28" s="151" t="n"/>
      <c r="I28" s="151" t="n"/>
      <c r="J28" s="151" t="n"/>
      <c r="K28" s="144" t="n"/>
      <c r="L28" s="160">
        <f>IF(C12&lt;0,0,IF(C12&lt;0.2,C12,0.2))</f>
        <v/>
      </c>
      <c r="M28" s="147" t="inlineStr">
        <is>
          <t>ضریب هزینه پزشکی ناشی از حادثه</t>
        </is>
      </c>
    </row>
    <row r="29" hidden="1" ht="42" customHeight="1" thickBot="1">
      <c r="B29" s="143" t="n"/>
      <c r="C29" s="151" t="n"/>
      <c r="D29" s="151" t="n"/>
      <c r="E29" s="151" t="n"/>
      <c r="F29" s="157" t="n">
        <v>0</v>
      </c>
      <c r="G29" s="156" t="inlineStr">
        <is>
          <t>درصد تخفیف پوشش معافیت از پرداخت حق بیمه و درآمد از کارافتادگی بر اثر از کارافتادگی کامل</t>
        </is>
      </c>
      <c r="H29" s="151" t="n"/>
      <c r="I29" s="157" t="n">
        <v>0</v>
      </c>
      <c r="J29" s="156" t="inlineStr">
        <is>
          <t>درصد تخفیف پوشش امراض صعب العلاج</t>
        </is>
      </c>
      <c r="K29" s="144" t="n"/>
    </row>
    <row r="30" hidden="1" ht="16.5" customHeight="1" thickBot="1">
      <c r="B30" s="148" t="n"/>
      <c r="C30" s="161" t="n"/>
      <c r="D30" s="161" t="n"/>
      <c r="E30" s="161" t="n"/>
      <c r="F30" s="161" t="n"/>
      <c r="G30" s="161" t="n"/>
      <c r="H30" s="161" t="n"/>
      <c r="I30" s="161" t="n"/>
      <c r="J30" s="161" t="n"/>
      <c r="K30" s="150" t="n"/>
    </row>
    <row r="32" ht="16.5" customHeight="1" thickBot="1">
      <c r="D32" s="230" t="n"/>
    </row>
    <row r="33" ht="21.75" customFormat="1" customHeight="1" s="1">
      <c r="B33" s="231" t="inlineStr">
        <is>
          <t xml:space="preserve">پیش از اولین استفاده از جدول، مراحل تشریح شده در sheet راهنما را انجام دهید.
توجه: با توجه به فرموله بودن محاسبات جدول آفلاین بیمه نامه عمر و تشکیل سرمایه، از پاک نمودن اعداد ثبت شده در قسمت "ورود اطلاعات" خودداری نموده و تغییرات موردنظر را بدون پاک کردن داده ی قبلی درج شده در سلول (از کلید Delete یا Backspace استفاده نفرمائید)، اعمال فرمائید. 
به عنوان نمونه در صورت نیاز به تغییر حق بیمه از 20000000 (عدد درج شده در جدول) به عدد 30000000 (عدد مورد نظر بیمه گذار) بدون حذف کردن عدد 20000000، سلول مربوطه را انتخاب نموده و عدد جدید را ثبت نمائید. </t>
        </is>
      </c>
      <c r="C33" s="211" t="n"/>
      <c r="D33" s="211" t="n"/>
      <c r="E33" s="211" t="n"/>
      <c r="F33" s="211" t="n"/>
      <c r="G33" s="211" t="n"/>
      <c r="H33" s="211" t="n"/>
      <c r="I33" s="211" t="n"/>
      <c r="J33" s="211" t="n"/>
      <c r="K33" s="212" t="n"/>
    </row>
    <row r="34" ht="21.75" customFormat="1" customHeight="1" s="1">
      <c r="B34" s="232" t="n"/>
      <c r="C34" s="19" t="n"/>
      <c r="D34" s="19" t="n"/>
      <c r="E34" s="19" t="n"/>
      <c r="F34" s="19" t="n"/>
      <c r="G34" s="19" t="n"/>
      <c r="H34" s="19" t="n"/>
      <c r="I34" s="19" t="n"/>
      <c r="J34" s="19" t="n"/>
      <c r="K34" s="233" t="n"/>
      <c r="S34" s="1" t="inlineStr">
        <is>
          <t> </t>
        </is>
      </c>
    </row>
    <row r="35" ht="21.75" customFormat="1" customHeight="1" s="1">
      <c r="B35" s="232" t="n"/>
      <c r="C35" s="19" t="n"/>
      <c r="D35" s="19" t="n"/>
      <c r="E35" s="19" t="n"/>
      <c r="F35" s="19" t="n"/>
      <c r="G35" s="19" t="n"/>
      <c r="H35" s="19" t="n"/>
      <c r="I35" s="19" t="n"/>
      <c r="J35" s="19" t="n"/>
      <c r="K35" s="233" t="n"/>
    </row>
    <row r="36" ht="21.75" customFormat="1" customHeight="1" s="1" thickBot="1">
      <c r="B36" s="226" t="n"/>
      <c r="C36" s="214" t="n"/>
      <c r="D36" s="214" t="n"/>
      <c r="E36" s="214" t="n"/>
      <c r="F36" s="214" t="n"/>
      <c r="G36" s="214" t="n"/>
      <c r="H36" s="214" t="n"/>
      <c r="I36" s="214" t="n"/>
      <c r="J36" s="214" t="n"/>
      <c r="K36" s="215" t="n"/>
    </row>
  </sheetData>
  <mergeCells count="4">
    <mergeCell ref="D2:I3"/>
    <mergeCell ref="B33:K36"/>
    <mergeCell ref="J2:K3"/>
    <mergeCell ref="B2:C3"/>
  </mergeCells>
  <dataValidations count="6">
    <dataValidation sqref="F18 I18" showDropDown="0" showInputMessage="1" showErrorMessage="1" allowBlank="1" type="list">
      <formula1>"طبقه چهار,طبقه دو از کار افتادگی,طبقه دو کلی,طبقه سه از کار افتادگی,طبقه سه کلی,طبقه یک,طبقه پنج"</formula1>
    </dataValidation>
    <dataValidation sqref="C16 C49 F14 I14" showDropDown="0" showInputMessage="1" showErrorMessage="1" allowBlank="1" type="list">
      <formula1>"بله,خیر"</formula1>
    </dataValidation>
    <dataValidation sqref="C8" showDropDown="0" showInputMessage="1" showErrorMessage="1" allowBlank="1" type="list">
      <formula1>"ماهانه ,دو ماهه, سه ماهه ,چهارماهه, شش ماهه ,سالانه"</formula1>
    </dataValidation>
    <dataValidation sqref="C14 I47" showDropDown="0" showInputMessage="1" showErrorMessage="1" allowBlank="1" type="list">
      <formula1>"1,2,3"</formula1>
    </dataValidation>
    <dataValidation sqref="F16" showDropDown="0" showInputMessage="1" showErrorMessage="1" allowBlank="1" type="list">
      <formula1>INDIRECT($C$10)</formula1>
    </dataValidation>
    <dataValidation sqref="C10" showDropDown="0" showInputMessage="1" showErrorMessage="1" allowBlank="1" type="list">
      <formula1>$L$6:$P$6</formula1>
    </dataValidation>
  </dataValidations>
  <pageMargins left="0.7" right="0.7" top="0.75" bottom="0.75" header="0.3" footer="0.3"/>
  <pageSetup orientation="landscape" paperSize="9" scale="65"/>
</worksheet>
</file>

<file path=xl/worksheets/sheet4.xml><?xml version="1.0" encoding="utf-8"?>
<worksheet xmlns="http://schemas.openxmlformats.org/spreadsheetml/2006/main">
  <sheetPr>
    <outlinePr summaryBelow="1" summaryRight="1"/>
    <pageSetUpPr fitToPage="1"/>
  </sheetPr>
  <dimension ref="A1:AJ109"/>
  <sheetViews>
    <sheetView topLeftCell="AB1" zoomScale="82" zoomScaleNormal="82" workbookViewId="0">
      <pane ySplit="3" topLeftCell="AB58" activePane="bottomLeft" state="frozen"/>
      <selection activeCell="T1" sqref="T1"/>
      <selection pane="bottomLeft" activeCell="AN4" sqref="AN4"/>
    </sheetView>
  </sheetViews>
  <sheetFormatPr baseColWidth="8" defaultColWidth="25.421875" defaultRowHeight="15"/>
  <cols>
    <col width="25.421875" customWidth="1" style="19" min="1" max="1"/>
    <col width="17.62109375" customWidth="1" style="19" min="2" max="2"/>
    <col width="25.421875" customWidth="1" style="20" min="3" max="5"/>
    <col hidden="1" width="13" customWidth="1" style="19" min="6" max="25"/>
    <col width="25.421875" customWidth="1" style="19" min="26" max="26"/>
    <col width="31.74609375" customWidth="1" style="19" min="27" max="27"/>
    <col width="19.7734375" customWidth="1" style="19" min="28" max="28"/>
    <col width="25.421875" customWidth="1" style="19" min="29" max="32"/>
    <col hidden="1" width="13" customWidth="1" style="172" min="33" max="33"/>
    <col width="16.94921875" customWidth="1" style="19" min="34" max="34"/>
    <col hidden="1" width="13" customWidth="1" style="19" min="35" max="35"/>
    <col width="16.8125" customWidth="1" style="19" min="36" max="36"/>
    <col width="25.421875" customWidth="1" style="19" min="37" max="16384"/>
  </cols>
  <sheetData>
    <row r="1" ht="28.15" customHeight="1" thickBot="1">
      <c r="A1" s="263" t="inlineStr">
        <is>
          <t>جدول خروجی بیمه سامان</t>
        </is>
      </c>
      <c r="B1" s="234" t="n"/>
      <c r="C1" s="234" t="n"/>
      <c r="D1" s="234" t="n"/>
      <c r="E1" s="234" t="n"/>
      <c r="F1" s="234" t="n"/>
      <c r="G1" s="234" t="n"/>
      <c r="H1" s="234" t="n"/>
      <c r="I1" s="234" t="n"/>
      <c r="J1" s="234" t="n"/>
      <c r="K1" s="234" t="n"/>
      <c r="L1" s="234" t="n"/>
      <c r="M1" s="234" t="n"/>
      <c r="N1" s="234" t="n"/>
      <c r="O1" s="234" t="n"/>
      <c r="P1" s="234" t="n"/>
      <c r="Q1" s="234" t="n"/>
      <c r="R1" s="234" t="n"/>
      <c r="S1" s="234" t="n"/>
      <c r="T1" s="234" t="n"/>
      <c r="U1" s="234" t="n"/>
      <c r="V1" s="234" t="n"/>
      <c r="W1" s="234" t="n"/>
      <c r="X1" s="234" t="n"/>
      <c r="Y1" s="234" t="n"/>
      <c r="Z1" s="234" t="n"/>
      <c r="AA1" s="234" t="n"/>
      <c r="AB1" s="234" t="n"/>
      <c r="AC1" s="234" t="n"/>
      <c r="AD1" s="234" t="n"/>
      <c r="AE1" s="234" t="n"/>
      <c r="AF1" s="234" t="n"/>
      <c r="AG1" s="234" t="n"/>
      <c r="AH1" s="234" t="n"/>
      <c r="AI1" s="234" t="n"/>
      <c r="AJ1" s="234" t="n"/>
    </row>
    <row r="2" ht="14.25" customFormat="1" customHeight="1" s="1" thickBot="1">
      <c r="A2" s="2" t="n"/>
      <c r="B2" s="3" t="n"/>
      <c r="C2" s="258">
        <f>IF(Info!$I$14="بله",IF(Info!$F$14="بله","بله "&amp;Info!$C$14&amp;" برابر ","خیر"),"خیر")</f>
        <v/>
      </c>
      <c r="D2" s="259" t="inlineStr">
        <is>
          <t>دارای پوشش درآمد ازکارافتادگی</t>
        </is>
      </c>
      <c r="E2" s="235" t="n"/>
      <c r="F2" s="2" t="n"/>
      <c r="G2" s="2" t="n"/>
      <c r="H2" s="2" t="n"/>
      <c r="I2" s="2" t="n"/>
      <c r="J2" s="2" t="n"/>
      <c r="K2" s="2" t="n"/>
      <c r="L2" s="2" t="n"/>
      <c r="M2" s="2" t="n"/>
      <c r="N2" s="2" t="n"/>
      <c r="O2" s="2" t="n"/>
      <c r="P2" s="2" t="n"/>
      <c r="Q2" s="2" t="n"/>
      <c r="R2" s="2" t="n"/>
      <c r="S2" s="2" t="n"/>
      <c r="T2" s="2" t="n"/>
      <c r="U2" s="2" t="n"/>
      <c r="V2" s="2" t="n"/>
      <c r="W2" s="2" t="n"/>
      <c r="X2" s="2" t="n"/>
      <c r="Y2" s="2" t="n"/>
      <c r="Z2" s="5" t="n"/>
      <c r="AA2" s="5" t="n"/>
      <c r="AB2" s="258">
        <f>IF(Info!$I$14="بله","بله","خیر")</f>
        <v/>
      </c>
      <c r="AC2" s="259" t="inlineStr">
        <is>
          <t>دارای پوشش معافیت از پرداخت حق بیمه</t>
        </is>
      </c>
      <c r="AD2" s="235" t="n"/>
      <c r="AE2" s="2" t="n"/>
      <c r="AF2" s="2" t="n"/>
      <c r="AG2" s="165" t="n"/>
      <c r="AH2" s="2" t="n"/>
      <c r="AI2" s="3" t="n"/>
      <c r="AJ2" s="3" t="n"/>
    </row>
    <row r="3" ht="84" customFormat="1" customHeight="1" s="163" thickBot="1">
      <c r="A3" s="260" t="inlineStr">
        <is>
          <t>مبلغ هر قسط</t>
        </is>
      </c>
      <c r="B3" s="260" t="inlineStr">
        <is>
          <t>تعداد اقساط در سال</t>
        </is>
      </c>
      <c r="C3" s="261">
        <f>"  اندوخته صندوق سرمایه گذاری " &amp; Info!C10&amp;" با سود "&amp;ROUND(Info!L22,1)&amp;" درصد (میانگین سود قطعی 5 سال گذشته)"</f>
        <v/>
      </c>
      <c r="D3" s="262" t="inlineStr">
        <is>
          <t>ارزش بازخریدی با نرخ تضمینی</t>
        </is>
      </c>
      <c r="E3" s="262" t="inlineStr">
        <is>
          <t>اندوخته تضمین شده</t>
        </is>
      </c>
      <c r="F3" s="6" t="inlineStr">
        <is>
          <t>خالص حیات</t>
        </is>
      </c>
      <c r="G3" s="6" t="inlineStr">
        <is>
          <t>عوارض شهرداری</t>
        </is>
      </c>
      <c r="H3" s="6" t="inlineStr">
        <is>
          <t>مالیات</t>
        </is>
      </c>
      <c r="I3" s="6" t="inlineStr">
        <is>
          <t>هزینه تقسیط</t>
        </is>
      </c>
      <c r="J3" s="6" t="inlineStr">
        <is>
          <t>اداری + بیمه‌گری + کارمزد</t>
        </is>
      </c>
      <c r="K3" s="6" t="inlineStr">
        <is>
          <t>اضافه نرخ پزشکی عمر</t>
        </is>
      </c>
      <c r="L3" s="6" t="inlineStr">
        <is>
          <t>پوشش‌های اضافی</t>
        </is>
      </c>
      <c r="M3" s="6" t="inlineStr">
        <is>
          <t xml:space="preserve">هزینه فروش (کارمزد_ع ت س)  </t>
        </is>
      </c>
      <c r="N3" s="6" t="inlineStr">
        <is>
          <t>کارمزد</t>
        </is>
      </c>
      <c r="O3" s="6" t="inlineStr">
        <is>
          <t>هزینه فروش</t>
        </is>
      </c>
      <c r="P3" s="6" t="inlineStr">
        <is>
          <t>هزینه اداری</t>
        </is>
      </c>
      <c r="Q3" s="6" t="inlineStr">
        <is>
          <t>هزینه بیمه‌گری</t>
        </is>
      </c>
      <c r="R3" s="6" t="inlineStr">
        <is>
          <t>حق‌بیمه معافیت</t>
        </is>
      </c>
      <c r="S3" s="6" t="inlineStr">
        <is>
          <t>ضریب حق‌بیمه معافیت</t>
        </is>
      </c>
      <c r="T3" s="6" t="inlineStr">
        <is>
          <t>حق‌بیمه نقص عضو ناشی حادثه</t>
        </is>
      </c>
      <c r="U3" s="6" t="inlineStr">
        <is>
          <t>حق‌بیمه فوت ناشی از حادثه</t>
        </is>
      </c>
      <c r="V3" s="6" t="inlineStr">
        <is>
          <t>حق‌بیمه هزینه پزشکی ناشی از حادثه</t>
        </is>
      </c>
      <c r="W3" s="6">
        <f>CONCATENATE("حق‌بیمه امراض"&amp;" "&amp;Info!F16)</f>
        <v/>
      </c>
      <c r="X3" s="6" t="inlineStr">
        <is>
          <t>حق‌بیمه اصلی</t>
        </is>
      </c>
      <c r="Y3" s="6" t="inlineStr">
        <is>
          <t>حق‌بیمه خطر فوت</t>
        </is>
      </c>
      <c r="Z3" s="260" t="inlineStr">
        <is>
          <t>سرمایه هزینه پزشکی ناشی از حادثه</t>
        </is>
      </c>
      <c r="AA3" s="260">
        <f>CONCATENATE("سرمایه بیماری‌های "&amp;" "&amp;Info!F16)</f>
        <v/>
      </c>
      <c r="AB3" s="260" t="inlineStr">
        <is>
          <t>سرمایه ازکارافتادگی ناشی از حادثه</t>
        </is>
      </c>
      <c r="AC3" s="260" t="inlineStr">
        <is>
          <t>سرمایه فوت ناشی از حادثه</t>
        </is>
      </c>
      <c r="AD3" s="260">
        <f>"سرمایه فوت با تعدیل "&amp;(100*Info!$F$10)&amp;" درصد"</f>
        <v/>
      </c>
      <c r="AE3" s="260" t="inlineStr">
        <is>
          <t>جمع حق‌بیمه پرداختی</t>
        </is>
      </c>
      <c r="AF3" s="260">
        <f>"حق‌بیمه پیشنهادی با تعدیل "&amp;(Info!$F$8*100) &amp; "درصد"</f>
        <v/>
      </c>
      <c r="AG3" s="166">
        <f>"حق‌بیمه پیشنهادی با تعدیل "&amp;(100*Info!$F$8)&amp;" درصد"</f>
        <v/>
      </c>
      <c r="AH3" s="260" t="inlineStr">
        <is>
          <t>سن بیمه‌گذار</t>
        </is>
      </c>
      <c r="AI3" s="6" t="inlineStr">
        <is>
          <t>سن بیمه‌شده</t>
        </is>
      </c>
      <c r="AJ3" s="260" t="inlineStr">
        <is>
          <t>مدت</t>
        </is>
      </c>
    </row>
    <row r="4" ht="14.25" customFormat="1" customHeight="1" s="164">
      <c r="A4" s="112">
        <f>IF(B4&gt;0,IF(Info!$C$16="بله",AG4/B4,(AG4+L4)/B4),0)</f>
        <v/>
      </c>
      <c r="B4" s="112">
        <f>IF(AND(AI4&gt;=0,AJ4&lt;=Info!$I$6),LOOKUP(Info!$C$8,Rates!$I$2:$I$7,Rates!$F$2:$F$7),0)</f>
        <v/>
      </c>
      <c r="C4" s="113">
        <f>IF(AND(AI4&gt;=0,AJ4&lt;=Info!$I$6),F4+F4*(IF(AJ4&gt;4,LOOKUP(Info!$C$10,Rates!$D$2:$D$7,Rates!$A$2:$A$7),LOOKUP(Info!$C$10,Rates!$D$2:$D$7,Rates!$C$2:$C$7))+(Info!$I$22-IF(AJ4&gt;4,LOOKUP(Info!$C$10,Rates!$D$2:$D$7,Rates!$A$2:$A$7),LOOKUP(Info!$C$10,Rates!$D$2:$D$7,Rates!$C$2:$C$7))))*LOOKUP(Info!$C$8,Rates!$I$2:$I$7,Rates!$G$2:$G$7),0)</f>
        <v/>
      </c>
      <c r="D4" s="113">
        <f>IF(AI4&lt;&gt;"",0.9*E4,"")</f>
        <v/>
      </c>
      <c r="E4" s="113">
        <f>IF(AI4&gt;=0,F4*(1+IF(AJ4&lt;=2,VLOOKUP(Info!$C$10,Rates!$A$14:$B$19,2,FALSE),IF(AJ4&lt;=4,VLOOKUP(Info!$C$10,Rates!$A$14:$C$19,3,FALSE),VLOOKUP(Info!$C$10,Rates!$A$14:$D$19,4,FALSE)))*LOOKUP(Info!$C$8,Rates!$I$2:$I$8,Rates!$G$2:$G$8)),0)</f>
        <v/>
      </c>
      <c r="F4" s="113">
        <f>IF(AI4&lt;&gt;"",IF(Info!$C$16="بله",IF(AND(AJ4&lt;=Info!$F$20,AJ4&gt;=Info!$I$20),Info!$C$20,0)+(AG4-Y4-L4-K4-J4-I4-H4-G4),IF(AND(AJ4&lt;=Info!$F$20,AJ4&gt;=Info!$I$20),Info!$C$20,0)+(AG4-Y4-K4-J4-I4-H4-G4)),"")</f>
        <v/>
      </c>
      <c r="G4" s="114">
        <f>IF(AI4&lt;&gt;"",Rates!$AA$11*(L4),"")</f>
        <v/>
      </c>
      <c r="H4" s="114">
        <f>IF(AI4&lt;&gt;"",(Rates!$AC$11+Rates!$AB$11)*(L4),"")</f>
        <v/>
      </c>
      <c r="I4" s="113">
        <f>IF(AI4&lt;&gt;"",LOOKUP(Info!$C$8,Rates!$I$2:$I$7,Rates!$H$2:$H$7)*(J4+K4+L4+Y4),"")</f>
        <v/>
      </c>
      <c r="J4" s="113">
        <f>IF(N4="",0,N4)+IF(P4="",0,P4)+IF(Q4="",0,Q4)</f>
        <v/>
      </c>
      <c r="K4" s="113">
        <f>IF(Y4&lt;&gt;"",Info!$C$18*Y4,"")</f>
        <v/>
      </c>
      <c r="L4" s="113">
        <f>IF(R4="",0,R4)+IF(U4="",0,U4)+IF(W4="",0,W4)+IF(V4="",0,V4)+IF(T4="",0,T4)</f>
        <v/>
      </c>
      <c r="M4" s="113">
        <f>30/100*O4</f>
        <v/>
      </c>
      <c r="N4" s="113">
        <f>30/100*O4</f>
        <v/>
      </c>
      <c r="O4" s="113">
        <f>IF(AJ4&lt;=10,(1-Info!$C$25)*MIN(30/1000*AD4,0.75*X4),"")</f>
        <v/>
      </c>
      <c r="P4" s="113">
        <f>IF(AJ4&lt;=5,IF(AI4&lt;&gt;"",0.002*AD4,"")*(1-Info!$I$25),0)</f>
        <v/>
      </c>
      <c r="Q4" s="113">
        <f>(1-Info!$F$25)*IF(AI4&lt;&gt;"",IF(Info!$C$16="بله",0.07*X4,0.07*AG4),"")</f>
        <v/>
      </c>
      <c r="R4" s="113">
        <f>IF(X4&lt;&gt;0,S4*X4,0)*(1-Info!$F$29)</f>
        <v/>
      </c>
      <c r="S4" s="114">
        <f>IF(Info!$I$14="خیر",0,IF(Info!$F$14="بله",IF(Info!$C$14=1,2.3,IF(Info!$C$14=2,3.3,4.3)),1))*IF(AND(AH4&lt;=Rates!$Y$8,AH4&gt;0),(1+Info!$C$18)*(1+LOOKUP(Info!$F$18,Rates!$O$2:$O$9,Rates!$L$2:$L$9)/100)*(LOOKUP(Info!$C$6,Rates!$T$2:$T$108,Rates!$R$2:$R$108)/100),0)</f>
        <v/>
      </c>
      <c r="T4" s="113">
        <f>IF(AI4&lt;71,(1-Info!$F$27)*((AB4*0.0008*(1+(LOOKUP(Info!$I$18,Rates!$O$2:$O$9,Rates!$M$2:$M$9)/100)))),0)</f>
        <v/>
      </c>
      <c r="U4" s="113">
        <f>IF(AI4&lt;71,(1-Info!$I$27)*(((AD4*0.0008*Info!$L$14))*(1+(LOOKUP(Info!$I$18,Rates!$O:$O,Rates!$N:$N)/100))),0)</f>
        <v/>
      </c>
      <c r="V4" s="113">
        <f>((Z4*0.0008))*(1+(LOOKUP(Info!$I$18,Rates!$O$2:$O$9,Rates!$M$2:$M$9)/100))*(1-Info!$C$27)</f>
        <v/>
      </c>
      <c r="W4" s="113">
        <f>IF(AND(AI4&lt;=Rates!$Y$2,AJ4&lt;=Info!$I$6,Info!$F$16="معمولی"),VLOOKUP(AI4,Rates!$T$1:$X$108,5,0),IF(AND(AI4&lt;=Rates!$Y$2,AJ4&lt;=Info!$I$6,Info!$F$16="پایه"),VLOOKUP(AI4,Rates!$T$1:$X$108,2,0),IF(AND(AI4&lt;=Rates!$Y$2,AJ4&lt;=Info!$I$6,Info!$F$16="آسایش "),VLOOKUP(AI4,Rates!$T$1:$X$108,3,0),IF(AND(AI4&lt;=Rates!$Y$2,AJ4&lt;=Info!$I$6,Info!$F$16="ممتاز"),VLOOKUP(AI4,Rates!$T$1:$X$108,4,0),0))))*AA4/1000000*(1+Info!$C$18)*(1-Info!$I$29)</f>
        <v/>
      </c>
      <c r="X4" s="113">
        <f>IF(Info!$C$16="بله",(AG4-W4-U4-V4-T4)/(1+S4),AG4)</f>
        <v/>
      </c>
      <c r="Y4" s="114">
        <f>IF(AI4&gt;=0,(AD4*LOOKUP(AI4,Rates!$T$2:$T$108,Rates!$S$2:$S$108))/SQRT(1.1),0)</f>
        <v/>
      </c>
      <c r="Z4" s="114">
        <f>IF(AND(AI4&lt;=Rates!$Y$10,AI4&gt;=0),Info!$C$12*(AC4-AD4),0)</f>
        <v/>
      </c>
      <c r="AA4" s="8">
        <f>IF(AND(AI4&lt;=Rates!$Y$2,Info!$F$16="معمولی"),MIN(0.5*$AD$4,300000000,Info!$I$16), IF(AND(AI4&lt;=Rates!$Y$2,AI4&gt;-1),MIN($AD$4,Info!$I$16,5000000000),0))</f>
        <v/>
      </c>
      <c r="AB4" s="114">
        <f>IF(AND(AI4&gt;=0,AI4&lt;=65),AD4*Info!$L$16,0)</f>
        <v/>
      </c>
      <c r="AC4" s="8">
        <f>IF(AND(AI4&gt;=0,AI4&lt;=Rates!$Y$3),AD4*(1+Info!$L$14),AD4)</f>
        <v/>
      </c>
      <c r="AD4" s="108">
        <f>IF(AI4&gt;=0,Info!$I$10,0)</f>
        <v/>
      </c>
      <c r="AE4" s="103">
        <f>AF4</f>
        <v/>
      </c>
      <c r="AF4" s="8">
        <f>IF(AI4&gt;=0,IF(Info!$C$16="بله",AG4,AG4+L4),"")</f>
        <v/>
      </c>
      <c r="AG4" s="167">
        <f>IF(AI4&gt;=0,Info!$I$8,"")</f>
        <v/>
      </c>
      <c r="AH4" s="109">
        <f>IF(AJ4&lt;&gt;"",Info!$C$6+AJ4-1,0)</f>
        <v/>
      </c>
      <c r="AI4" s="9">
        <f>IF(AJ4&lt;&gt;"",IF(Info!$F$6+AJ4-1&lt;=Rates!$Y$11,Info!$F$6+AJ4-1,0),0)</f>
        <v/>
      </c>
      <c r="AJ4" s="10">
        <f>IF(Info!$I$6&gt;=5,1,"")</f>
        <v/>
      </c>
    </row>
    <row r="5" ht="14.25" customFormat="1" customHeight="1" s="164">
      <c r="A5" s="11">
        <f>IF(B5&gt;0,IF(Info!$C$16="بله",AG5/B5,(AG5+L5)/B5),0)</f>
        <v/>
      </c>
      <c r="B5" s="11">
        <f>IF(AND(AI5&gt;=0,AJ5&lt;=Info!$I$6),LOOKUP(Info!$C$8,Rates!$I$2:$I$7,Rates!$F$2:$F$7),0)</f>
        <v/>
      </c>
      <c r="C5" s="12">
        <f>IF(AND(AI5&gt;=0,AJ5&lt;=Info!$I$6),F5+F5*(IF(AJ5&lt;3,VLOOKUP(Info!$C$10,Rates!$A$15:$B$19,2,FALSE),IF(AJ5&lt;5,VLOOKUP(Info!$C$10,Rates!$A$15:$C$19,3,FALSE),VLOOKUP(Info!$C$10,Rates!$A$15:$D$19,4,FALSE)))+(Info!$I$22-IF(AJ5&gt;4,LOOKUP(Info!$C$10,Rates!$D$2:$D$7,Rates!$A$2:$A$7),LOOKUP(Info!$C$10,Rates!$D$2:$D$7,Rates!$C$2:$C$7))))*LOOKUP(Info!$C$8,Rates!$I$2:$I$7,Rates!$G$2:$G$7)+C4*(1+IF(AJ5&lt;3,VLOOKUP(Info!$C$10,Rates!$A$15:$B$19,2,FALSE),IF(AJ5&lt;5,VLOOKUP(Info!$C$10,Rates!$A$15:$C$19,3,FALSE),VLOOKUP(Info!$C$10,Rates!$A$15:$D$19,4,FALSE)))+(Info!$I$22-IF(AJ5&lt;3,VLOOKUP(Info!$C$10,Rates!$A$15:$B$19,2,FALSE),IF(AJ5&lt;5,VLOOKUP(Info!$C$10,Rates!$A$15:$C$19,3,FALSE),VLOOKUP(Info!$C$10,Rates!$A$15:$D$19,4,FALSE))))),0)</f>
        <v/>
      </c>
      <c r="D5" s="12">
        <f>IF(AI5&lt;&gt;"",0.91*E5,"")</f>
        <v/>
      </c>
      <c r="E5" s="12">
        <f>IF(AI5&lt;&gt;0,F5*(1+IF(AJ5&lt;3,VLOOKUP(Info!$C$10,Rates!$A$14:$B$19,2,FALSE),IF(AJ5&lt;5,VLOOKUP(Info!$C$10,Rates!$A$14:$C$19,3,FALSE),VLOOKUP(Info!$C$10,Rates!$A$14:$D$19,4,FALSE)))*LOOKUP(Info!$C$8,Rates!$I$2:$I$8,Rates!$G$2:$G$8))+E4*(1+IF(AJ5&lt;3,VLOOKUP(Info!$C$10,Rates!$A$14:$B$19,2,FALSE),IF(AJ5&lt;5,VLOOKUP(Info!$C$10,Rates!$A$14:$C$19,3,FALSE),VLOOKUP(Info!$C$10,Rates!$A$14:$D$19,4,FALSE)))),0)</f>
        <v/>
      </c>
      <c r="F5" s="12">
        <f>IF(AI5&lt;&gt;"",IF(Info!$C$16="بله",IF(AND(AJ5&lt;=Info!$F$20,AJ5&gt;=Info!$I$20),Info!$C$20,0)+(AG5-Y5-L5-K5-J5-I5-H5-G5),IF(AND(AJ5&lt;=Info!$F$20,AJ5&gt;=Info!$I$20),Info!$C$20,0)+(AG5-Y5-K5-J5-I5-H5-G5)),"")</f>
        <v/>
      </c>
      <c r="G5" s="107">
        <f>IF(AI5&lt;&gt;"",Rates!$AA$11*(L5),"")</f>
        <v/>
      </c>
      <c r="H5" s="107">
        <f>IF(AI5&lt;&gt;"",(Rates!$AC$11+Rates!$AB$11)*(L5),"")</f>
        <v/>
      </c>
      <c r="I5" s="12">
        <f>IF(AI5&lt;&gt;"",LOOKUP(Info!$C$8,Rates!$I$2:$I$7,Rates!$H$2:$H$7)*(J5+K5+L5+Y5),"")</f>
        <v/>
      </c>
      <c r="J5" s="12">
        <f>IF(N5="",0,N5)+IF(P5="",0,P5)+IF(Q5="",0,Q5)</f>
        <v/>
      </c>
      <c r="K5" s="12">
        <f>IF(Y5&lt;&gt;"",Info!$C$18*Y5,"")</f>
        <v/>
      </c>
      <c r="L5" s="12">
        <f>IF(R5="",0,R5)+IF(U5="",0,U5)+IF(W5="",0,W5)+IF(V5="",0,V5)+IF(T5="",0,T5)</f>
        <v/>
      </c>
      <c r="M5" s="12">
        <f>0.3*O5+0.7*O4*0.25</f>
        <v/>
      </c>
      <c r="N5" s="12">
        <f>N4+0.3*O5-12.5/100*O4</f>
        <v/>
      </c>
      <c r="O5" s="12">
        <f>IF(AJ5&lt;=10,(1-Info!$C$25)*IF(OR(Info!$F$8&gt;0,Info!$F$10&gt;0),IF(0.75*$X$4&lt;=0.03*$AD$4,0.75*(X5-X4),0.03*(AD5-AD4)),0),"")</f>
        <v/>
      </c>
      <c r="P5" s="12">
        <f>IF(AJ5&lt;=5,IF(AI5&lt;&gt;"",0.002*AD5,"")*(1-Info!$I$25),0)</f>
        <v/>
      </c>
      <c r="Q5" s="12">
        <f>(1-Info!$F$25)*IF(AI5&lt;&gt;"",IF(Info!$C$16="بله",0.07*X5,0.07*AG5),"")</f>
        <v/>
      </c>
      <c r="R5" s="12">
        <f>IF(X5&lt;&gt;0,S5*X5,0)*(1-Info!$F$29)</f>
        <v/>
      </c>
      <c r="S5" s="107">
        <f>IF(Info!$I$14="خیر",0,IF(Info!$F$14="بله",IF(Info!$C$14=1,2.3,IF(Info!$C$14=2,3.3,4.3)),1))*IF(AND(AH5&lt;=Rates!$Y$8,AH5&gt;0),(1+Info!$C$18)*(1+LOOKUP(Info!$F$18,Rates!$O$2:$O$9,Rates!$L$2:$L$9)/100)*(LOOKUP(Info!$C$6,Rates!$T$2:$T$108,Rates!$R$2:$R$108)/100),0)</f>
        <v/>
      </c>
      <c r="T5" s="12">
        <f>IF(AI5&lt;71,(1-Info!$F$27)*((AB5*0.0008*(1+(LOOKUP(Info!$I$18,Rates!$O$2:$O$9,Rates!$M$2:$M$9)/100)))),0)</f>
        <v/>
      </c>
      <c r="U5" s="12">
        <f>IF(AI5&lt;71,(1-Info!$I$27)*(((AD5*0.0008*Info!$L$14))*(1+(LOOKUP(Info!$I$18,Rates!$O:$O,Rates!$N:$N)/100))),0)</f>
        <v/>
      </c>
      <c r="V5" s="12">
        <f>((Z5*0.0008))*(1+(LOOKUP(Info!$I$18,Rates!$O$2:$O$9,Rates!$M$2:$M$9)/100))*(1-Info!$C$27)</f>
        <v/>
      </c>
      <c r="W5" s="12">
        <f>IF(AND(AI5&lt;=Rates!$Y$2,AJ5&lt;=Info!$I$6,Info!$F$16="معمولی"),VLOOKUP(AI5,Rates!$T$1:$X$108,5,0),IF(AND(AI5&lt;=Rates!$Y$2,AJ5&lt;=Info!$I$6,Info!$F$16="پایه"),VLOOKUP(AI5,Rates!$T$1:$X$108,2,0),IF(AND(AI5&lt;=Rates!$Y$2,AJ5&lt;=Info!$I$6,Info!$F$16="آسایش "),VLOOKUP(AI5,Rates!$T$1:$X$108,3,0),IF(AND(AI5&lt;=Rates!$Y$2,AJ5&lt;=Info!$I$6,Info!$F$16="ممتاز"),VLOOKUP(AI5,Rates!$T$1:$X$108,4,0),0))))*AA5/1000000*(1+Info!$C$18)*(1-Info!$I$29)</f>
        <v/>
      </c>
      <c r="X5" s="12">
        <f>IF(Info!$C$16="بله",(AG5-W5-U5-V5-T5)/(1+S5),AG5)</f>
        <v/>
      </c>
      <c r="Y5" s="107">
        <f>IF(AI5&lt;&gt;0,(AD5*LOOKUP(AI5,Rates!$T$2:$T$108,Rates!$S$2:$S$108))/SQRT(1.1),0)</f>
        <v/>
      </c>
      <c r="Z5" s="107">
        <f>IF(AND(AI5&lt;=Rates!$Y$10,AI5&gt;=0),Info!$C$12*(AC5-AD5),0)</f>
        <v/>
      </c>
      <c r="AA5" s="12">
        <f>IF(AND(AI5&gt;=0,AI5&lt;=Rates!$Y$2,AG5&gt;0),MIN(AA4*(1+Info!$F$10),5000000000),0)</f>
        <v/>
      </c>
      <c r="AB5" s="107">
        <f>IF(AND(AI5&gt;=0,AI5&lt;=65),AD5*Info!$L$16,0)</f>
        <v/>
      </c>
      <c r="AC5" s="12">
        <f>IF(AND(AI5&gt;=0,AI5&lt;=Rates!$Y$3),AD5*(1+Info!$L$14),AD5)</f>
        <v/>
      </c>
      <c r="AD5" s="107">
        <f>IF(AI5&lt;&gt;0,AD4*(1+Info!$F$10),0)</f>
        <v/>
      </c>
      <c r="AE5" s="104">
        <f>IF(AI5&lt;&gt;0,AF5+AE4,0)</f>
        <v/>
      </c>
      <c r="AF5" s="12">
        <f>IF(AI5&gt;=0,IF(Info!$C$16="بله",AG5,AG5+L5),"")</f>
        <v/>
      </c>
      <c r="AG5" s="107">
        <f>IF(AI5&lt;&gt;0,AG4*(1+Info!$F$8),0)</f>
        <v/>
      </c>
      <c r="AH5" s="110">
        <f>IF(AJ5&lt;&gt;"",Info!$C$6+AJ5-1,0)</f>
        <v/>
      </c>
      <c r="AI5" s="14">
        <f>IF(AJ5&lt;&gt;"",IF(Info!$F$6+AJ5-1&lt;=Rates!$Y$11,Info!$F$6+AJ5-1,0),0)</f>
        <v/>
      </c>
      <c r="AJ5" s="15">
        <f>IF(AI4&lt;&gt;"",IF(AND(AJ4&lt;&gt;"",AI4+1&lt;=Rates!$Y$11),IF(AJ4&lt;&gt;0,IF(AJ4+1&lt;=Info!$I$6,AJ4+1,""),0),""),"")</f>
        <v/>
      </c>
    </row>
    <row r="6" ht="14.25" customFormat="1" customHeight="1" s="164">
      <c r="A6" s="16">
        <f>IF(B6&gt;0,IF(Info!$C$16="بله",AG6/B6,(AG6+L6)/B6),0)</f>
        <v/>
      </c>
      <c r="B6" s="16">
        <f>IF(AND(AI6&gt;=0,AJ6&lt;=Info!$I$6),LOOKUP(Info!$C$8,Rates!$I$2:$I$7,Rates!$F$2:$F$7),0)</f>
        <v/>
      </c>
      <c r="C6" s="13">
        <f>IF(AND(AI6&gt;=0,AJ6&lt;=Info!$I$6),F6+F6*(IF(AJ6&lt;3,VLOOKUP(Info!$C$10,Rates!$A$15:$B$19,2,FALSE),IF(AJ6&lt;5,VLOOKUP(Info!$C$10,Rates!$A$15:$C$19,3,FALSE),VLOOKUP(Info!$C$10,Rates!$A$15:$D$19,4,FALSE)))+(Info!$I$22-IF(AJ6&gt;4,LOOKUP(Info!$C$10,Rates!$D$2:$D$7,Rates!$A$2:$A$7),LOOKUP(Info!$C$10,Rates!$D$2:$D$7,Rates!$C$2:$C$7))))*LOOKUP(Info!$C$8,Rates!$I$2:$I$7,Rates!$G$2:$G$7)+C5*(1+IF(AJ6&lt;3,VLOOKUP(Info!$C$10,Rates!$A$15:$B$19,2,FALSE),IF(AJ6&lt;5,VLOOKUP(Info!$C$10,Rates!$A$15:$C$19,3,FALSE),VLOOKUP(Info!$C$10,Rates!$A$15:$D$19,4,FALSE)))+(Info!$I$22-IF(AJ6&lt;3,VLOOKUP(Info!$C$10,Rates!$A$15:$B$19,2,FALSE),IF(AJ6&lt;5,VLOOKUP(Info!$C$10,Rates!$A$15:$C$19,3,FALSE),VLOOKUP(Info!$C$10,Rates!$A$15:$D$19,4,FALSE))))),0)</f>
        <v/>
      </c>
      <c r="D6" s="13">
        <f>IF(AI6&lt;&gt;"",0.92*E6,"")</f>
        <v/>
      </c>
      <c r="E6" s="12">
        <f>IF(AI6&lt;&gt;0,F6*(1+IF(AJ6&lt;3,VLOOKUP(Info!$C$10,Rates!$A$14:$B$19,2,FALSE),IF(AJ6&lt;5,VLOOKUP(Info!$C$10,Rates!$A$14:$C$19,3,FALSE),VLOOKUP(Info!$C$10,Rates!$A$14:$D$19,4,FALSE)))*LOOKUP(Info!$C$8,Rates!$I$2:$I$8,Rates!$G$2:$G$8))+E5*(1+IF(AJ6&lt;3,VLOOKUP(Info!$C$10,Rates!$A$14:$B$19,2,FALSE),IF(AJ6&lt;5,VLOOKUP(Info!$C$10,Rates!$A$14:$C$19,3,FALSE),VLOOKUP(Info!$C$10,Rates!$A$14:$D$19,4,FALSE)))),0)</f>
        <v/>
      </c>
      <c r="F6" s="13">
        <f>IF(AI6&lt;&gt;"",IF(Info!$C$16="بله",IF(AND(AJ6&lt;=Info!$F$20,AJ6&gt;=Info!$I$20),Info!$C$20,0)+(AG6-Y6-L6-K6-J6-I6-H6-G6),IF(AND(AJ6&lt;=Info!$F$20,AJ6&gt;=Info!$I$20),Info!$C$20,0)+(AG6-Y6-K6-J6-I6-H6-G6)),"")</f>
        <v/>
      </c>
      <c r="G6" s="106">
        <f>IF(AI6&lt;&gt;"",Rates!$AA$11*(L6),"")</f>
        <v/>
      </c>
      <c r="H6" s="106">
        <f>IF(AI6&lt;&gt;"",(Rates!$AC$11+Rates!$AB$11)*(L6),"")</f>
        <v/>
      </c>
      <c r="I6" s="13">
        <f>IF(AI6&lt;&gt;"",LOOKUP(Info!$C$8,Rates!$I$2:$I$7,Rates!$H$2:$H$7)*(J6+K6+L6+Y6),"")</f>
        <v/>
      </c>
      <c r="J6" s="13">
        <f>IF(N6="",0,N6)+IF(P6="",0,P6)+IF(Q6="",0,Q6)</f>
        <v/>
      </c>
      <c r="K6" s="13">
        <f>IF(Y6&lt;&gt;"",Info!$C$18*Y6,"")</f>
        <v/>
      </c>
      <c r="L6" s="13">
        <f>IF(R6="",0,R6)+IF(U6="",0,U6)+IF(W6="",0,W6)+IF(V6="",0,V6)+IF(T6="",0,T6)</f>
        <v/>
      </c>
      <c r="M6" s="13">
        <f>0.3*O6+0.7*0.25*O5+0.7*0.25*O4</f>
        <v/>
      </c>
      <c r="N6" s="13">
        <f>N5+0.3*O6-12.5/100*O5</f>
        <v/>
      </c>
      <c r="O6" s="12">
        <f>IF(AJ6&lt;=10,(1-Info!$C$25)*IF(OR(Info!$F$8&gt;0,Info!$F$10&gt;0),IF(0.75*$X$4&lt;=0.03*$AD$4,0.75*(X6-X5),0.03*(AD6-AD5)),0),"")</f>
        <v/>
      </c>
      <c r="P6" s="13">
        <f>IF(AJ6&lt;=5,IF(AI6&lt;&gt;"",0.002*AD6,"")*(1-Info!$I$25),0)</f>
        <v/>
      </c>
      <c r="Q6" s="13">
        <f>(1-Info!$F$25)*IF(AI6&lt;&gt;"",IF(Info!$C$16="بله",0.07*X6,0.07*AG6),"")</f>
        <v/>
      </c>
      <c r="R6" s="13">
        <f>IF(X6&lt;&gt;0,S6*X6,0)*(1-Info!$F$29)</f>
        <v/>
      </c>
      <c r="S6" s="106">
        <f>IF(Info!$I$14="خیر",0,IF(Info!$F$14="بله",IF(Info!$C$14=1,2.3,IF(Info!$C$14=2,3.3,4.3)),1))*IF(AND(AH6&lt;=Rates!$Y$8,AH6&gt;0),(1+Info!$C$18)*(1+LOOKUP(Info!$F$18,Rates!$O$2:$O$9,Rates!$L$2:$L$9)/100)*(LOOKUP(Info!$C$6,Rates!$T$2:$T$108,Rates!$R$2:$R$108)/100),0)</f>
        <v/>
      </c>
      <c r="T6" s="13">
        <f>IF(AI6&lt;71,(1-Info!$F$27)*((AB6*0.0008*(1+(LOOKUP(Info!$I$18,Rates!$O$2:$O$9,Rates!$M$2:$M$9)/100)))),0)</f>
        <v/>
      </c>
      <c r="U6" s="13">
        <f>IF(AI6&lt;71,(1-Info!$I$27)*(((AD6*0.0008*Info!$L$14))*(1+(LOOKUP(Info!$I$18,Rates!$O:$O,Rates!$N:$N)/100))),0)</f>
        <v/>
      </c>
      <c r="V6" s="13">
        <f>((Z6*0.0008))*(1+(LOOKUP(Info!$I$18,Rates!$O$2:$O$9,Rates!$M$2:$M$9)/100))*(1-Info!$C$27)</f>
        <v/>
      </c>
      <c r="W6" s="13">
        <f>IF(AND(AI6&lt;=Rates!$Y$2,AJ6&lt;=Info!$I$6,Info!$F$16="معمولی"),VLOOKUP(AI6,Rates!$T$1:$X$108,5,0),IF(AND(AI6&lt;=Rates!$Y$2,AJ6&lt;=Info!$I$6,Info!$F$16="پایه"),VLOOKUP(AI6,Rates!$T$1:$X$108,2,0),IF(AND(AI6&lt;=Rates!$Y$2,AJ6&lt;=Info!$I$6,Info!$F$16="آسایش "),VLOOKUP(AI6,Rates!$T$1:$X$108,3,0),IF(AND(AI6&lt;=Rates!$Y$2,AJ6&lt;=Info!$I$6,Info!$F$16="ممتاز"),VLOOKUP(AI6,Rates!$T$1:$X$108,4,0),0))))*AA6/1000000*(1+Info!$C$18)*(1-Info!$I$29)</f>
        <v/>
      </c>
      <c r="X6" s="113">
        <f>IF(Info!$C$16="بله",(AG6-W6-U6-V6-T6)/(1+S6),AG6)</f>
        <v/>
      </c>
      <c r="Y6" s="106">
        <f>IF(AI6&lt;&gt;0,(AD6*LOOKUP(AI6,Rates!$T$2:$T$108,Rates!$S$2:$S$108))/SQRT(1.1),0)</f>
        <v/>
      </c>
      <c r="Z6" s="106">
        <f>IF(AND(AI6&lt;=Rates!$Y$10,AI6&gt;=0),Info!$C$12*(AC6-AD6),0)</f>
        <v/>
      </c>
      <c r="AA6" s="13">
        <f>IF(AND(AI6&gt;=0,AI6&lt;=Rates!$Y$2,AG6&gt;0),MIN(AA5*(1+Info!$F$10),5000000000),0)</f>
        <v/>
      </c>
      <c r="AB6" s="106">
        <f>IF(AND(AI6&gt;=0,AI6&lt;=65),AD6*Info!$L$16,0)</f>
        <v/>
      </c>
      <c r="AC6" s="13">
        <f>IF(AND(AI6&gt;=0,AI6&lt;=Rates!$Y$3),AD6*(1+Info!$L$14),AD6)</f>
        <v/>
      </c>
      <c r="AD6" s="106">
        <f>IF(AI6&lt;&gt;0,AD5*(1+Info!$F$10),0)</f>
        <v/>
      </c>
      <c r="AE6" s="105">
        <f>IF(AI6&lt;&gt;0,AF6+AE5,0)</f>
        <v/>
      </c>
      <c r="AF6" s="116">
        <f>IF(AI6&gt;=0,IF(Info!$C$16="بله",AG6,AG6+L6),"")</f>
        <v/>
      </c>
      <c r="AG6" s="107">
        <f>IF(AI6&lt;&gt;0,AG5*(1+Info!$F$8),0)</f>
        <v/>
      </c>
      <c r="AH6" s="111">
        <f>IF(AJ6&lt;&gt;"",Info!$C$6+AJ6-1,0)</f>
        <v/>
      </c>
      <c r="AI6" s="17">
        <f>IF(AJ6&lt;&gt;"",IF(Info!$F$6+AJ6-1&lt;=Rates!$Y$11,Info!$F$6+AJ6-1,0),0)</f>
        <v/>
      </c>
      <c r="AJ6" s="18">
        <f>IF(AI5&lt;&gt;"",IF(AND(AJ5&lt;&gt;"",AI5+1&lt;=Rates!$Y$11),IF(AJ5&lt;&gt;0,IF(AJ5+1&lt;=Info!$I$6,AJ5+1,""),0),""),"")</f>
        <v/>
      </c>
    </row>
    <row r="7" ht="14.25" customFormat="1" customHeight="1" s="164">
      <c r="A7" s="11">
        <f>IF(B7&gt;0,IF(Info!$C$16="بله",AG7/B7,(AG7+L7)/B7),0)</f>
        <v/>
      </c>
      <c r="B7" s="11">
        <f>IF(AND(AI7&gt;=0,AJ7&lt;=Info!$I$6),LOOKUP(Info!$C$8,Rates!$I$2:$I$7,Rates!$F$2:$F$7),0)</f>
        <v/>
      </c>
      <c r="C7" s="12">
        <f>IF(AND(AI7&gt;=0,AJ7&lt;=Info!$I$6),F7+F7*(IF(AJ7&lt;3,VLOOKUP(Info!$C$10,Rates!$A$15:$B$19,2,FALSE),IF(AJ7&lt;5,VLOOKUP(Info!$C$10,Rates!$A$15:$C$19,3,FALSE),VLOOKUP(Info!$C$10,Rates!$A$15:$D$19,4,FALSE)))+(Info!$I$22-IF(AJ7&gt;4,LOOKUP(Info!$C$10,Rates!$D$2:$D$7,Rates!$A$2:$A$7),LOOKUP(Info!$C$10,Rates!$D$2:$D$7,Rates!$C$2:$C$7))))*LOOKUP(Info!$C$8,Rates!$I$2:$I$7,Rates!$G$2:$G$7)+C6*(1+IF(AJ7&lt;3,VLOOKUP(Info!$C$10,Rates!$A$15:$B$19,2,FALSE),IF(AJ7&lt;5,VLOOKUP(Info!$C$10,Rates!$A$15:$C$19,3,FALSE),VLOOKUP(Info!$C$10,Rates!$A$15:$D$19,4,FALSE)))+(Info!$I$22-IF(AJ7&lt;3,VLOOKUP(Info!$C$10,Rates!$A$15:$B$19,2,FALSE),IF(AJ7&lt;5,VLOOKUP(Info!$C$10,Rates!$A$15:$C$19,3,FALSE),VLOOKUP(Info!$C$10,Rates!$A$15:$D$19,4,FALSE))))),0)</f>
        <v/>
      </c>
      <c r="D7" s="12">
        <f>IF(AI7&lt;&gt;"",0.93*E7,"")</f>
        <v/>
      </c>
      <c r="E7" s="12">
        <f>IF(AI7&lt;&gt;0,F7*(1+IF(AJ7&lt;3,VLOOKUP(Info!$C$10,Rates!$A$14:$B$19,2,FALSE),IF(AJ7&lt;5,VLOOKUP(Info!$C$10,Rates!$A$14:$C$19,3,FALSE),VLOOKUP(Info!$C$10,Rates!$A$14:$D$19,4,FALSE)))*LOOKUP(Info!$C$8,Rates!$I$2:$I$8,Rates!$G$2:$G$8))+E6*(1+IF(AJ7&lt;3,VLOOKUP(Info!$C$10,Rates!$A$14:$B$19,2,FALSE),IF(AJ7&lt;5,VLOOKUP(Info!$C$10,Rates!$A$14:$C$19,3,FALSE),VLOOKUP(Info!$C$10,Rates!$A$14:$D$19,4,FALSE)))),0)</f>
        <v/>
      </c>
      <c r="F7" s="12">
        <f>IF(AI7&lt;&gt;"",IF(Info!$C$16="بله",IF(AND(AJ7&lt;=Info!$F$20,AJ7&gt;=Info!$I$20),Info!$C$20,0)+(AG7-Y7-L7-K7-J7-I7-H7-G7),IF(AND(AJ7&lt;=Info!$F$20,AJ7&gt;=Info!$I$20),Info!$C$20,0)+(AG7-Y7-K7-J7-I7-H7-G7)),"")</f>
        <v/>
      </c>
      <c r="G7" s="107">
        <f>IF(AI7&lt;&gt;"",Rates!$AA$11*(L7),"")</f>
        <v/>
      </c>
      <c r="H7" s="107">
        <f>IF(AI7&lt;&gt;"",(Rates!$AC$11+Rates!$AB$11)*(L7),"")</f>
        <v/>
      </c>
      <c r="I7" s="12">
        <f>IF(AI7&lt;&gt;"",LOOKUP(Info!$C$8,Rates!$I$2:$I$7,Rates!$H$2:$H$7)*(J7+K7+L7+Y7),"")</f>
        <v/>
      </c>
      <c r="J7" s="12">
        <f>IF(N7="",0,N7)+IF(P7="",0,P7)+IF(Q7="",0,Q7)</f>
        <v/>
      </c>
      <c r="K7" s="12">
        <f>IF(Y7&lt;&gt;"",Info!$C$18*Y7,"")</f>
        <v/>
      </c>
      <c r="L7" s="12">
        <f>IF(R7="",0,R7)+IF(U7="",0,U7)+IF(W7="",0,W7)+IF(V7="",0,V7)+IF(T7="",0,T7)</f>
        <v/>
      </c>
      <c r="M7" s="12">
        <f>0.3*O7+0.7*0.25*O6+0.7*0.25*O5+0.7*0.25*O4</f>
        <v/>
      </c>
      <c r="N7" s="12">
        <f>N6+0.3*O7-12.5/100*O6</f>
        <v/>
      </c>
      <c r="O7" s="12">
        <f>IF(AJ7&lt;=10,(1-Info!$C$25)*IF(OR(Info!$F$8&gt;0,Info!$F$10&gt;0),IF(0.75*$X$4&lt;=0.03*$AD$4,0.75*(X7-X6),0.03*(AD7-AD6)),0),"")</f>
        <v/>
      </c>
      <c r="P7" s="12">
        <f>IF(AJ7&lt;=5,IF(AI7&lt;&gt;"",0.002*AD7,"")*(1-Info!$I$25),0)</f>
        <v/>
      </c>
      <c r="Q7" s="12">
        <f>(1-Info!$F$25)*IF(AI7&lt;&gt;"",IF(Info!$C$16="بله",0.07*X7,0.07*AG7),"")</f>
        <v/>
      </c>
      <c r="R7" s="12">
        <f>IF(X7&lt;&gt;0,S7*X7,0)*(1-Info!$F$29)</f>
        <v/>
      </c>
      <c r="S7" s="107">
        <f>IF(Info!$I$14="خیر",0,IF(Info!$F$14="بله",IF(Info!$C$14=1,2.3,IF(Info!$C$14=2,3.3,4.3)),1))*IF(AND(AH7&lt;=Rates!$Y$8,AH7&gt;0),(1+Info!$C$18)*(1+LOOKUP(Info!$F$18,Rates!$O$2:$O$9,Rates!$L$2:$L$9)/100)*(LOOKUP(Info!$C$6,Rates!$T$2:$T$108,Rates!$R$2:$R$108)/100),0)</f>
        <v/>
      </c>
      <c r="T7" s="12">
        <f>IF(AI7&lt;71,(1-Info!$F$27)*((AB7*0.0008*(1+(LOOKUP(Info!$I$18,Rates!$O$2:$O$9,Rates!$M$2:$M$9)/100)))),0)</f>
        <v/>
      </c>
      <c r="U7" s="12">
        <f>IF(AI7&lt;71,(1-Info!$I$27)*(((AD7*0.0008*Info!$L$14))*(1+(LOOKUP(Info!$I$18,Rates!$O:$O,Rates!$N:$N)/100))),0)</f>
        <v/>
      </c>
      <c r="V7" s="12">
        <f>((Z7*0.0008))*(1+(LOOKUP(Info!$I$18,Rates!$O$2:$O$9,Rates!$M$2:$M$9)/100))*(1-Info!$C$27)</f>
        <v/>
      </c>
      <c r="W7" s="12">
        <f>IF(AND(AI7&lt;=Rates!$Y$2,AJ7&lt;=Info!$I$6,Info!$F$16="معمولی"),VLOOKUP(AI7,Rates!$T$1:$X$108,5,0),IF(AND(AI7&lt;=Rates!$Y$2,AJ7&lt;=Info!$I$6,Info!$F$16="پایه"),VLOOKUP(AI7,Rates!$T$1:$X$108,2,0),IF(AND(AI7&lt;=Rates!$Y$2,AJ7&lt;=Info!$I$6,Info!$F$16="آسایش "),VLOOKUP(AI7,Rates!$T$1:$X$108,3,0),IF(AND(AI7&lt;=Rates!$Y$2,AJ7&lt;=Info!$I$6,Info!$F$16="ممتاز"),VLOOKUP(AI7,Rates!$T$1:$X$108,4,0),0))))*AA7/1000000*(1+Info!$C$18)*(1-Info!$I$29)</f>
        <v/>
      </c>
      <c r="X7" s="12">
        <f>IF(Info!$C$16="بله",(AG7-W7-U7-V7-T7)/(1+S7),AG7)</f>
        <v/>
      </c>
      <c r="Y7" s="107">
        <f>IF(AI7&lt;&gt;0,(AD7*LOOKUP(AI7,Rates!$T$2:$T$108,Rates!$S$2:$S$108))/SQRT(1.1),0)</f>
        <v/>
      </c>
      <c r="Z7" s="107">
        <f>IF(AND(AI7&lt;=Rates!$Y$10,AI7&gt;=0),Info!$C$12*(AC7-AD7),0)</f>
        <v/>
      </c>
      <c r="AA7" s="12">
        <f>IF(AND(AI7&gt;=0,AI7&lt;=Rates!$Y$2,AG7&gt;0),MIN(AA6*(1+Info!$F$10),5000000000),0)</f>
        <v/>
      </c>
      <c r="AB7" s="107">
        <f>IF(AND(AI7&gt;=0,AI7&lt;=65),AD7*Info!$L$16,0)</f>
        <v/>
      </c>
      <c r="AC7" s="12">
        <f>IF(AND(AI7&gt;=0,AI7&lt;=Rates!$Y$3),AD7*(1+Info!$L$14),AD7)</f>
        <v/>
      </c>
      <c r="AD7" s="107">
        <f>IF(AI7&lt;&gt;0,AD6*(1+Info!$F$10),0)</f>
        <v/>
      </c>
      <c r="AE7" s="104">
        <f>IF(AI7&lt;&gt;0,AF7+AE6,0)</f>
        <v/>
      </c>
      <c r="AF7" s="12">
        <f>IF(AI7&gt;=0,IF(Info!$C$16="بله",AG7,AG7+L7),"")</f>
        <v/>
      </c>
      <c r="AG7" s="107">
        <f>IF(AI7&lt;&gt;0,AG6*(1+Info!$F$8),0)</f>
        <v/>
      </c>
      <c r="AH7" s="110">
        <f>IF(AJ7&lt;&gt;"",Info!$C$6+AJ7-1,0)</f>
        <v/>
      </c>
      <c r="AI7" s="14">
        <f>IF(AJ7&lt;&gt;"",IF(Info!$F$6+AJ7-1&lt;=Rates!$Y$11,Info!$F$6+AJ7-1,0),0)</f>
        <v/>
      </c>
      <c r="AJ7" s="15">
        <f>IF(AI6&lt;&gt;"",IF(AND(AJ6&lt;&gt;"",AI6+1&lt;=Rates!$Y$11),IF(AJ6&lt;&gt;0,IF(AJ6+1&lt;=Info!$I$6,AJ6+1,""),0),""),"")</f>
        <v/>
      </c>
    </row>
    <row r="8" ht="14.25" customFormat="1" customHeight="1" s="164">
      <c r="A8" s="16">
        <f>IF(B8&gt;0,IF(Info!$C$16="بله",AG8/B8,(AG8+L8)/B8),0)</f>
        <v/>
      </c>
      <c r="B8" s="16">
        <f>IF(AND(AI8&gt;=0,AJ8&lt;=Info!$I$6),LOOKUP(Info!$C$8,Rates!$I$2:$I$7,Rates!$F$2:$F$7),0)</f>
        <v/>
      </c>
      <c r="C8" s="13">
        <f>IF(AND(AI8&gt;=0,AJ8&lt;=Info!$I$6),F8+F8*(IF(AJ8&lt;3,VLOOKUP(Info!$C$10,Rates!$A$15:$B$19,2,FALSE),IF(AJ8&lt;5,VLOOKUP(Info!$C$10,Rates!$A$15:$C$19,3,FALSE),VLOOKUP(Info!$C$10,Rates!$A$15:$D$19,4,FALSE)))+(Info!$I$22-IF(AJ8&gt;4,LOOKUP(Info!$C$10,Rates!$D$2:$D$7,Rates!$A$2:$A$7),LOOKUP(Info!$C$10,Rates!$D$2:$D$7,Rates!$C$2:$C$7))))*LOOKUP(Info!$C$8,Rates!$I$2:$I$7,Rates!$G$2:$G$7)+C7*(1+IF(AJ8&lt;3,VLOOKUP(Info!$C$10,Rates!$A$15:$B$19,2,FALSE),IF(AJ8&lt;5,VLOOKUP(Info!$C$10,Rates!$A$15:$C$19,3,FALSE),VLOOKUP(Info!$C$10,Rates!$A$15:$D$19,4,FALSE)))+(Info!$I$22-IF(AJ8&lt;3,VLOOKUP(Info!$C$10,Rates!$A$15:$B$19,2,FALSE),IF(AJ8&lt;5,VLOOKUP(Info!$C$10,Rates!$A$15:$C$19,3,FALSE),VLOOKUP(Info!$C$10,Rates!$A$15:$D$19,4,FALSE))))),0)</f>
        <v/>
      </c>
      <c r="D8" s="13">
        <f>IF(AI8&lt;&gt;"",0.94*E8,"")</f>
        <v/>
      </c>
      <c r="E8" s="12">
        <f>IF(AI8&lt;&gt;0,F8*(1+IF(AJ8&lt;3,VLOOKUP(Info!$C$10,Rates!$A$14:$B$19,2,FALSE),IF(AJ8&lt;5,VLOOKUP(Info!$C$10,Rates!$A$14:$C$19,3,FALSE),VLOOKUP(Info!$C$10,Rates!$A$14:$D$19,4,FALSE)))*LOOKUP(Info!$C$8,Rates!$I$2:$I$8,Rates!$G$2:$G$8))+E7*(1+IF(AJ8&lt;3,VLOOKUP(Info!$C$10,Rates!$A$14:$B$19,2,FALSE),IF(AJ8&lt;5,VLOOKUP(Info!$C$10,Rates!$A$14:$C$19,3,FALSE),VLOOKUP(Info!$C$10,Rates!$A$14:$D$19,4,FALSE)))),0)</f>
        <v/>
      </c>
      <c r="F8" s="13">
        <f>IF(AI8&lt;&gt;"",IF(Info!$C$16="بله",IF(AND(AJ8&lt;=Info!$F$20,AJ8&gt;=Info!$I$20),Info!$C$20,0)+(AG8-Y8-L8-K8-J8-I8-H8-G8),IF(AND(AJ8&lt;=Info!$F$20,AJ8&gt;=Info!$I$20),Info!$C$20,0)+(AG8-Y8-K8-J8-I8-H8-G8)),"")</f>
        <v/>
      </c>
      <c r="G8" s="106">
        <f>IF(AI8&lt;&gt;"",Rates!$AA$11*(L8),"")</f>
        <v/>
      </c>
      <c r="H8" s="106">
        <f>IF(AI8&lt;&gt;"",(Rates!$AC$11+Rates!$AB$11)*(L8),"")</f>
        <v/>
      </c>
      <c r="I8" s="13">
        <f>IF(AI8&lt;&gt;"",LOOKUP(Info!$C$8,Rates!$I$2:$I$7,Rates!$H$2:$H$7)*(J8+K8+L8+Y8),"")</f>
        <v/>
      </c>
      <c r="J8" s="13">
        <f>IF(N8="",0,N8)+IF(P8="",0,P8)+IF(Q8="",0,Q8)</f>
        <v/>
      </c>
      <c r="K8" s="13">
        <f>IF(Y8&lt;&gt;"",Info!$C$18*Y8,"")</f>
        <v/>
      </c>
      <c r="L8" s="13">
        <f>IF(R8="",0,R8)+IF(U8="",0,U8)+IF(W8="",0,W8)+IF(V8="",0,V8)+IF(T8="",0,T8)</f>
        <v/>
      </c>
      <c r="M8" s="13">
        <f>0.3*O8+0.7*0.25*O7+0.7*0.25*O6+0.7*0.25*O5+0.7*0.25*O4</f>
        <v/>
      </c>
      <c r="N8" s="13">
        <f>N7+0.3*O8-12.5/100*O7</f>
        <v/>
      </c>
      <c r="O8" s="12">
        <f>IF(AJ8&lt;=10,(1-Info!$C$25)*IF(OR(Info!$F$8&gt;0,Info!$F$10&gt;0),IF(0.75*$X$4&lt;=0.03*$AD$4,0.75*(X8-X7),0.03*(AD8-AD7)),0),"")</f>
        <v/>
      </c>
      <c r="P8" s="13">
        <f>IF(AJ8&lt;=5,IF(AI8&lt;&gt;"",0.002*AD8,"")*(1-Info!$I$25),0)</f>
        <v/>
      </c>
      <c r="Q8" s="13">
        <f>(1-Info!$F$25)*IF(AI8&lt;&gt;"",IF(Info!$C$16="بله",0.07*X8,0.07*AG8),"")</f>
        <v/>
      </c>
      <c r="R8" s="13">
        <f>IF(X8&lt;&gt;0,S8*X8,0)*(1-Info!$F$29)</f>
        <v/>
      </c>
      <c r="S8" s="106">
        <f>IF(Info!$I$14="خیر",0,IF(Info!$F$14="بله",IF(Info!$C$14=1,2.3,IF(Info!$C$14=2,3.3,4.3)),1))*IF(AND(AH8&lt;=Rates!$Y$8,AH8&gt;0),(1+Info!$C$18)*(1+LOOKUP(Info!$F$18,Rates!$O$2:$O$9,Rates!$L$2:$L$9)/100)*(LOOKUP(Info!$C$6,Rates!$T$2:$T$108,Rates!$R$2:$R$108)/100),0)</f>
        <v/>
      </c>
      <c r="T8" s="13">
        <f>IF(AI8&lt;71,(1-Info!$F$27)*((AB8*0.0008*(1+(LOOKUP(Info!$I$18,Rates!$O$2:$O$9,Rates!$M$2:$M$9)/100)))),0)</f>
        <v/>
      </c>
      <c r="U8" s="13">
        <f>IF(AI8&lt;71,(1-Info!$I$27)*(((AD8*0.0008*Info!$L$14))*(1+(LOOKUP(Info!$I$18,Rates!$O:$O,Rates!$N:$N)/100))),0)</f>
        <v/>
      </c>
      <c r="V8" s="13">
        <f>((Z8*0.0008))*(1+(LOOKUP(Info!$I$18,Rates!$O$2:$O$9,Rates!$M$2:$M$9)/100))*(1-Info!$C$27)</f>
        <v/>
      </c>
      <c r="W8" s="13">
        <f>IF(AND(AI8&lt;=Rates!$Y$2,AJ8&lt;=Info!$I$6,Info!$F$16="معمولی"),VLOOKUP(AI8,Rates!$T$1:$X$108,5,0),IF(AND(AI8&lt;=Rates!$Y$2,AJ8&lt;=Info!$I$6,Info!$F$16="پایه"),VLOOKUP(AI8,Rates!$T$1:$X$108,2,0),IF(AND(AI8&lt;=Rates!$Y$2,AJ8&lt;=Info!$I$6,Info!$F$16="آسایش "),VLOOKUP(AI8,Rates!$T$1:$X$108,3,0),IF(AND(AI8&lt;=Rates!$Y$2,AJ8&lt;=Info!$I$6,Info!$F$16="ممتاز"),VLOOKUP(AI8,Rates!$T$1:$X$108,4,0),0))))*AA8/1000000*(1+Info!$C$18)*(1-Info!$I$29)</f>
        <v/>
      </c>
      <c r="X8" s="113">
        <f>IF(Info!$C$16="بله",(AG8-W8-U8-V8-T8)/(1+S8),AG8)</f>
        <v/>
      </c>
      <c r="Y8" s="106">
        <f>IF(AI8&lt;&gt;0,(AD8*LOOKUP(AI8,Rates!$T$2:$T$108,Rates!$S$2:$S$108))/SQRT(1.1),0)</f>
        <v/>
      </c>
      <c r="Z8" s="106">
        <f>IF(AND(AI8&lt;=Rates!$Y$10,AI8&gt;=0),Info!$C$12*(AC8-AD8),0)</f>
        <v/>
      </c>
      <c r="AA8" s="13">
        <f>IF(AND(AI8&gt;=0,AI8&lt;=Rates!$Y$2,AG8&gt;0),MIN(AA7*(1+Info!$F$10),5000000000),0)</f>
        <v/>
      </c>
      <c r="AB8" s="106">
        <f>IF(AND(AI8&gt;=0,AI8&lt;=65),AD8*Info!$L$16,0)</f>
        <v/>
      </c>
      <c r="AC8" s="13">
        <f>IF(AND(AI8&gt;=0,AI8&lt;=Rates!$Y$3),AD8*(1+Info!$L$14),AD8)</f>
        <v/>
      </c>
      <c r="AD8" s="106">
        <f>IF(AI8&lt;&gt;0,AD7*(1+Info!$F$10),0)</f>
        <v/>
      </c>
      <c r="AE8" s="105">
        <f>IF(AI8&lt;&gt;0,AF8+AE7,0)</f>
        <v/>
      </c>
      <c r="AF8" s="13">
        <f>IF(AI8&gt;=0,IF(Info!$C$16="بله",AG8,AG8+L8),"")</f>
        <v/>
      </c>
      <c r="AG8" s="107">
        <f>IF(AI8&lt;&gt;0,AG7*(1+Info!$F$8),0)</f>
        <v/>
      </c>
      <c r="AH8" s="111">
        <f>IF(AJ8&lt;&gt;"",Info!$C$6+AJ8-1,0)</f>
        <v/>
      </c>
      <c r="AI8" s="17">
        <f>IF(AJ8&lt;&gt;"",IF(Info!$F$6+AJ8-1&lt;=Rates!$Y$11,Info!$F$6+AJ8-1,0),0)</f>
        <v/>
      </c>
      <c r="AJ8" s="18">
        <f>IF(AI7&lt;&gt;"",IF(AND(AJ7&lt;&gt;"",AI7+1&lt;=Rates!$Y$11),IF(AJ7&lt;&gt;0,IF(AJ7+1&lt;=Info!$I$6,AJ7+1,""),0),""),"")</f>
        <v/>
      </c>
    </row>
    <row r="9" ht="14.25" customFormat="1" customHeight="1" s="164">
      <c r="A9" s="11">
        <f>IF(B9&gt;0,IF(Info!$C$16="بله",AG9/B9,(AG9+L9)/B9),0)</f>
        <v/>
      </c>
      <c r="B9" s="11">
        <f>IF(AND(AI9&gt;=0,AJ9&lt;=Info!$I$6),LOOKUP(Info!$C$8,Rates!$I$2:$I$7,Rates!$F$2:$F$7),0)</f>
        <v/>
      </c>
      <c r="C9" s="12">
        <f>IF(AND(AI9&gt;=0,AJ9&lt;=Info!$I$6),F9+F9*(IF(AJ9&lt;3,VLOOKUP(Info!$C$10,Rates!$A$15:$B$19,2,FALSE),IF(AJ9&lt;5,VLOOKUP(Info!$C$10,Rates!$A$15:$C$19,3,FALSE),VLOOKUP(Info!$C$10,Rates!$A$15:$D$19,4,FALSE)))+(Info!$I$22-IF(AJ9&gt;4,LOOKUP(Info!$C$10,Rates!$D$2:$D$7,Rates!$A$2:$A$7),LOOKUP(Info!$C$10,Rates!$D$2:$D$7,Rates!$C$2:$C$7))))*LOOKUP(Info!$C$8,Rates!$I$2:$I$7,Rates!$G$2:$G$7)+C8*(1+IF(AJ9&lt;3,VLOOKUP(Info!$C$10,Rates!$A$15:$B$19,2,FALSE),IF(AJ9&lt;5,VLOOKUP(Info!$C$10,Rates!$A$15:$C$19,3,FALSE),VLOOKUP(Info!$C$10,Rates!$A$15:$D$19,4,FALSE)))+(Info!$I$22-IF(AJ9&lt;3,VLOOKUP(Info!$C$10,Rates!$A$15:$B$19,2,FALSE),IF(AJ9&lt;5,VLOOKUP(Info!$C$10,Rates!$A$15:$C$19,3,FALSE),VLOOKUP(Info!$C$10,Rates!$A$15:$D$19,4,FALSE))))),0)</f>
        <v/>
      </c>
      <c r="D9" s="12">
        <f>IF(AI9&lt;&gt;"",0.95*E9,"")</f>
        <v/>
      </c>
      <c r="E9" s="12">
        <f>IF(AI9&lt;&gt;0,F9*(1+IF(AJ9&lt;3,VLOOKUP(Info!$C$10,Rates!$A$14:$B$19,2,FALSE),IF(AJ9&lt;5,VLOOKUP(Info!$C$10,Rates!$A$14:$C$19,3,FALSE),VLOOKUP(Info!$C$10,Rates!$A$14:$D$19,4,FALSE)))*LOOKUP(Info!$C$8,Rates!$I$2:$I$8,Rates!$G$2:$G$8))+E8*(1+IF(AJ9&lt;3,VLOOKUP(Info!$C$10,Rates!$A$14:$B$19,2,FALSE),IF(AJ9&lt;5,VLOOKUP(Info!$C$10,Rates!$A$14:$C$19,3,FALSE),VLOOKUP(Info!$C$10,Rates!$A$14:$D$19,4,FALSE)))),0)</f>
        <v/>
      </c>
      <c r="F9" s="12">
        <f>IF(AI9&lt;&gt;"",IF(Info!$C$16="بله",IF(AND(AJ9&lt;=Info!$F$20,AJ9&gt;=Info!$I$20),Info!$C$20,0)+(AG9-Y9-L9-K9-J9-I9-H9-G9),IF(AND(AJ9&lt;=Info!$F$20,AJ9&gt;=Info!$I$20),Info!$C$20,0)+(AG9-Y9-K9-J9-I9-H9-G9)),"")</f>
        <v/>
      </c>
      <c r="G9" s="107">
        <f>IF(AI9&lt;&gt;"",Rates!$AA$11*(L9),"")</f>
        <v/>
      </c>
      <c r="H9" s="107">
        <f>IF(AI9&lt;&gt;"",(Rates!$AC$11+Rates!$AB$11)*(L9),"")</f>
        <v/>
      </c>
      <c r="I9" s="12">
        <f>IF(AI9&lt;&gt;"",LOOKUP(Info!$C$8,Rates!$I$2:$I$7,Rates!$H$2:$H$7)*(J9+K9+L9+Y9),"")</f>
        <v/>
      </c>
      <c r="J9" s="12">
        <f>IF(N9="",0,N9)+IF(P9="",0,P9)+IF(Q9="",0,Q9)</f>
        <v/>
      </c>
      <c r="K9" s="12">
        <f>IF(Y9&lt;&gt;"",Info!$C$18*Y9,"")</f>
        <v/>
      </c>
      <c r="L9" s="12">
        <f>IF(R9="",0,R9)+IF(U9="",0,U9)+IF(W9="",0,W9)+IF(V9="",0,V9)+IF(T9="",0,T9)</f>
        <v/>
      </c>
      <c r="M9" s="12">
        <f>0.3*O9+0.7*0.25*O8+0.7*0.25*O7+0.7*0.25*O6+0.7*0.25*O5</f>
        <v/>
      </c>
      <c r="N9" s="12">
        <f>IF(O9&lt;&gt;"",N8-12.5/100*O8+0.3*O9-17.5/100*O4,"")</f>
        <v/>
      </c>
      <c r="O9" s="12">
        <f>IF(AJ9&lt;=10,(1-Info!$C$25)*IF(OR(Info!$F$8&gt;0,Info!$F$10&gt;0),IF(0.75*$X$4&lt;=0.03*$AD$4,0.75*(X9-X8),0.03*(AD9-AD8)),0),"")</f>
        <v/>
      </c>
      <c r="P9" s="12">
        <f>IF(AJ9&lt;=5,IF(AI9&lt;&gt;"",0.002*AD9,"")*(1-Info!$I$25),0)</f>
        <v/>
      </c>
      <c r="Q9" s="12">
        <f>(1-Info!$F$25)*IF(AI9&lt;&gt;"",IF(Info!$C$16="بله",0.07*X9,0.07*AG9),"")</f>
        <v/>
      </c>
      <c r="R9" s="12">
        <f>IF(X9&lt;&gt;0,S9*X9,0)*(1-Info!$F$29)</f>
        <v/>
      </c>
      <c r="S9" s="107">
        <f>IF(Info!$I$14="خیر",0,IF(Info!$F$14="بله",IF(Info!$C$14=1,2.3,IF(Info!$C$14=2,3.3,4.3)),1))*IF(AND(AH9&lt;=Rates!$Y$8,AH9&gt;0),(1+Info!$C$18)*(1+LOOKUP(Info!$F$18,Rates!$O$2:$O$9,Rates!$L$2:$L$9)/100)*(LOOKUP(Info!$C$6,Rates!$T$2:$T$108,Rates!$R$2:$R$108)/100),0)</f>
        <v/>
      </c>
      <c r="T9" s="12">
        <f>IF(AI9&lt;71,(1-Info!$F$27)*((AB9*0.0008*(1+(LOOKUP(Info!$I$18,Rates!$O$2:$O$9,Rates!$M$2:$M$9)/100)))),0)</f>
        <v/>
      </c>
      <c r="U9" s="12">
        <f>IF(AI9&lt;71,(1-Info!$I$27)*(((AD9*0.0008*Info!$L$14))*(1+(LOOKUP(Info!$I$18,Rates!$O:$O,Rates!$N:$N)/100))),0)</f>
        <v/>
      </c>
      <c r="V9" s="12">
        <f>((Z9*0.0008))*(1+(LOOKUP(Info!$I$18,Rates!$O$2:$O$9,Rates!$M$2:$M$9)/100))*(1-Info!$C$27)</f>
        <v/>
      </c>
      <c r="W9" s="12">
        <f>IF(AND(AI9&lt;=Rates!$Y$2,AJ9&lt;=Info!$I$6,Info!$F$16="معمولی"),VLOOKUP(AI9,Rates!$T$1:$X$108,5,0),IF(AND(AI9&lt;=Rates!$Y$2,AJ9&lt;=Info!$I$6,Info!$F$16="پایه"),VLOOKUP(AI9,Rates!$T$1:$X$108,2,0),IF(AND(AI9&lt;=Rates!$Y$2,AJ9&lt;=Info!$I$6,Info!$F$16="آسایش "),VLOOKUP(AI9,Rates!$T$1:$X$108,3,0),IF(AND(AI9&lt;=Rates!$Y$2,AJ9&lt;=Info!$I$6,Info!$F$16="ممتاز"),VLOOKUP(AI9,Rates!$T$1:$X$108,4,0),0))))*AA9/1000000*(1+Info!$C$18)*(1-Info!$I$29)</f>
        <v/>
      </c>
      <c r="X9" s="12">
        <f>IF(Info!$C$16="بله",(AG9-W9-U9-V9-T9)/(1+S9),AG9)</f>
        <v/>
      </c>
      <c r="Y9" s="107">
        <f>IF(AI9&lt;&gt;0,(AD9*LOOKUP(AI9,Rates!$T$2:$T$108,Rates!$S$2:$S$108))/SQRT(1.1),0)</f>
        <v/>
      </c>
      <c r="Z9" s="107">
        <f>IF(AND(AI9&lt;=Rates!$Y$10,AI9&gt;=0),Info!$C$12*(AC9-AD9),0)</f>
        <v/>
      </c>
      <c r="AA9" s="12">
        <f>IF(AND(AI9&gt;=0,AI9&lt;=Rates!$Y$2,AG9&gt;0),MIN(AA8*(1+Info!$F$10),5000000000),0)</f>
        <v/>
      </c>
      <c r="AB9" s="107">
        <f>IF(AND(AI9&gt;=0,AI9&lt;=65),AD9*Info!$L$16,0)</f>
        <v/>
      </c>
      <c r="AC9" s="12">
        <f>IF(AND(AI9&gt;=0,AI9&lt;=Rates!$Y$3),AD9*(1+Info!$L$14),AD9)</f>
        <v/>
      </c>
      <c r="AD9" s="107">
        <f>IF(AI9&lt;&gt;0,AD8*(1+Info!$F$10),0)</f>
        <v/>
      </c>
      <c r="AE9" s="104">
        <f>IF(AI9&lt;&gt;0,AF9+AE8,0)</f>
        <v/>
      </c>
      <c r="AF9" s="12">
        <f>IF(AI9&gt;=0,IF(Info!$C$16="بله",AG9,AG9+L9),"")</f>
        <v/>
      </c>
      <c r="AG9" s="107">
        <f>IF(AI9&lt;&gt;0,AG8*(1+Info!$F$8),0)</f>
        <v/>
      </c>
      <c r="AH9" s="110">
        <f>IF(AJ9&lt;&gt;"",Info!$C$6+AJ9-1,0)</f>
        <v/>
      </c>
      <c r="AI9" s="14">
        <f>IF(AJ9&lt;&gt;"",IF(Info!$F$6+AJ9-1&lt;=Rates!$Y$11,Info!$F$6+AJ9-1,0),0)</f>
        <v/>
      </c>
      <c r="AJ9" s="15">
        <f>IF(AI8&lt;&gt;"",IF(AND(AJ8&lt;&gt;"",AI8+1&lt;=Rates!$Y$11),IF(AJ8&lt;&gt;0,IF(AJ8+1&lt;=Info!$I$6,AJ8+1,""),0),""),"")</f>
        <v/>
      </c>
    </row>
    <row r="10" ht="14.25" customFormat="1" customHeight="1" s="164">
      <c r="A10" s="16">
        <f>IF(B10&gt;0,IF(Info!$C$16="بله",AG10/B10,(AG10+L10)/B10),0)</f>
        <v/>
      </c>
      <c r="B10" s="16">
        <f>IF(AND(AI10&gt;=0,AJ10&lt;=Info!$I$6),LOOKUP(Info!$C$8,Rates!$I$2:$I$7,Rates!$F$2:$F$7),0)</f>
        <v/>
      </c>
      <c r="C10" s="13">
        <f>IF(AND(AI10&gt;=0,AJ10&lt;=Info!$I$6),F10+F10*(IF(AJ10&lt;3,VLOOKUP(Info!$C$10,Rates!$A$15:$B$19,2,FALSE),IF(AJ10&lt;5,VLOOKUP(Info!$C$10,Rates!$A$15:$C$19,3,FALSE),VLOOKUP(Info!$C$10,Rates!$A$15:$D$19,4,FALSE)))+(Info!$I$22-IF(AJ10&gt;4,LOOKUP(Info!$C$10,Rates!$D$2:$D$7,Rates!$A$2:$A$7),LOOKUP(Info!$C$10,Rates!$D$2:$D$7,Rates!$C$2:$C$7))))*LOOKUP(Info!$C$8,Rates!$I$2:$I$7,Rates!$G$2:$G$7)+C9*(1+IF(AJ10&lt;3,VLOOKUP(Info!$C$10,Rates!$A$15:$B$19,2,FALSE),IF(AJ10&lt;5,VLOOKUP(Info!$C$10,Rates!$A$15:$C$19,3,FALSE),VLOOKUP(Info!$C$10,Rates!$A$15:$D$19,4,FALSE)))+(Info!$I$22-IF(AJ10&lt;3,VLOOKUP(Info!$C$10,Rates!$A$15:$B$19,2,FALSE),IF(AJ10&lt;5,VLOOKUP(Info!$C$10,Rates!$A$15:$C$19,3,FALSE),VLOOKUP(Info!$C$10,Rates!$A$15:$D$19,4,FALSE))))),0)</f>
        <v/>
      </c>
      <c r="D10" s="13">
        <f>IF(AI10&lt;&gt;"",0.96*E10,"")</f>
        <v/>
      </c>
      <c r="E10" s="12">
        <f>IF(AI10&lt;&gt;0,F10*(1+IF(AJ10&lt;3,VLOOKUP(Info!$C$10,Rates!$A$14:$B$19,2,FALSE),IF(AJ10&lt;5,VLOOKUP(Info!$C$10,Rates!$A$14:$C$19,3,FALSE),VLOOKUP(Info!$C$10,Rates!$A$14:$D$19,4,FALSE)))*LOOKUP(Info!$C$8,Rates!$I$2:$I$8,Rates!$G$2:$G$8))+E9*(1+IF(AJ10&lt;3,VLOOKUP(Info!$C$10,Rates!$A$14:$B$19,2,FALSE),IF(AJ10&lt;5,VLOOKUP(Info!$C$10,Rates!$A$14:$C$19,3,FALSE),VLOOKUP(Info!$C$10,Rates!$A$14:$D$19,4,FALSE)))),0)</f>
        <v/>
      </c>
      <c r="F10" s="13">
        <f>IF(AI10&lt;&gt;"",IF(Info!$C$16="بله",IF(AND(AJ10&lt;=Info!$F$20,AJ10&gt;=Info!$I$20),Info!$C$20,0)+(AG10-Y10-L10-K10-J10-I10-H10-G10),IF(AND(AJ10&lt;=Info!$F$20,AJ10&gt;=Info!$I$20),Info!$C$20,0)+(AG10-Y10-K10-J10-I10-H10-G10)),"")</f>
        <v/>
      </c>
      <c r="G10" s="106">
        <f>IF(AI10&lt;&gt;"",Rates!$AA$11*(L10),"")</f>
        <v/>
      </c>
      <c r="H10" s="106">
        <f>IF(AI10&lt;&gt;"",(Rates!$AC$11+Rates!$AB$11)*(L10),"")</f>
        <v/>
      </c>
      <c r="I10" s="13">
        <f>IF(AI10&lt;&gt;"",LOOKUP(Info!$C$8,Rates!$I$2:$I$7,Rates!$H$2:$H$7)*(J10+K10+L10+Y10),"")</f>
        <v/>
      </c>
      <c r="J10" s="13">
        <f>IF(N10="",0,N10)+IF(P10="",0,P10)+IF(Q10="",0,Q10)</f>
        <v/>
      </c>
      <c r="K10" s="13">
        <f>IF(Y10&lt;&gt;"",Info!$C$18*Y10,"")</f>
        <v/>
      </c>
      <c r="L10" s="13">
        <f>IF(R10="",0,R10)+IF(U10="",0,U10)+IF(W10="",0,W10)+IF(V10="",0,V10)+IF(T10="",0,T10)</f>
        <v/>
      </c>
      <c r="M10" s="13">
        <f>0.3*O10+0.7*0.25*O9+0.7*0.25*O8+0.7*0.25*O7+0.7*0.25*O6</f>
        <v/>
      </c>
      <c r="N10" s="13">
        <f>IF(O10&lt;&gt;"",N9-12.5/100*O9+0.3*O10-17.5/100*O5,"")</f>
        <v/>
      </c>
      <c r="O10" s="12">
        <f>IF(AJ10&lt;=10,(1-Info!$C$25)*IF(OR(Info!$F$8&gt;0,Info!$F$10&gt;0),IF(0.75*$X$4&lt;=0.03*$AD$4,0.75*(X10-X9),0.03*(AD10-AD9)),0),"")</f>
        <v/>
      </c>
      <c r="P10" s="13">
        <f>IF(AJ10&lt;=5,IF(AI10&lt;&gt;"",0.002*AD10,"")*(1-Info!$I$25),0)</f>
        <v/>
      </c>
      <c r="Q10" s="13">
        <f>(1-Info!$F$25)*IF(AI10&lt;&gt;"",IF(Info!$C$16="بله",0.07*X10,0.07*AG10),"")</f>
        <v/>
      </c>
      <c r="R10" s="13">
        <f>IF(X10&lt;&gt;0,S10*X10,0)*(1-Info!$F$29)</f>
        <v/>
      </c>
      <c r="S10" s="106">
        <f>IF(Info!$I$14="خیر",0,IF(Info!$F$14="بله",IF(Info!$C$14=1,2.3,IF(Info!$C$14=2,3.3,4.3)),1))*IF(AND(AH10&lt;=Rates!$Y$8,AH10&gt;0),(1+Info!$C$18)*(1+LOOKUP(Info!$F$18,Rates!$O$2:$O$9,Rates!$L$2:$L$9)/100)*(LOOKUP(Info!$C$6,Rates!$T$2:$T$108,Rates!$R$2:$R$108)/100),0)</f>
        <v/>
      </c>
      <c r="T10" s="13">
        <f>IF(AI10&lt;71,(1-Info!$F$27)*((AB10*0.0008*(1+(LOOKUP(Info!$I$18,Rates!$O$2:$O$9,Rates!$M$2:$M$9)/100)))),0)</f>
        <v/>
      </c>
      <c r="U10" s="13">
        <f>IF(AI10&lt;71,(1-Info!$I$27)*(((AD10*0.0008*Info!$L$14))*(1+(LOOKUP(Info!$I$18,Rates!$O:$O,Rates!$N:$N)/100))),0)</f>
        <v/>
      </c>
      <c r="V10" s="13">
        <f>((Z10*0.0008))*(1+(LOOKUP(Info!$I$18,Rates!$O$2:$O$9,Rates!$M$2:$M$9)/100))*(1-Info!$C$27)</f>
        <v/>
      </c>
      <c r="W10" s="13">
        <f>IF(AND(AI10&lt;=Rates!$Y$2,AJ10&lt;=Info!$I$6,Info!$F$16="معمولی"),VLOOKUP(AI10,Rates!$T$1:$X$108,5,0),IF(AND(AI10&lt;=Rates!$Y$2,AJ10&lt;=Info!$I$6,Info!$F$16="پایه"),VLOOKUP(AI10,Rates!$T$1:$X$108,2,0),IF(AND(AI10&lt;=Rates!$Y$2,AJ10&lt;=Info!$I$6,Info!$F$16="آسایش "),VLOOKUP(AI10,Rates!$T$1:$X$108,3,0),IF(AND(AI10&lt;=Rates!$Y$2,AJ10&lt;=Info!$I$6,Info!$F$16="ممتاز"),VLOOKUP(AI10,Rates!$T$1:$X$108,4,0),0))))*AA10/1000000*(1+Info!$C$18)*(1-Info!$I$29)</f>
        <v/>
      </c>
      <c r="X10" s="113">
        <f>IF(Info!$C$16="بله",(AG10-W10-U10-V10-T10)/(1+S10),AG10)</f>
        <v/>
      </c>
      <c r="Y10" s="106">
        <f>IF(AI10&lt;&gt;0,(AD10*LOOKUP(AI10,Rates!$T$2:$T$108,Rates!$S$2:$S$108))/SQRT(1.1),0)</f>
        <v/>
      </c>
      <c r="Z10" s="106">
        <f>IF(AND(AI10&lt;=Rates!$Y$10,AI10&gt;=0),Info!$C$12*(AC10-AD10),0)</f>
        <v/>
      </c>
      <c r="AA10" s="13">
        <f>IF(AND(AI10&gt;=0,AI10&lt;=Rates!$Y$2,AG10&gt;0),MIN(AA9*(1+Info!$F$10),5000000000),0)</f>
        <v/>
      </c>
      <c r="AB10" s="106">
        <f>IF(AND(AI10&gt;=0,AI10&lt;=65),AD10*Info!$L$16,0)</f>
        <v/>
      </c>
      <c r="AC10" s="13">
        <f>IF(AND(AI10&gt;=0,AI10&lt;=Rates!$Y$3),AD10*(1+Info!$L$14),AD10)</f>
        <v/>
      </c>
      <c r="AD10" s="106">
        <f>IF(AI10&lt;&gt;0,AD9*(1+Info!$F$10),0)</f>
        <v/>
      </c>
      <c r="AE10" s="105">
        <f>IF(AI10&lt;&gt;0,AF10+AE9,0)</f>
        <v/>
      </c>
      <c r="AF10" s="13">
        <f>IF(AI10&gt;=0,IF(Info!$C$16="بله",AG10,AG10+L10),"")</f>
        <v/>
      </c>
      <c r="AG10" s="107">
        <f>IF(AI10&lt;&gt;0,AG9*(1+Info!$F$8),0)</f>
        <v/>
      </c>
      <c r="AH10" s="111">
        <f>IF(AJ10&lt;&gt;"",Info!$C$6+AJ10-1,0)</f>
        <v/>
      </c>
      <c r="AI10" s="17">
        <f>IF(AJ10&lt;&gt;"",IF(Info!$F$6+AJ10-1&lt;=Rates!$Y$11,Info!$F$6+AJ10-1,0),0)</f>
        <v/>
      </c>
      <c r="AJ10" s="18">
        <f>IF(AI9&lt;&gt;"",IF(AND(AJ9&lt;&gt;"",AI9+1&lt;=Rates!$Y$11),IF(AJ9&lt;&gt;0,IF(AJ9+1&lt;=Info!$I$6,AJ9+1,""),0),""),"")</f>
        <v/>
      </c>
    </row>
    <row r="11" ht="14.25" customFormat="1" customHeight="1" s="164">
      <c r="A11" s="11">
        <f>IF(B11&gt;0,IF(Info!$C$16="بله",AG11/B11,(AG11+L11)/B11),0)</f>
        <v/>
      </c>
      <c r="B11" s="11">
        <f>IF(AND(AI11&gt;=0,AJ11&lt;=Info!$I$6),LOOKUP(Info!$C$8,Rates!$I$2:$I$7,Rates!$F$2:$F$7),0)</f>
        <v/>
      </c>
      <c r="C11" s="12">
        <f>IF(AND(AI11&gt;=0,AJ11&lt;=Info!$I$6),F11+F11*(IF(AJ11&lt;3,VLOOKUP(Info!$C$10,Rates!$A$15:$B$19,2,FALSE),IF(AJ11&lt;5,VLOOKUP(Info!$C$10,Rates!$A$15:$C$19,3,FALSE),VLOOKUP(Info!$C$10,Rates!$A$15:$D$19,4,FALSE)))+(Info!$I$22-IF(AJ11&gt;4,LOOKUP(Info!$C$10,Rates!$D$2:$D$7,Rates!$A$2:$A$7),LOOKUP(Info!$C$10,Rates!$D$2:$D$7,Rates!$C$2:$C$7))))*LOOKUP(Info!$C$8,Rates!$I$2:$I$7,Rates!$G$2:$G$7)+C10*(1+IF(AJ11&lt;3,VLOOKUP(Info!$C$10,Rates!$A$15:$B$19,2,FALSE),IF(AJ11&lt;5,VLOOKUP(Info!$C$10,Rates!$A$15:$C$19,3,FALSE),VLOOKUP(Info!$C$10,Rates!$A$15:$D$19,4,FALSE)))+(Info!$I$22-IF(AJ11&lt;3,VLOOKUP(Info!$C$10,Rates!$A$15:$B$19,2,FALSE),IF(AJ11&lt;5,VLOOKUP(Info!$C$10,Rates!$A$15:$C$19,3,FALSE),VLOOKUP(Info!$C$10,Rates!$A$15:$D$19,4,FALSE))))),0)</f>
        <v/>
      </c>
      <c r="D11" s="12">
        <f>IF(AI11&lt;&gt;"",E11,"")</f>
        <v/>
      </c>
      <c r="E11" s="12">
        <f>IF(AI11&lt;&gt;0,F11*(1+IF(AJ11&lt;3,VLOOKUP(Info!$C$10,Rates!$A$14:$B$19,2,FALSE),IF(AJ11&lt;5,VLOOKUP(Info!$C$10,Rates!$A$14:$C$19,3,FALSE),VLOOKUP(Info!$C$10,Rates!$A$14:$D$19,4,FALSE)))*LOOKUP(Info!$C$8,Rates!$I$2:$I$8,Rates!$G$2:$G$8))+E10*(1+IF(AJ11&lt;3,VLOOKUP(Info!$C$10,Rates!$A$14:$B$19,2,FALSE),IF(AJ11&lt;5,VLOOKUP(Info!$C$10,Rates!$A$14:$C$19,3,FALSE),VLOOKUP(Info!$C$10,Rates!$A$14:$D$19,4,FALSE)))),0)</f>
        <v/>
      </c>
      <c r="F11" s="12">
        <f>IF(AI11&lt;&gt;"",IF(Info!$C$16="بله",IF(AND(AJ11&lt;=Info!$F$20,AJ11&gt;=Info!$I$20),Info!$C$20,0)+(AG11-Y11-L11-K11-J11-I11-H11-G11),IF(AND(AJ11&lt;=Info!$F$20,AJ11&gt;=Info!$I$20),Info!$C$20,0)+(AG11-Y11-K11-J11-I11-H11-G11)),"")</f>
        <v/>
      </c>
      <c r="G11" s="107">
        <f>IF(AI11&lt;&gt;"",Rates!$AA$11*(L11),"")</f>
        <v/>
      </c>
      <c r="H11" s="107">
        <f>IF(AI11&lt;&gt;"",(Rates!$AC$11+Rates!$AB$11)*(L11),"")</f>
        <v/>
      </c>
      <c r="I11" s="12">
        <f>IF(AI11&lt;&gt;"",LOOKUP(Info!$C$8,Rates!$I$2:$I$7,Rates!$H$2:$H$7)*(J11+K11+L11+Y11),"")</f>
        <v/>
      </c>
      <c r="J11" s="12">
        <f>IF(N11="",0,N11)+IF(P11="",0,P11)+IF(Q11="",0,Q11)</f>
        <v/>
      </c>
      <c r="K11" s="12">
        <f>IF(Y11&lt;&gt;"",Info!$C$18*Y11,"")</f>
        <v/>
      </c>
      <c r="L11" s="12">
        <f>IF(R11="",0,R11)+IF(U11="",0,U11)+IF(W11="",0,W11)+IF(V11="",0,V11)+IF(T11="",0,T11)</f>
        <v/>
      </c>
      <c r="M11" s="12">
        <f>0.3*O11+0.7*0.5*O10+0.7*0.25*O9+0.7*0.25*O8+0.7*0.25*O7</f>
        <v/>
      </c>
      <c r="N11" s="12">
        <f>IF(O11&lt;&gt;"",N10+5/100*O10+0.3*O11-17.5/100*O6,"")</f>
        <v/>
      </c>
      <c r="O11" s="12">
        <f>IF(AJ11&lt;=10,(1-Info!$C$25)*IF(OR(Info!$F$8&gt;0,Info!$F$10&gt;0),IF(0.75*$X$4&lt;=0.03*$AD$4,0.75*(X11-X10),0.03*(AD11-AD10)),0),"")</f>
        <v/>
      </c>
      <c r="P11" s="12">
        <f>IF(AJ11&lt;=5,IF(AI11&lt;&gt;"",0.002*AD11,"")*(1-Info!$I$25),0)</f>
        <v/>
      </c>
      <c r="Q11" s="12">
        <f>(1-Info!$F$25)*IF(AI11&lt;&gt;"",IF(Info!$C$16="بله",0.07*X11,0.07*AG11),"")</f>
        <v/>
      </c>
      <c r="R11" s="12">
        <f>IF(X11&lt;&gt;0,S11*X11,0)*(1-Info!$F$29)</f>
        <v/>
      </c>
      <c r="S11" s="107">
        <f>IF(Info!$I$14="خیر",0,IF(Info!$F$14="بله",IF(Info!$C$14=1,2.3,IF(Info!$C$14=2,3.3,4.3)),1))*IF(AND(AH11&lt;=Rates!$Y$8,AH11&gt;0),(1+Info!$C$18)*(1+LOOKUP(Info!$F$18,Rates!$O$2:$O$9,Rates!$L$2:$L$9)/100)*(LOOKUP(Info!$C$6,Rates!$T$2:$T$108,Rates!$R$2:$R$108)/100),0)</f>
        <v/>
      </c>
      <c r="T11" s="12">
        <f>IF(AI11&lt;71,(1-Info!$F$27)*((AB11*0.0008*(1+(LOOKUP(Info!$I$18,Rates!$O$2:$O$9,Rates!$M$2:$M$9)/100)))),0)</f>
        <v/>
      </c>
      <c r="U11" s="12">
        <f>IF(AI11&lt;71,(1-Info!$I$27)*(((AD11*0.0008*Info!$L$14))*(1+(LOOKUP(Info!$I$18,Rates!$O:$O,Rates!$N:$N)/100))),0)</f>
        <v/>
      </c>
      <c r="V11" s="12">
        <f>((Z11*0.0008))*(1+(LOOKUP(Info!$I$18,Rates!$O$2:$O$9,Rates!$M$2:$M$9)/100))*(1-Info!$C$27)</f>
        <v/>
      </c>
      <c r="W11" s="12">
        <f>IF(AND(AI11&lt;=Rates!$Y$2,AJ11&lt;=Info!$I$6,Info!$F$16="معمولی"),VLOOKUP(AI11,Rates!$T$1:$X$108,5,0),IF(AND(AI11&lt;=Rates!$Y$2,AJ11&lt;=Info!$I$6,Info!$F$16="پایه"),VLOOKUP(AI11,Rates!$T$1:$X$108,2,0),IF(AND(AI11&lt;=Rates!$Y$2,AJ11&lt;=Info!$I$6,Info!$F$16="آسایش "),VLOOKUP(AI11,Rates!$T$1:$X$108,3,0),IF(AND(AI11&lt;=Rates!$Y$2,AJ11&lt;=Info!$I$6,Info!$F$16="ممتاز"),VLOOKUP(AI11,Rates!$T$1:$X$108,4,0),0))))*AA11/1000000*(1+Info!$C$18)*(1-Info!$I$29)</f>
        <v/>
      </c>
      <c r="X11" s="12">
        <f>IF(Info!$C$16="بله",(AG11-W11-U11-V11-T11)/(1+S11),AG11)</f>
        <v/>
      </c>
      <c r="Y11" s="107">
        <f>IF(AI11&lt;&gt;0,(AD11*LOOKUP(AI11,Rates!$T$2:$T$108,Rates!$S$2:$S$108))/SQRT(1.1),0)</f>
        <v/>
      </c>
      <c r="Z11" s="107">
        <f>IF(AND(AI11&lt;=Rates!$Y$10,AI11&gt;=0),Info!$C$12*(AC11-AD11),0)</f>
        <v/>
      </c>
      <c r="AA11" s="12">
        <f>IF(AND(AI11&gt;=0,AI11&lt;=Rates!$Y$2,AG11&gt;0),MIN(AA10*(1+Info!$F$10),5000000000),0)</f>
        <v/>
      </c>
      <c r="AB11" s="107">
        <f>IF(AND(AI11&gt;=0,AI11&lt;=65),AD11*Info!$L$16,0)</f>
        <v/>
      </c>
      <c r="AC11" s="12">
        <f>IF(AND(AI11&gt;=0,AI11&lt;=Rates!$Y$3),AD11*(1+Info!$L$14),AD11)</f>
        <v/>
      </c>
      <c r="AD11" s="107">
        <f>IF(AI11&lt;&gt;0,AD10*(1+Info!$F$10),0)</f>
        <v/>
      </c>
      <c r="AE11" s="104">
        <f>IF(AI11&lt;&gt;0,AF11+AE10,0)</f>
        <v/>
      </c>
      <c r="AF11" s="12">
        <f>IF(AI11&gt;=0,IF(Info!$C$16="بله",AG11,AG11+L11),"")</f>
        <v/>
      </c>
      <c r="AG11" s="107">
        <f>IF(AI11&lt;&gt;0,AG10*(1+Info!$F$8),0)</f>
        <v/>
      </c>
      <c r="AH11" s="110">
        <f>IF(AJ11&lt;&gt;"",Info!$C$6+AJ11-1,0)</f>
        <v/>
      </c>
      <c r="AI11" s="14">
        <f>IF(AJ11&lt;&gt;"",IF(Info!$F$6+AJ11-1&lt;=Rates!$Y$11,Info!$F$6+AJ11-1,0),0)</f>
        <v/>
      </c>
      <c r="AJ11" s="15">
        <f>IF(AI10&lt;&gt;"",IF(AND(AJ10&lt;&gt;"",AI10+1&lt;=Rates!$Y$11),IF(AJ10&lt;&gt;0,IF(AJ10+1&lt;=Info!$I$6,AJ10+1,""),0),""),"")</f>
        <v/>
      </c>
    </row>
    <row r="12" ht="14.25" customFormat="1" customHeight="1" s="164">
      <c r="A12" s="16">
        <f>IF(B12&gt;0,IF(Info!$C$16="بله",AG12/B12,(AG12+L12)/B12),0)</f>
        <v/>
      </c>
      <c r="B12" s="16">
        <f>IF(AND(AI12&gt;=0,AJ12&lt;=Info!$I$6),LOOKUP(Info!$C$8,Rates!$I$2:$I$7,Rates!$F$2:$F$7),0)</f>
        <v/>
      </c>
      <c r="C12" s="13">
        <f>IF(AND(AI12&gt;=0,AJ12&lt;=Info!$I$6),F12+F12*(IF(AJ12&lt;3,VLOOKUP(Info!$C$10,Rates!$A$15:$B$19,2,FALSE),IF(AJ12&lt;5,VLOOKUP(Info!$C$10,Rates!$A$15:$C$19,3,FALSE),VLOOKUP(Info!$C$10,Rates!$A$15:$D$19,4,FALSE)))+(Info!$I$22-IF(AJ12&gt;4,LOOKUP(Info!$C$10,Rates!$D$2:$D$7,Rates!$A$2:$A$7),LOOKUP(Info!$C$10,Rates!$D$2:$D$7,Rates!$C$2:$C$7))))*LOOKUP(Info!$C$8,Rates!$I$2:$I$7,Rates!$G$2:$G$7)+C11*(1+IF(AJ12&lt;3,VLOOKUP(Info!$C$10,Rates!$A$15:$B$19,2,FALSE),IF(AJ12&lt;5,VLOOKUP(Info!$C$10,Rates!$A$15:$C$19,3,FALSE),VLOOKUP(Info!$C$10,Rates!$A$15:$D$19,4,FALSE)))+(Info!$I$22-IF(AJ12&lt;3,VLOOKUP(Info!$C$10,Rates!$A$15:$B$19,2,FALSE),IF(AJ12&lt;5,VLOOKUP(Info!$C$10,Rates!$A$15:$C$19,3,FALSE),VLOOKUP(Info!$C$10,Rates!$A$15:$D$19,4,FALSE))))),0)</f>
        <v/>
      </c>
      <c r="D12" s="13">
        <f>IF(AI12&lt;&gt;"",E12,"")</f>
        <v/>
      </c>
      <c r="E12" s="12">
        <f>IF(AI12&lt;&gt;0,F12*(1+IF(AJ12&lt;3,VLOOKUP(Info!$C$10,Rates!$A$14:$B$19,2,FALSE),IF(AJ12&lt;5,VLOOKUP(Info!$C$10,Rates!$A$14:$C$19,3,FALSE),VLOOKUP(Info!$C$10,Rates!$A$14:$D$19,4,FALSE)))*LOOKUP(Info!$C$8,Rates!$I$2:$I$8,Rates!$G$2:$G$8))+E11*(1+IF(AJ12&lt;3,VLOOKUP(Info!$C$10,Rates!$A$14:$B$19,2,FALSE),IF(AJ12&lt;5,VLOOKUP(Info!$C$10,Rates!$A$14:$C$19,3,FALSE),VLOOKUP(Info!$C$10,Rates!$A$14:$D$19,4,FALSE)))),0)</f>
        <v/>
      </c>
      <c r="F12" s="13">
        <f>IF(AI12&lt;&gt;"",IF(Info!$C$16="بله",IF(AND(AJ12&lt;=Info!$F$20,AJ12&gt;=Info!$I$20),Info!$C$20,0)+(AG12-Y12-L12-K12-J12-I12-H12-G12),IF(AND(AJ12&lt;=Info!$F$20,AJ12&gt;=Info!$I$20),Info!$C$20,0)+(AG12-Y12-K12-J12-I12-H12-G12)),"")</f>
        <v/>
      </c>
      <c r="G12" s="106">
        <f>IF(AI12&lt;&gt;"",Rates!$AA$11*(L12),"")</f>
        <v/>
      </c>
      <c r="H12" s="106">
        <f>IF(AI12&lt;&gt;"",(Rates!$AC$11+Rates!$AB$11)*(L12),"")</f>
        <v/>
      </c>
      <c r="I12" s="13">
        <f>IF(AI12&lt;&gt;"",LOOKUP(Info!$C$8,Rates!$I$2:$I$7,Rates!$H$2:$H$7)*(J12+K12+L12+Y12),"")</f>
        <v/>
      </c>
      <c r="J12" s="13">
        <f>IF(N12="",0,N12)+IF(P12="",0,P12)+IF(Q12="",0,Q12)</f>
        <v/>
      </c>
      <c r="K12" s="13">
        <f>IF(Y12&lt;&gt;"",Info!$C$18*Y12,"")</f>
        <v/>
      </c>
      <c r="L12" s="13">
        <f>IF(R12="",0,R12)+IF(U12="",0,U12)+IF(W12="",0,W12)+IF(V12="",0,V12)+IF(T12="",0,T12)</f>
        <v/>
      </c>
      <c r="M12" s="13">
        <f>0.3*O12+0.7*0.5*O11+0.7*0.25*O10+0.7*0.25*O9+0.7*0.25*O8</f>
        <v/>
      </c>
      <c r="N12" s="13">
        <f>IF(O12&lt;&gt;"",N11+5/100*O11+0.3*O12-17.5/100*O7-17.5/100*O10,"")</f>
        <v/>
      </c>
      <c r="O12" s="12">
        <f>IF(AJ12&lt;=10,(1-Info!$C$25)*IF(OR(Info!$F$8&gt;0,Info!$F$10&gt;0),IF(0.75*$X$4&lt;=0.03*$AD$4,0.75*(X12-X11),0.03*(AD12-AD11)),0),"")</f>
        <v/>
      </c>
      <c r="P12" s="13">
        <f>IF(AJ12&lt;=5,IF(AI12&lt;&gt;"",0.002*AD12,"")*(1-Info!$I$25),0)</f>
        <v/>
      </c>
      <c r="Q12" s="13">
        <f>(1-Info!$F$25)*IF(AI12&lt;&gt;"",IF(Info!$C$16="بله",0.07*X12,0.07*AG12),"")</f>
        <v/>
      </c>
      <c r="R12" s="13">
        <f>IF(X12&lt;&gt;0,S12*X12,0)*(1-Info!$F$29)</f>
        <v/>
      </c>
      <c r="S12" s="106">
        <f>IF(Info!$I$14="خیر",0,IF(Info!$F$14="بله",IF(Info!$C$14=1,2.3,IF(Info!$C$14=2,3.3,4.3)),1))*IF(AND(AH12&lt;=Rates!$Y$8,AH12&gt;0),(1+Info!$C$18)*(1+LOOKUP(Info!$F$18,Rates!$O$2:$O$9,Rates!$L$2:$L$9)/100)*(LOOKUP(Info!$C$6,Rates!$T$2:$T$108,Rates!$R$2:$R$108)/100),0)</f>
        <v/>
      </c>
      <c r="T12" s="13">
        <f>IF(AI12&lt;71,(1-Info!$F$27)*((AB12*0.0008*(1+(LOOKUP(Info!$I$18,Rates!$O$2:$O$9,Rates!$M$2:$M$9)/100)))),0)</f>
        <v/>
      </c>
      <c r="U12" s="13">
        <f>IF(AI12&lt;71,(1-Info!$I$27)*(((AD12*0.0008*Info!$L$14))*(1+(LOOKUP(Info!$I$18,Rates!$O:$O,Rates!$N:$N)/100))),0)</f>
        <v/>
      </c>
      <c r="V12" s="13">
        <f>((Z12*0.0008))*(1+(LOOKUP(Info!$I$18,Rates!$O$2:$O$9,Rates!$M$2:$M$9)/100))*(1-Info!$C$27)</f>
        <v/>
      </c>
      <c r="W12" s="13">
        <f>IF(AND(AI12&lt;=Rates!$Y$2,AJ12&lt;=Info!$I$6,Info!$F$16="معمولی"),VLOOKUP(AI12,Rates!$T$1:$X$108,5,0),IF(AND(AI12&lt;=Rates!$Y$2,AJ12&lt;=Info!$I$6,Info!$F$16="پایه"),VLOOKUP(AI12,Rates!$T$1:$X$108,2,0),IF(AND(AI12&lt;=Rates!$Y$2,AJ12&lt;=Info!$I$6,Info!$F$16="آسایش "),VLOOKUP(AI12,Rates!$T$1:$X$108,3,0),IF(AND(AI12&lt;=Rates!$Y$2,AJ12&lt;=Info!$I$6,Info!$F$16="ممتاز"),VLOOKUP(AI12,Rates!$T$1:$X$108,4,0),0))))*AA12/1000000*(1+Info!$C$18)*(1-Info!$I$29)</f>
        <v/>
      </c>
      <c r="X12" s="113">
        <f>IF(Info!$C$16="بله",(AG12-W12-U12-V12-T12)/(1+S12),AG12)</f>
        <v/>
      </c>
      <c r="Y12" s="106">
        <f>IF(AI12&lt;&gt;0,(AD12*LOOKUP(AI12,Rates!$T$2:$T$108,Rates!$S$2:$S$108))/SQRT(1.1),0)</f>
        <v/>
      </c>
      <c r="Z12" s="106">
        <f>IF(AND(AI12&lt;=Rates!$Y$10,AI12&gt;=0),Info!$C$12*(AC12-AD12),0)</f>
        <v/>
      </c>
      <c r="AA12" s="13">
        <f>IF(AND(AI12&gt;=0,AI12&lt;=Rates!$Y$2,AG12&gt;0),MIN(AA11*(1+Info!$F$10),5000000000),0)</f>
        <v/>
      </c>
      <c r="AB12" s="106">
        <f>IF(AND(AI12&gt;=0,AI12&lt;=65),AD12*Info!$L$16,0)</f>
        <v/>
      </c>
      <c r="AC12" s="13">
        <f>IF(AND(AI12&gt;=0,AI12&lt;=Rates!$Y$3),AD12*(1+Info!$L$14),AD12)</f>
        <v/>
      </c>
      <c r="AD12" s="106">
        <f>IF(AI12&lt;&gt;0,AD11*(1+Info!$F$10),0)</f>
        <v/>
      </c>
      <c r="AE12" s="105">
        <f>IF(AI12&lt;&gt;0,AF12+AE11,0)</f>
        <v/>
      </c>
      <c r="AF12" s="13">
        <f>IF(AI12&gt;=0,IF(Info!$C$16="بله",AG12,AG12+L12),"")</f>
        <v/>
      </c>
      <c r="AG12" s="107">
        <f>IF(AI12&lt;&gt;0,AG11*(1+Info!$F$8),0)</f>
        <v/>
      </c>
      <c r="AH12" s="111">
        <f>IF(AJ12&lt;&gt;"",Info!$C$6+AJ12-1,0)</f>
        <v/>
      </c>
      <c r="AI12" s="17">
        <f>IF(AJ12&lt;&gt;"",IF(Info!$F$6+AJ12-1&lt;=Rates!$Y$11,Info!$F$6+AJ12-1,0),0)</f>
        <v/>
      </c>
      <c r="AJ12" s="18">
        <f>IF(AI11&lt;&gt;"",IF(AND(AJ11&lt;&gt;"",AI11+1&lt;=Rates!$Y$11),IF(AJ11&lt;&gt;0,IF(AJ11+1&lt;=Info!$I$6,AJ11+1,""),0),""),"")</f>
        <v/>
      </c>
    </row>
    <row r="13" ht="14.25" customFormat="1" customHeight="1" s="164">
      <c r="A13" s="11">
        <f>IF(B13&gt;0,IF(Info!$C$16="بله",AG13/B13,(AG13+L13)/B13),0)</f>
        <v/>
      </c>
      <c r="B13" s="11">
        <f>IF(AND(AI13&gt;=0,AJ13&lt;=Info!$I$6),LOOKUP(Info!$C$8,Rates!$I$2:$I$7,Rates!$F$2:$F$7),0)</f>
        <v/>
      </c>
      <c r="C13" s="12">
        <f>IF(AND(AI13&gt;=0,AJ13&lt;=Info!$I$6),F13+F13*(IF(AJ13&lt;3,VLOOKUP(Info!$C$10,Rates!$A$15:$B$19,2,FALSE),IF(AJ13&lt;5,VLOOKUP(Info!$C$10,Rates!$A$15:$C$19,3,FALSE),VLOOKUP(Info!$C$10,Rates!$A$15:$D$19,4,FALSE)))+(Info!$I$22-IF(AJ13&gt;4,LOOKUP(Info!$C$10,Rates!$D$2:$D$7,Rates!$A$2:$A$7),LOOKUP(Info!$C$10,Rates!$D$2:$D$7,Rates!$C$2:$C$7))))*LOOKUP(Info!$C$8,Rates!$I$2:$I$7,Rates!$G$2:$G$7)+C12*(1+IF(AJ13&lt;3,VLOOKUP(Info!$C$10,Rates!$A$15:$B$19,2,FALSE),IF(AJ13&lt;5,VLOOKUP(Info!$C$10,Rates!$A$15:$C$19,3,FALSE),VLOOKUP(Info!$C$10,Rates!$A$15:$D$19,4,FALSE)))+(Info!$I$22-IF(AJ13&lt;3,VLOOKUP(Info!$C$10,Rates!$A$15:$B$19,2,FALSE),IF(AJ13&lt;5,VLOOKUP(Info!$C$10,Rates!$A$15:$C$19,3,FALSE),VLOOKUP(Info!$C$10,Rates!$A$15:$D$19,4,FALSE))))),0)</f>
        <v/>
      </c>
      <c r="D13" s="12">
        <f>IF(AI13&lt;&gt;"",E13,"")</f>
        <v/>
      </c>
      <c r="E13" s="12">
        <f>IF(AI13&lt;&gt;0,F13*(1+IF(AJ13&lt;3,VLOOKUP(Info!$C$10,Rates!$A$14:$B$19,2,FALSE),IF(AJ13&lt;5,VLOOKUP(Info!$C$10,Rates!$A$14:$C$19,3,FALSE),VLOOKUP(Info!$C$10,Rates!$A$14:$D$19,4,FALSE)))*LOOKUP(Info!$C$8,Rates!$I$2:$I$8,Rates!$G$2:$G$8))+E12*(1+IF(AJ13&lt;3,VLOOKUP(Info!$C$10,Rates!$A$14:$B$19,2,FALSE),IF(AJ13&lt;5,VLOOKUP(Info!$C$10,Rates!$A$14:$C$19,3,FALSE),VLOOKUP(Info!$C$10,Rates!$A$14:$D$19,4,FALSE)))),0)</f>
        <v/>
      </c>
      <c r="F13" s="12">
        <f>IF(AI13&lt;&gt;"",IF(Info!$C$16="بله",IF(AND(AJ13&lt;=Info!$F$20,AJ13&gt;=Info!$I$20),Info!$C$20,0)+(AG13-Y13-L13-K13-J13-I13-H13-G13),IF(AND(AJ13&lt;=Info!$F$20,AJ13&gt;=Info!$I$20),Info!$C$20,0)+(AG13-Y13-K13-J13-I13-H13-G13)),"")</f>
        <v/>
      </c>
      <c r="G13" s="107">
        <f>IF(AI13&lt;&gt;"",Rates!$AA$11*(L13),"")</f>
        <v/>
      </c>
      <c r="H13" s="107">
        <f>IF(AI13&lt;&gt;"",(Rates!$AC$11+Rates!$AB$11)*(L13),"")</f>
        <v/>
      </c>
      <c r="I13" s="12">
        <f>IF(AI13&lt;&gt;"",LOOKUP(Info!$C$8,Rates!$I$2:$I$7,Rates!$H$2:$H$7)*(J13+K13+L13+Y13),"")</f>
        <v/>
      </c>
      <c r="J13" s="12">
        <f>IF(N13="",0,N13)+IF(P13="",0,P13)+IF(Q13="",0,Q13)</f>
        <v/>
      </c>
      <c r="K13" s="12">
        <f>IF(Y13&lt;&gt;"",Info!$C$18*Y13,"")</f>
        <v/>
      </c>
      <c r="L13" s="12">
        <f>IF(R13="",0,R13)+IF(U13="",0,U13)+IF(W13="",0,W13)+IF(V13="",0,V13)+IF(T13="",0,T13)</f>
        <v/>
      </c>
      <c r="M13" s="12">
        <f>O13+0.7*O12+0.7*0.5*O11+0.7*0.25*O10+0.7*0.25*O9</f>
        <v/>
      </c>
      <c r="N13" s="12">
        <f>IF(O13&lt;&gt;"",N12+40/100*O12+O13-17.5/100*O8,"")</f>
        <v/>
      </c>
      <c r="O13" s="12">
        <f>IF(AJ13&lt;=10,(1-Info!$C$25)*IF(OR(Info!$F$8&gt;0,Info!$F$10&gt;0),IF(0.75*$X$4&lt;=0.03*$AD$4,0.75*(X13-X12),0.03*(AD13-AD12)),0),"")</f>
        <v/>
      </c>
      <c r="P13" s="12">
        <f>IF(AJ13&lt;=5,IF(AI13&lt;&gt;"",0.002*AD13,"")*(1-Info!$I$25),0)</f>
        <v/>
      </c>
      <c r="Q13" s="12">
        <f>(1-Info!$F$25)*IF(AI13&lt;&gt;"",IF(Info!$C$16="بله",0.07*X13,0.07*AG13),"")</f>
        <v/>
      </c>
      <c r="R13" s="12">
        <f>IF(X13&lt;&gt;0,S13*X13,0)*(1-Info!$F$29)</f>
        <v/>
      </c>
      <c r="S13" s="107">
        <f>IF(Info!$I$14="خیر",0,IF(Info!$F$14="بله",IF(Info!$C$14=1,2.3,IF(Info!$C$14=2,3.3,4.3)),1))*IF(AND(AH13&lt;=Rates!$Y$8,AH13&gt;0),(1+Info!$C$18)*(1+LOOKUP(Info!$F$18,Rates!$O$2:$O$9,Rates!$L$2:$L$9)/100)*(LOOKUP(Info!$C$6,Rates!$T$2:$T$108,Rates!$R$2:$R$108)/100),0)</f>
        <v/>
      </c>
      <c r="T13" s="12">
        <f>IF(AI13&lt;71,(1-Info!$F$27)*((AB13*0.0008*(1+(LOOKUP(Info!$I$18,Rates!$O$2:$O$9,Rates!$M$2:$M$9)/100)))),0)</f>
        <v/>
      </c>
      <c r="U13" s="12">
        <f>IF(AI13&lt;71,(1-Info!$I$27)*(((AD13*0.0008*Info!$L$14))*(1+(LOOKUP(Info!$I$18,Rates!$O:$O,Rates!$N:$N)/100))),0)</f>
        <v/>
      </c>
      <c r="V13" s="12">
        <f>((Z13*0.0008))*(1+(LOOKUP(Info!$I$18,Rates!$O$2:$O$9,Rates!$M$2:$M$9)/100))*(1-Info!$C$27)</f>
        <v/>
      </c>
      <c r="W13" s="12">
        <f>IF(AND(AI13&lt;=Rates!$Y$2,AJ13&lt;=Info!$I$6,Info!$F$16="معمولی"),VLOOKUP(AI13,Rates!$T$1:$X$108,5,0),IF(AND(AI13&lt;=Rates!$Y$2,AJ13&lt;=Info!$I$6,Info!$F$16="پایه"),VLOOKUP(AI13,Rates!$T$1:$X$108,2,0),IF(AND(AI13&lt;=Rates!$Y$2,AJ13&lt;=Info!$I$6,Info!$F$16="آسایش "),VLOOKUP(AI13,Rates!$T$1:$X$108,3,0),IF(AND(AI13&lt;=Rates!$Y$2,AJ13&lt;=Info!$I$6,Info!$F$16="ممتاز"),VLOOKUP(AI13,Rates!$T$1:$X$108,4,0),0))))*AA13/1000000*(1+Info!$C$18)*(1-Info!$I$29)</f>
        <v/>
      </c>
      <c r="X13" s="12">
        <f>IF(Info!$C$16="بله",(AG13-W13-U13-V13-T13)/(1+S13),AG13)</f>
        <v/>
      </c>
      <c r="Y13" s="107">
        <f>IF(AI13&lt;&gt;0,(AD13*LOOKUP(AI13,Rates!$T$2:$T$108,Rates!$S$2:$S$108))/SQRT(1.1),0)</f>
        <v/>
      </c>
      <c r="Z13" s="107">
        <f>IF(AND(AI13&lt;=Rates!$Y$10,AI13&gt;=0),Info!$C$12*(AC13-AD13),0)</f>
        <v/>
      </c>
      <c r="AA13" s="12">
        <f>IF(AND(AI13&gt;=0,AI13&lt;=Rates!$Y$2,AG13&gt;0),MIN(AA12*(1+Info!$F$10),5000000000),0)</f>
        <v/>
      </c>
      <c r="AB13" s="107">
        <f>IF(AND(AI13&gt;=0,AI13&lt;=65),AD13*Info!$L$16,0)</f>
        <v/>
      </c>
      <c r="AC13" s="12">
        <f>IF(AND(AI13&gt;=0,AI13&lt;=Rates!$Y$3),AD13*(1+Info!$L$14),AD13)</f>
        <v/>
      </c>
      <c r="AD13" s="107">
        <f>IF(AI13&lt;&gt;0,AD12*(1+Info!$F$10),0)</f>
        <v/>
      </c>
      <c r="AE13" s="104">
        <f>IF(AI13&lt;&gt;0,AF13+AE12,0)</f>
        <v/>
      </c>
      <c r="AF13" s="12">
        <f>IF(AI13&gt;=0,IF(Info!$C$16="بله",AG13,AG13+L13),"")</f>
        <v/>
      </c>
      <c r="AG13" s="107">
        <f>IF(AI13&lt;&gt;0,AG12*(1+Info!$F$8),0)</f>
        <v/>
      </c>
      <c r="AH13" s="110">
        <f>IF(AJ13&lt;&gt;"",Info!$C$6+AJ13-1,0)</f>
        <v/>
      </c>
      <c r="AI13" s="14">
        <f>IF(AJ13&lt;&gt;"",IF(Info!$F$6+AJ13-1&lt;=Rates!$Y$11,Info!$F$6+AJ13-1,0),0)</f>
        <v/>
      </c>
      <c r="AJ13" s="15">
        <f>IF(AI12&lt;&gt;"",IF(AND(AJ12&lt;&gt;"",AI12+1&lt;=Rates!$Y$11),IF(AJ12&lt;&gt;0,IF(AJ12+1&lt;=Info!$I$6,AJ12+1,""),0),""),"")</f>
        <v/>
      </c>
    </row>
    <row r="14" ht="14.25" customFormat="1" customHeight="1" s="164">
      <c r="A14" s="16">
        <f>IF(B14&gt;0,IF(Info!$C$16="بله",AG14/B14,(AG14+L14)/B14),0)</f>
        <v/>
      </c>
      <c r="B14" s="16">
        <f>IF(AND(AI14&gt;=0,AJ14&lt;=Info!$I$6),LOOKUP(Info!$C$8,Rates!$I$2:$I$7,Rates!$F$2:$F$7),0)</f>
        <v/>
      </c>
      <c r="C14" s="13">
        <f>IF(AND(AI14&gt;=0,AJ14&lt;=Info!$I$6),F14+F14*(IF(AJ14&lt;3,VLOOKUP(Info!$C$10,Rates!$A$15:$B$19,2,FALSE),IF(AJ14&lt;5,VLOOKUP(Info!$C$10,Rates!$A$15:$C$19,3,FALSE),VLOOKUP(Info!$C$10,Rates!$A$15:$D$19,4,FALSE)))+(Info!$I$22-IF(AJ14&gt;4,LOOKUP(Info!$C$10,Rates!$D$2:$D$7,Rates!$A$2:$A$7),LOOKUP(Info!$C$10,Rates!$D$2:$D$7,Rates!$C$2:$C$7))))*LOOKUP(Info!$C$8,Rates!$I$2:$I$7,Rates!$G$2:$G$7)+C13*(1+IF(AJ14&lt;3,VLOOKUP(Info!$C$10,Rates!$A$15:$B$19,2,FALSE),IF(AJ14&lt;5,VLOOKUP(Info!$C$10,Rates!$A$15:$C$19,3,FALSE),VLOOKUP(Info!$C$10,Rates!$A$15:$D$19,4,FALSE)))+(Info!$I$22-IF(AJ14&lt;3,VLOOKUP(Info!$C$10,Rates!$A$15:$B$19,2,FALSE),IF(AJ14&lt;5,VLOOKUP(Info!$C$10,Rates!$A$15:$C$19,3,FALSE),VLOOKUP(Info!$C$10,Rates!$A$15:$D$19,4,FALSE))))),0)</f>
        <v/>
      </c>
      <c r="D14" s="13">
        <f>IF(AI14&lt;&gt;"",E14,"")</f>
        <v/>
      </c>
      <c r="E14" s="12">
        <f>IF(AI14&lt;&gt;0,F14*(1+IF(AJ14&lt;3,VLOOKUP(Info!$C$10,Rates!$A$14:$B$19,2,FALSE),IF(AJ14&lt;5,VLOOKUP(Info!$C$10,Rates!$A$14:$C$19,3,FALSE),VLOOKUP(Info!$C$10,Rates!$A$14:$D$19,4,FALSE)))*LOOKUP(Info!$C$8,Rates!$I$2:$I$8,Rates!$G$2:$G$8))+E13*(1+IF(AJ14&lt;3,VLOOKUP(Info!$C$10,Rates!$A$14:$B$19,2,FALSE),IF(AJ14&lt;5,VLOOKUP(Info!$C$10,Rates!$A$14:$C$19,3,FALSE),VLOOKUP(Info!$C$10,Rates!$A$14:$D$19,4,FALSE)))),0)</f>
        <v/>
      </c>
      <c r="F14" s="13">
        <f>IF(AI14&lt;&gt;"",IF(Info!$C$16="بله",IF(AND(AJ14&lt;=Info!$F$20,AJ14&gt;=Info!$I$20),Info!$C$20,0)+(AG14-Y14-L14-K14-J14-I14-H14-G14),IF(AND(AJ14&lt;=Info!$F$20,AJ14&gt;=Info!$I$20),Info!$C$20,0)+(AG14-Y14-K14-J14-I14-H14-G14)),"")</f>
        <v/>
      </c>
      <c r="G14" s="106">
        <f>IF(AI14&lt;&gt;"",Rates!$AA$11*(L14),"")</f>
        <v/>
      </c>
      <c r="H14" s="106">
        <f>IF(AI14&lt;&gt;"",(Rates!$AC$11+Rates!$AB$11)*(L14),"")</f>
        <v/>
      </c>
      <c r="I14" s="13">
        <f>IF(AI14&lt;&gt;"",LOOKUP(Info!$C$8,Rates!$I$2:$I$7,Rates!$H$2:$H$7)*(J14+K14+L14+Y14),"")</f>
        <v/>
      </c>
      <c r="J14" s="13">
        <f>IF(N14="",0,N14)+IF(P14="",0,P14)+IF(Q14="",0,Q14)</f>
        <v/>
      </c>
      <c r="K14" s="13">
        <f>IF(Y14&lt;&gt;"",Info!$C$18*Y14,"")</f>
        <v/>
      </c>
      <c r="L14" s="13">
        <f>IF(R14="",0,R14)+IF(U14="",0,U14)+IF(W14="",0,W14)+IF(V14="",0,V14)+IF(T14="",0,T14)</f>
        <v/>
      </c>
      <c r="M14" s="13" t="n">
        <v>0</v>
      </c>
      <c r="N14" s="13" t="n">
        <v>0</v>
      </c>
      <c r="O14" s="12">
        <f>IF(AJ14&lt;=10,(1-Info!$C$25)*IF(OR(Info!$F$8&gt;0,Info!$F$10&gt;0),IF(0.75*$X$4&lt;=0.03*$AD$4,0.75*(X14-X13),0.03*(AD14-AD13)),0),"")</f>
        <v/>
      </c>
      <c r="P14" s="13">
        <f>IF(AJ14&lt;=5,IF(AI14&lt;&gt;"",0.002*AD14,"")*(1-Info!$I$25),0)</f>
        <v/>
      </c>
      <c r="Q14" s="13">
        <f>(1-Info!$F$25)*IF(AI14&lt;&gt;"",IF(Info!$C$16="بله",0.07*X14,0.07*AG14),"")</f>
        <v/>
      </c>
      <c r="R14" s="13">
        <f>IF(X14&lt;&gt;0,S14*X14,0)*(1-Info!$F$29)</f>
        <v/>
      </c>
      <c r="S14" s="106">
        <f>IF(Info!$I$14="خیر",0,IF(Info!$F$14="بله",IF(Info!$C$14=1,2.3,IF(Info!$C$14=2,3.3,4.3)),1))*IF(AND(AH14&lt;=Rates!$Y$8,AH14&gt;0),(1+Info!$C$18)*(1+LOOKUP(Info!$F$18,Rates!$O$2:$O$9,Rates!$L$2:$L$9)/100)*(LOOKUP(Info!$C$6,Rates!$T$2:$T$108,Rates!$R$2:$R$108)/100),0)</f>
        <v/>
      </c>
      <c r="T14" s="13">
        <f>IF(AI14&lt;71,(1-Info!$F$27)*((AB14*0.0008*(1+(LOOKUP(Info!$I$18,Rates!$O$2:$O$9,Rates!$M$2:$M$9)/100)))),0)</f>
        <v/>
      </c>
      <c r="U14" s="13">
        <f>IF(AI14&lt;71,(1-Info!$I$27)*(((AD14*0.0008*Info!$L$14))*(1+(LOOKUP(Info!$I$18,Rates!$O:$O,Rates!$N:$N)/100))),0)</f>
        <v/>
      </c>
      <c r="V14" s="13">
        <f>((Z14*0.0008))*(1+(LOOKUP(Info!$I$18,Rates!$O$2:$O$9,Rates!$M$2:$M$9)/100))*(1-Info!$C$27)</f>
        <v/>
      </c>
      <c r="W14" s="13">
        <f>IF(AND(AI14&lt;=Rates!$Y$2,AJ14&lt;=Info!$I$6,Info!$F$16="معمولی"),VLOOKUP(AI14,Rates!$T$1:$X$108,5,0),IF(AND(AI14&lt;=Rates!$Y$2,AJ14&lt;=Info!$I$6,Info!$F$16="پایه"),VLOOKUP(AI14,Rates!$T$1:$X$108,2,0),IF(AND(AI14&lt;=Rates!$Y$2,AJ14&lt;=Info!$I$6,Info!$F$16="آسایش "),VLOOKUP(AI14,Rates!$T$1:$X$108,3,0),IF(AND(AI14&lt;=Rates!$Y$2,AJ14&lt;=Info!$I$6,Info!$F$16="ممتاز"),VLOOKUP(AI14,Rates!$T$1:$X$108,4,0),0))))*AA14/1000000*(1+Info!$C$18)*(1-Info!$I$29)</f>
        <v/>
      </c>
      <c r="X14" s="113">
        <f>IF(Info!$C$16="بله",(AG14-W14-U14-V14-T14)/(1+S14),AG14)</f>
        <v/>
      </c>
      <c r="Y14" s="106">
        <f>IF(AI14&lt;&gt;0,(AD14*LOOKUP(AI14,Rates!$T$2:$T$108,Rates!$S$2:$S$108))/SQRT(1.1),0)</f>
        <v/>
      </c>
      <c r="Z14" s="106">
        <f>IF(AND(AI14&lt;=Rates!$Y$10,AI14&gt;=0),Info!$C$12*(AC14-AD14),0)</f>
        <v/>
      </c>
      <c r="AA14" s="13">
        <f>IF(AND(AI14&gt;=0,AI14&lt;=Rates!$Y$2,AG14&gt;0),MIN(AA13*(1+Info!$F$10),5000000000),0)</f>
        <v/>
      </c>
      <c r="AB14" s="106">
        <f>IF(AND(AI14&gt;=0,AI14&lt;=65),AD14*Info!$L$16,0)</f>
        <v/>
      </c>
      <c r="AC14" s="13">
        <f>IF(AND(AI14&gt;=0,AI14&lt;=Rates!$Y$3),AD14*(1+Info!$L$14),AD14)</f>
        <v/>
      </c>
      <c r="AD14" s="106">
        <f>IF(AI14&lt;&gt;0,AD13*(1+Info!$F$10),0)</f>
        <v/>
      </c>
      <c r="AE14" s="105">
        <f>IF(AI14&lt;&gt;0,AF14+AE13,0)</f>
        <v/>
      </c>
      <c r="AF14" s="13">
        <f>IF(AI14&gt;=0,IF(Info!$C$16="بله",AG14,AG14+L14),"")</f>
        <v/>
      </c>
      <c r="AG14" s="107">
        <f>IF(AI14&lt;&gt;0,AG13*(1+Info!$F$8),0)</f>
        <v/>
      </c>
      <c r="AH14" s="111">
        <f>IF(AJ14&lt;&gt;"",Info!$C$6+AJ14-1,0)</f>
        <v/>
      </c>
      <c r="AI14" s="17">
        <f>IF(AJ14&lt;&gt;"",IF(Info!$F$6+AJ14-1&lt;=Rates!$Y$11,Info!$F$6+AJ14-1,0),0)</f>
        <v/>
      </c>
      <c r="AJ14" s="18">
        <f>IF(AI13&lt;&gt;"",IF(AND(AJ13&lt;&gt;"",AI13+1&lt;=Rates!$Y$11),IF(AJ13&lt;&gt;0,IF(AJ13+1&lt;=Info!$I$6,AJ13+1,""),0),""),"")</f>
        <v/>
      </c>
    </row>
    <row r="15" ht="14.25" customFormat="1" customHeight="1" s="164">
      <c r="A15" s="11">
        <f>IF(B15&gt;0,IF(Info!$C$16="بله",AG15/B15,(AG15+L15)/B15),0)</f>
        <v/>
      </c>
      <c r="B15" s="11">
        <f>IF(AND(AI15&gt;=0,AJ15&lt;=Info!$I$6),LOOKUP(Info!$C$8,Rates!$I$2:$I$7,Rates!$F$2:$F$7),0)</f>
        <v/>
      </c>
      <c r="C15" s="12">
        <f>IF(AND(AI15&gt;=0,AJ15&lt;=Info!$I$6),F15+F15*(IF(AJ15&lt;3,VLOOKUP(Info!$C$10,Rates!$A$15:$B$19,2,FALSE),IF(AJ15&lt;5,VLOOKUP(Info!$C$10,Rates!$A$15:$C$19,3,FALSE),VLOOKUP(Info!$C$10,Rates!$A$15:$D$19,4,FALSE)))+(Info!$I$22-IF(AJ15&gt;4,LOOKUP(Info!$C$10,Rates!$D$2:$D$7,Rates!$A$2:$A$7),LOOKUP(Info!$C$10,Rates!$D$2:$D$7,Rates!$C$2:$C$7))))*LOOKUP(Info!$C$8,Rates!$I$2:$I$7,Rates!$G$2:$G$7)+C14*(1+IF(AJ15&lt;3,VLOOKUP(Info!$C$10,Rates!$A$15:$B$19,2,FALSE),IF(AJ15&lt;5,VLOOKUP(Info!$C$10,Rates!$A$15:$C$19,3,FALSE),VLOOKUP(Info!$C$10,Rates!$A$15:$D$19,4,FALSE)))+(Info!$I$22-IF(AJ15&lt;3,VLOOKUP(Info!$C$10,Rates!$A$15:$B$19,2,FALSE),IF(AJ15&lt;5,VLOOKUP(Info!$C$10,Rates!$A$15:$C$19,3,FALSE),VLOOKUP(Info!$C$10,Rates!$A$15:$D$19,4,FALSE))))),0)</f>
        <v/>
      </c>
      <c r="D15" s="12">
        <f>IF(AI15&lt;&gt;"",E15,"")</f>
        <v/>
      </c>
      <c r="E15" s="12">
        <f>IF(AI15&lt;&gt;0,F15*(1+IF(AJ15&lt;3,VLOOKUP(Info!$C$10,Rates!$A$14:$B$19,2,FALSE),IF(AJ15&lt;5,VLOOKUP(Info!$C$10,Rates!$A$14:$C$19,3,FALSE),VLOOKUP(Info!$C$10,Rates!$A$14:$D$19,4,FALSE)))*LOOKUP(Info!$C$8,Rates!$I$2:$I$8,Rates!$G$2:$G$8))+E14*(1+IF(AJ15&lt;3,VLOOKUP(Info!$C$10,Rates!$A$14:$B$19,2,FALSE),IF(AJ15&lt;5,VLOOKUP(Info!$C$10,Rates!$A$14:$C$19,3,FALSE),VLOOKUP(Info!$C$10,Rates!$A$14:$D$19,4,FALSE)))),0)</f>
        <v/>
      </c>
      <c r="F15" s="12">
        <f>IF(AI15&lt;&gt;"",IF(Info!$C$16="بله",IF(AND(AJ15&lt;=Info!$F$20,AJ15&gt;=Info!$I$20),Info!$C$20,0)+(AG15-Y15-L15-K15-J15-I15-H15-G15),IF(AND(AJ15&lt;=Info!$F$20,AJ15&gt;=Info!$I$20),Info!$C$20,0)+(AG15-Y15-K15-J15-I15-H15-G15)),"")</f>
        <v/>
      </c>
      <c r="G15" s="107">
        <f>IF(AI15&lt;&gt;"",Rates!$AA$11*(L15),"")</f>
        <v/>
      </c>
      <c r="H15" s="107">
        <f>IF(AI15&lt;&gt;"",(Rates!$AC$11+Rates!$AB$11)*(L15),"")</f>
        <v/>
      </c>
      <c r="I15" s="12">
        <f>IF(AI15&lt;&gt;"",LOOKUP(Info!$C$8,Rates!$I$2:$I$7,Rates!$H$2:$H$7)*(J15+K15+L15+Y15),"")</f>
        <v/>
      </c>
      <c r="J15" s="12">
        <f>IF(N15="",0,N15)+IF(P15="",0,P15)+IF(Q15="",0,Q15)</f>
        <v/>
      </c>
      <c r="K15" s="12">
        <f>IF(Y15&lt;&gt;"",Info!$C$18*Y15,"")</f>
        <v/>
      </c>
      <c r="L15" s="12">
        <f>IF(R15="",0,R15)+IF(U15="",0,U15)+IF(W15="",0,W15)+IF(V15="",0,V15)+IF(T15="",0,T15)</f>
        <v/>
      </c>
      <c r="M15" s="12" t="n">
        <v>0</v>
      </c>
      <c r="N15" s="12" t="n">
        <v>0</v>
      </c>
      <c r="O15" s="12">
        <f>IF(AJ15&lt;=10,(1-Info!$C$25)*IF(OR(Info!$F$8&gt;0,Info!$F$10&gt;0),IF(0.75*$X$4&lt;=0.03*$AD$4,0.75*(X15-X14),0.03*(AD15-AD14)),0),"")</f>
        <v/>
      </c>
      <c r="P15" s="12">
        <f>IF(AJ15&lt;=5,IF(AI15&lt;&gt;"",0.002*AD15,"")*(1-Info!$I$25),0)</f>
        <v/>
      </c>
      <c r="Q15" s="12">
        <f>(1-Info!$F$25)*IF(AI15&lt;&gt;"",IF(Info!$C$16="بله",0.07*X15,0.07*AG15),"")</f>
        <v/>
      </c>
      <c r="R15" s="12">
        <f>IF(X15&lt;&gt;0,S15*X15,0)*(1-Info!$F$29)</f>
        <v/>
      </c>
      <c r="S15" s="107">
        <f>IF(Info!$I$14="خیر",0,IF(Info!$F$14="بله",IF(Info!$C$14=1,2.3,IF(Info!$C$14=2,3.3,4.3)),1))*IF(AND(AH15&lt;=Rates!$Y$8,AH15&gt;0),(1+Info!$C$18)*(1+LOOKUP(Info!$F$18,Rates!$O$2:$O$9,Rates!$L$2:$L$9)/100)*(LOOKUP(Info!$C$6,Rates!$T$2:$T$108,Rates!$R$2:$R$108)/100),0)</f>
        <v/>
      </c>
      <c r="T15" s="12">
        <f>IF(AI15&lt;71,(1-Info!$F$27)*((AB15*0.0008*(1+(LOOKUP(Info!$I$18,Rates!$O$2:$O$9,Rates!$M$2:$M$9)/100)))),0)</f>
        <v/>
      </c>
      <c r="U15" s="12">
        <f>IF(AI15&lt;71,(1-Info!$I$27)*(((AD15*0.0008*Info!$L$14))*(1+(LOOKUP(Info!$I$18,Rates!$O:$O,Rates!$N:$N)/100))),0)</f>
        <v/>
      </c>
      <c r="V15" s="12">
        <f>((Z15*0.0008))*(1+(LOOKUP(Info!$I$18,Rates!$O$2:$O$9,Rates!$M$2:$M$9)/100))*(1-Info!$C$27)</f>
        <v/>
      </c>
      <c r="W15" s="12">
        <f>IF(AND(AI15&lt;=Rates!$Y$2,AJ15&lt;=Info!$I$6,Info!$F$16="معمولی"),VLOOKUP(AI15,Rates!$T$1:$X$108,5,0),IF(AND(AI15&lt;=Rates!$Y$2,AJ15&lt;=Info!$I$6,Info!$F$16="پایه"),VLOOKUP(AI15,Rates!$T$1:$X$108,2,0),IF(AND(AI15&lt;=Rates!$Y$2,AJ15&lt;=Info!$I$6,Info!$F$16="آسایش "),VLOOKUP(AI15,Rates!$T$1:$X$108,3,0),IF(AND(AI15&lt;=Rates!$Y$2,AJ15&lt;=Info!$I$6,Info!$F$16="ممتاز"),VLOOKUP(AI15,Rates!$T$1:$X$108,4,0),0))))*AA15/1000000*(1+Info!$C$18)*(1-Info!$I$29)</f>
        <v/>
      </c>
      <c r="X15" s="12">
        <f>IF(Info!$C$16="بله",(AG15-W15-U15-V15-T15)/(1+S15),AG15)</f>
        <v/>
      </c>
      <c r="Y15" s="107">
        <f>IF(AI15&lt;&gt;0,(AD15*LOOKUP(AI15,Rates!$T$2:$T$108,Rates!$S$2:$S$108))/SQRT(1.1),0)</f>
        <v/>
      </c>
      <c r="Z15" s="107">
        <f>IF(AND(AI15&lt;=Rates!$Y$10,AI15&gt;=0),Info!$C$12*(AC15-AD15),0)</f>
        <v/>
      </c>
      <c r="AA15" s="12">
        <f>IF(AND(AI15&gt;=0,AI15&lt;=Rates!$Y$2,AG15&gt;0),MIN(AA14*(1+Info!$F$10),5000000000),0)</f>
        <v/>
      </c>
      <c r="AB15" s="107">
        <f>IF(AND(AI15&gt;=0,AI15&lt;=65),AD15*Info!$L$16,0)</f>
        <v/>
      </c>
      <c r="AC15" s="12">
        <f>IF(AND(AI15&gt;=0,AI15&lt;=Rates!$Y$3),AD15*(1+Info!$L$14),AD15)</f>
        <v/>
      </c>
      <c r="AD15" s="107">
        <f>IF(AI15&lt;&gt;0,AD14*(1+Info!$F$10),0)</f>
        <v/>
      </c>
      <c r="AE15" s="104">
        <f>IF(AI15&lt;&gt;0,AF15+AE14,0)</f>
        <v/>
      </c>
      <c r="AF15" s="12">
        <f>IF(AI15&gt;=0,IF(Info!$C$16="بله",AG15,AG15+L15),"")</f>
        <v/>
      </c>
      <c r="AG15" s="107">
        <f>IF(AI15&lt;&gt;0,AG14*(1+Info!$F$8),0)</f>
        <v/>
      </c>
      <c r="AH15" s="110">
        <f>IF(AJ15&lt;&gt;"",Info!$C$6+AJ15-1,0)</f>
        <v/>
      </c>
      <c r="AI15" s="14">
        <f>IF(AJ15&lt;&gt;"",IF(Info!$F$6+AJ15-1&lt;=Rates!$Y$11,Info!$F$6+AJ15-1,0),0)</f>
        <v/>
      </c>
      <c r="AJ15" s="15">
        <f>IF(AI14&lt;&gt;"",IF(AND(AJ14&lt;&gt;"",AI14+1&lt;=Rates!$Y$11),IF(AJ14&lt;&gt;0,IF(AJ14+1&lt;=Info!$I$6,AJ14+1,""),0),""),"")</f>
        <v/>
      </c>
    </row>
    <row r="16" ht="14.25" customFormat="1" customHeight="1" s="164">
      <c r="A16" s="16">
        <f>IF(B16&gt;0,IF(Info!$C$16="بله",AG16/B16,(AG16+L16)/B16),0)</f>
        <v/>
      </c>
      <c r="B16" s="16">
        <f>IF(AND(AI16&gt;=0,AJ16&lt;=Info!$I$6),LOOKUP(Info!$C$8,Rates!$I$2:$I$7,Rates!$F$2:$F$7),0)</f>
        <v/>
      </c>
      <c r="C16" s="13">
        <f>IF(AND(AI16&gt;=0,AJ16&lt;=Info!$I$6),F16+F16*(IF(AJ16&lt;3,VLOOKUP(Info!$C$10,Rates!$A$15:$B$19,2,FALSE),IF(AJ16&lt;5,VLOOKUP(Info!$C$10,Rates!$A$15:$C$19,3,FALSE),VLOOKUP(Info!$C$10,Rates!$A$15:$D$19,4,FALSE)))+(Info!$I$22-IF(AJ16&gt;4,LOOKUP(Info!$C$10,Rates!$D$2:$D$7,Rates!$A$2:$A$7),LOOKUP(Info!$C$10,Rates!$D$2:$D$7,Rates!$C$2:$C$7))))*LOOKUP(Info!$C$8,Rates!$I$2:$I$7,Rates!$G$2:$G$7)+C15*(1+IF(AJ16&lt;3,VLOOKUP(Info!$C$10,Rates!$A$15:$B$19,2,FALSE),IF(AJ16&lt;5,VLOOKUP(Info!$C$10,Rates!$A$15:$C$19,3,FALSE),VLOOKUP(Info!$C$10,Rates!$A$15:$D$19,4,FALSE)))+(Info!$I$22-IF(AJ16&lt;3,VLOOKUP(Info!$C$10,Rates!$A$15:$B$19,2,FALSE),IF(AJ16&lt;5,VLOOKUP(Info!$C$10,Rates!$A$15:$C$19,3,FALSE),VLOOKUP(Info!$C$10,Rates!$A$15:$D$19,4,FALSE))))),0)</f>
        <v/>
      </c>
      <c r="D16" s="13">
        <f>IF(AI16&lt;&gt;"",E16,"")</f>
        <v/>
      </c>
      <c r="E16" s="12">
        <f>IF(AI16&lt;&gt;0,F16*(1+IF(AJ16&lt;3,VLOOKUP(Info!$C$10,Rates!$A$14:$B$19,2,FALSE),IF(AJ16&lt;5,VLOOKUP(Info!$C$10,Rates!$A$14:$C$19,3,FALSE),VLOOKUP(Info!$C$10,Rates!$A$14:$D$19,4,FALSE)))*LOOKUP(Info!$C$8,Rates!$I$2:$I$8,Rates!$G$2:$G$8))+E15*(1+IF(AJ16&lt;3,VLOOKUP(Info!$C$10,Rates!$A$14:$B$19,2,FALSE),IF(AJ16&lt;5,VLOOKUP(Info!$C$10,Rates!$A$14:$C$19,3,FALSE),VLOOKUP(Info!$C$10,Rates!$A$14:$D$19,4,FALSE)))),0)</f>
        <v/>
      </c>
      <c r="F16" s="13">
        <f>IF(AI16&lt;&gt;"",IF(Info!$C$16="بله",IF(AND(AJ16&lt;=Info!$F$20,AJ16&gt;=Info!$I$20),Info!$C$20,0)+(AG16-Y16-L16-K16-J16-I16-H16-G16),IF(AND(AJ16&lt;=Info!$F$20,AJ16&gt;=Info!$I$20),Info!$C$20,0)+(AG16-Y16-K16-J16-I16-H16-G16)),"")</f>
        <v/>
      </c>
      <c r="G16" s="106">
        <f>IF(AI16&lt;&gt;"",Rates!$AA$11*(L16),"")</f>
        <v/>
      </c>
      <c r="H16" s="106">
        <f>IF(AI16&lt;&gt;"",(Rates!$AC$11+Rates!$AB$11)*(L16),"")</f>
        <v/>
      </c>
      <c r="I16" s="13">
        <f>IF(AI16&lt;&gt;"",LOOKUP(Info!$C$8,Rates!$I$2:$I$7,Rates!$H$2:$H$7)*(J16+K16+L16+Y16),"")</f>
        <v/>
      </c>
      <c r="J16" s="13">
        <f>IF(N16="",0,N16)+IF(P16="",0,P16)+IF(Q16="",0,Q16)</f>
        <v/>
      </c>
      <c r="K16" s="13">
        <f>IF(Y16&lt;&gt;"",Info!$C$18*Y16,"")</f>
        <v/>
      </c>
      <c r="L16" s="13">
        <f>IF(R16="",0,R16)+IF(U16="",0,U16)+IF(W16="",0,W16)+IF(V16="",0,V16)+IF(T16="",0,T16)</f>
        <v/>
      </c>
      <c r="M16" s="13" t="n">
        <v>0</v>
      </c>
      <c r="N16" s="13" t="n">
        <v>0</v>
      </c>
      <c r="O16" s="12">
        <f>IF(AJ16&lt;=10,(1-Info!$C$25)*IF(OR(Info!$F$8&gt;0,Info!$F$10&gt;0),IF(0.75*$X$4&lt;=0.03*$AD$4,0.75*(X16-X15),0.03*(AD16-AD15)),0),"")</f>
        <v/>
      </c>
      <c r="P16" s="13">
        <f>IF(AJ16&lt;=5,IF(AI16&lt;&gt;"",0.002*AD16,"")*(1-Info!$I$25),0)</f>
        <v/>
      </c>
      <c r="Q16" s="13">
        <f>(1-Info!$F$25)*IF(AI16&lt;&gt;"",IF(Info!$C$16="بله",0.07*X16,0.07*AG16),"")</f>
        <v/>
      </c>
      <c r="R16" s="13">
        <f>IF(X16&lt;&gt;0,S16*X16,0)*(1-Info!$F$29)</f>
        <v/>
      </c>
      <c r="S16" s="106">
        <f>IF(Info!$I$14="خیر",0,IF(Info!$F$14="بله",IF(Info!$C$14=1,2.3,IF(Info!$C$14=2,3.3,4.3)),1))*IF(AND(AH16&lt;=Rates!$Y$8,AH16&gt;0),(1+Info!$C$18)*(1+LOOKUP(Info!$F$18,Rates!$O$2:$O$9,Rates!$L$2:$L$9)/100)*(LOOKUP(Info!$C$6,Rates!$T$2:$T$108,Rates!$R$2:$R$108)/100),0)</f>
        <v/>
      </c>
      <c r="T16" s="13">
        <f>IF(AI16&lt;71,(1-Info!$F$27)*((AB16*0.0008*(1+(LOOKUP(Info!$I$18,Rates!$O$2:$O$9,Rates!$M$2:$M$9)/100)))),0)</f>
        <v/>
      </c>
      <c r="U16" s="13">
        <f>IF(AI16&lt;71,(1-Info!$I$27)*(((AD16*0.0008*Info!$L$14))*(1+(LOOKUP(Info!$I$18,Rates!$O:$O,Rates!$N:$N)/100))),0)</f>
        <v/>
      </c>
      <c r="V16" s="13">
        <f>((Z16*0.0008))*(1+(LOOKUP(Info!$I$18,Rates!$O$2:$O$9,Rates!$M$2:$M$9)/100))*(1-Info!$C$27)</f>
        <v/>
      </c>
      <c r="W16" s="13">
        <f>IF(AND(AI16&lt;=Rates!$Y$2,AJ16&lt;=Info!$I$6,Info!$F$16="معمولی"),VLOOKUP(AI16,Rates!$T$1:$X$108,5,0),IF(AND(AI16&lt;=Rates!$Y$2,AJ16&lt;=Info!$I$6,Info!$F$16="پایه"),VLOOKUP(AI16,Rates!$T$1:$X$108,2,0),IF(AND(AI16&lt;=Rates!$Y$2,AJ16&lt;=Info!$I$6,Info!$F$16="آسایش "),VLOOKUP(AI16,Rates!$T$1:$X$108,3,0),IF(AND(AI16&lt;=Rates!$Y$2,AJ16&lt;=Info!$I$6,Info!$F$16="ممتاز"),VLOOKUP(AI16,Rates!$T$1:$X$108,4,0),0))))*AA16/1000000*(1+Info!$C$18)*(1-Info!$I$29)</f>
        <v/>
      </c>
      <c r="X16" s="113">
        <f>IF(Info!$C$16="بله",(AG16-W16-U16-V16-T16)/(1+S16),AG16)</f>
        <v/>
      </c>
      <c r="Y16" s="106">
        <f>IF(AI16&lt;&gt;0,(AD16*LOOKUP(AI16,Rates!$T$2:$T$108,Rates!$S$2:$S$108))/SQRT(1.1),0)</f>
        <v/>
      </c>
      <c r="Z16" s="106">
        <f>IF(AND(AI16&lt;=Rates!$Y$10,AI16&gt;=0),Info!$C$12*(AC16-AD16),0)</f>
        <v/>
      </c>
      <c r="AA16" s="13">
        <f>IF(AND(AI16&gt;=0,AI16&lt;=Rates!$Y$2,AG16&gt;0),MIN(AA15*(1+Info!$F$10),5000000000),0)</f>
        <v/>
      </c>
      <c r="AB16" s="106">
        <f>IF(AND(AI16&gt;=0,AI16&lt;=65),AD16*Info!$L$16,0)</f>
        <v/>
      </c>
      <c r="AC16" s="13">
        <f>IF(AND(AI16&gt;=0,AI16&lt;=Rates!$Y$3),AD16*(1+Info!$L$14),AD16)</f>
        <v/>
      </c>
      <c r="AD16" s="106">
        <f>IF(AI16&lt;&gt;0,AD15*(1+Info!$F$10),0)</f>
        <v/>
      </c>
      <c r="AE16" s="105">
        <f>IF(AI16&lt;&gt;0,AF16+AE15,0)</f>
        <v/>
      </c>
      <c r="AF16" s="13">
        <f>IF(AI16&gt;=0,IF(Info!$C$16="بله",AG16,AG16+L16),"")</f>
        <v/>
      </c>
      <c r="AG16" s="107">
        <f>IF(AI16&lt;&gt;0,AG15*(1+Info!$F$8),0)</f>
        <v/>
      </c>
      <c r="AH16" s="111">
        <f>IF(AJ16&lt;&gt;"",Info!$C$6+AJ16-1,0)</f>
        <v/>
      </c>
      <c r="AI16" s="17">
        <f>IF(AJ16&lt;&gt;"",IF(Info!$F$6+AJ16-1&lt;=Rates!$Y$11,Info!$F$6+AJ16-1,0),0)</f>
        <v/>
      </c>
      <c r="AJ16" s="18">
        <f>IF(AI15&lt;&gt;"",IF(AND(AJ15&lt;&gt;"",AI15+1&lt;=Rates!$Y$11),IF(AJ15&lt;&gt;0,IF(AJ15+1&lt;=Info!$I$6,AJ15+1,""),0),""),"")</f>
        <v/>
      </c>
    </row>
    <row r="17" ht="14.25" customFormat="1" customHeight="1" s="164">
      <c r="A17" s="11">
        <f>IF(B17&gt;0,IF(Info!$C$16="بله",AG17/B17,(AG17+L17)/B17),0)</f>
        <v/>
      </c>
      <c r="B17" s="11">
        <f>IF(AND(AI17&gt;=0,AJ17&lt;=Info!$I$6),LOOKUP(Info!$C$8,Rates!$I$2:$I$7,Rates!$F$2:$F$7),0)</f>
        <v/>
      </c>
      <c r="C17" s="12">
        <f>IF(AND(AI17&gt;=0,AJ17&lt;=Info!$I$6),F17+F17*(IF(AJ17&lt;3,VLOOKUP(Info!$C$10,Rates!$A$15:$B$19,2,FALSE),IF(AJ17&lt;5,VLOOKUP(Info!$C$10,Rates!$A$15:$C$19,3,FALSE),VLOOKUP(Info!$C$10,Rates!$A$15:$D$19,4,FALSE)))+(Info!$I$22-IF(AJ17&gt;4,LOOKUP(Info!$C$10,Rates!$D$2:$D$7,Rates!$A$2:$A$7),LOOKUP(Info!$C$10,Rates!$D$2:$D$7,Rates!$C$2:$C$7))))*LOOKUP(Info!$C$8,Rates!$I$2:$I$7,Rates!$G$2:$G$7)+C16*(1+IF(AJ17&lt;3,VLOOKUP(Info!$C$10,Rates!$A$15:$B$19,2,FALSE),IF(AJ17&lt;5,VLOOKUP(Info!$C$10,Rates!$A$15:$C$19,3,FALSE),VLOOKUP(Info!$C$10,Rates!$A$15:$D$19,4,FALSE)))+(Info!$I$22-IF(AJ17&lt;3,VLOOKUP(Info!$C$10,Rates!$A$15:$B$19,2,FALSE),IF(AJ17&lt;5,VLOOKUP(Info!$C$10,Rates!$A$15:$C$19,3,FALSE),VLOOKUP(Info!$C$10,Rates!$A$15:$D$19,4,FALSE))))),0)</f>
        <v/>
      </c>
      <c r="D17" s="12">
        <f>IF(AI17&lt;&gt;"",E17,"")</f>
        <v/>
      </c>
      <c r="E17" s="12">
        <f>IF(AI17&lt;&gt;0,F17*(1+IF(AJ17&lt;3,VLOOKUP(Info!$C$10,Rates!$A$14:$B$19,2,FALSE),IF(AJ17&lt;5,VLOOKUP(Info!$C$10,Rates!$A$14:$C$19,3,FALSE),VLOOKUP(Info!$C$10,Rates!$A$14:$D$19,4,FALSE)))*LOOKUP(Info!$C$8,Rates!$I$2:$I$8,Rates!$G$2:$G$8))+E16*(1+IF(AJ17&lt;3,VLOOKUP(Info!$C$10,Rates!$A$14:$B$19,2,FALSE),IF(AJ17&lt;5,VLOOKUP(Info!$C$10,Rates!$A$14:$C$19,3,FALSE),VLOOKUP(Info!$C$10,Rates!$A$14:$D$19,4,FALSE)))),0)</f>
        <v/>
      </c>
      <c r="F17" s="12">
        <f>IF(AI17&lt;&gt;"",IF(Info!$C$16="بله",IF(AND(AJ17&lt;=Info!$F$20,AJ17&gt;=Info!$I$20),Info!$C$20,0)+(AG17-Y17-L17-K17-J17-I17-H17-G17),IF(AND(AJ17&lt;=Info!$F$20,AJ17&gt;=Info!$I$20),Info!$C$20,0)+(AG17-Y17-K17-J17-I17-H17-G17)),"")</f>
        <v/>
      </c>
      <c r="G17" s="107">
        <f>IF(AI17&lt;&gt;"",Rates!$AA$11*(L17),"")</f>
        <v/>
      </c>
      <c r="H17" s="107">
        <f>IF(AI17&lt;&gt;"",(Rates!$AC$11+Rates!$AB$11)*(L17),"")</f>
        <v/>
      </c>
      <c r="I17" s="12">
        <f>IF(AI17&lt;&gt;"",LOOKUP(Info!$C$8,Rates!$I$2:$I$7,Rates!$H$2:$H$7)*(J17+K17+L17+Y17),"")</f>
        <v/>
      </c>
      <c r="J17" s="12">
        <f>IF(N17="",0,N17)+IF(P17="",0,P17)+IF(Q17="",0,Q17)</f>
        <v/>
      </c>
      <c r="K17" s="12">
        <f>IF(Y17&lt;&gt;"",Info!$C$18*Y17,"")</f>
        <v/>
      </c>
      <c r="L17" s="12">
        <f>IF(R17="",0,R17)+IF(U17="",0,U17)+IF(W17="",0,W17)+IF(V17="",0,V17)+IF(T17="",0,T17)</f>
        <v/>
      </c>
      <c r="M17" s="12" t="n">
        <v>0</v>
      </c>
      <c r="N17" s="12" t="n">
        <v>0</v>
      </c>
      <c r="O17" s="12">
        <f>IF(AJ17&lt;=10,(1-Info!$C$25)*IF(OR(Info!$F$8&gt;0,Info!$F$10&gt;0),IF(0.75*$X$4&lt;=0.03*$AD$4,0.75*(X17-X16),0.03*(AD17-AD16)),0),"")</f>
        <v/>
      </c>
      <c r="P17" s="12">
        <f>IF(AJ17&lt;=5,IF(AI17&lt;&gt;"",0.002*AD17,"")*(1-Info!$I$25),0)</f>
        <v/>
      </c>
      <c r="Q17" s="12">
        <f>(1-Info!$F$25)*IF(AI17&lt;&gt;"",IF(Info!$C$16="بله",0.07*X17,0.07*AG17),"")</f>
        <v/>
      </c>
      <c r="R17" s="12">
        <f>IF(X17&lt;&gt;0,S17*X17,0)*(1-Info!$F$29)</f>
        <v/>
      </c>
      <c r="S17" s="107">
        <f>IF(Info!$I$14="خیر",0,IF(Info!$F$14="بله",IF(Info!$C$14=1,2.3,IF(Info!$C$14=2,3.3,4.3)),1))*IF(AND(AH17&lt;=Rates!$Y$8,AH17&gt;0),(1+Info!$C$18)*(1+LOOKUP(Info!$F$18,Rates!$O$2:$O$9,Rates!$L$2:$L$9)/100)*(LOOKUP(Info!$C$6,Rates!$T$2:$T$108,Rates!$R$2:$R$108)/100),0)</f>
        <v/>
      </c>
      <c r="T17" s="12">
        <f>IF(AI17&lt;71,(1-Info!$F$27)*((AB17*0.0008*(1+(LOOKUP(Info!$I$18,Rates!$O$2:$O$9,Rates!$M$2:$M$9)/100)))),0)</f>
        <v/>
      </c>
      <c r="U17" s="12">
        <f>IF(AI17&lt;71,(1-Info!$I$27)*(((AD17*0.0008*Info!$L$14))*(1+(LOOKUP(Info!$I$18,Rates!$O:$O,Rates!$N:$N)/100))),0)</f>
        <v/>
      </c>
      <c r="V17" s="12">
        <f>((Z17*0.0008))*(1+(LOOKUP(Info!$I$18,Rates!$O$2:$O$9,Rates!$M$2:$M$9)/100))*(1-Info!$C$27)</f>
        <v/>
      </c>
      <c r="W17" s="12">
        <f>IF(AND(AI17&lt;=Rates!$Y$2,AJ17&lt;=Info!$I$6,Info!$F$16="معمولی"),VLOOKUP(AI17,Rates!$T$1:$X$108,5,0),IF(AND(AI17&lt;=Rates!$Y$2,AJ17&lt;=Info!$I$6,Info!$F$16="پایه"),VLOOKUP(AI17,Rates!$T$1:$X$108,2,0),IF(AND(AI17&lt;=Rates!$Y$2,AJ17&lt;=Info!$I$6,Info!$F$16="آسایش "),VLOOKUP(AI17,Rates!$T$1:$X$108,3,0),IF(AND(AI17&lt;=Rates!$Y$2,AJ17&lt;=Info!$I$6,Info!$F$16="ممتاز"),VLOOKUP(AI17,Rates!$T$1:$X$108,4,0),0))))*AA17/1000000*(1+Info!$C$18)*(1-Info!$I$29)</f>
        <v/>
      </c>
      <c r="X17" s="12">
        <f>IF(Info!$C$16="بله",(AG17-W17-U17-V17-T17)/(1+S17),AG17)</f>
        <v/>
      </c>
      <c r="Y17" s="107">
        <f>IF(AI17&lt;&gt;0,(AD17*LOOKUP(AI17,Rates!$T$2:$T$108,Rates!$S$2:$S$108))/SQRT(1.1),0)</f>
        <v/>
      </c>
      <c r="Z17" s="107">
        <f>IF(AND(AI17&lt;=Rates!$Y$10,AI17&gt;=0),Info!$C$12*(AC17-AD17),0)</f>
        <v/>
      </c>
      <c r="AA17" s="12">
        <f>IF(AND(AI17&gt;=0,AI17&lt;=Rates!$Y$2,AG17&gt;0),MIN(AA16*(1+Info!$F$10),5000000000),0)</f>
        <v/>
      </c>
      <c r="AB17" s="107">
        <f>IF(AND(AI17&gt;=0,AI17&lt;=65),AD17*Info!$L$16,0)</f>
        <v/>
      </c>
      <c r="AC17" s="12">
        <f>IF(AND(AI17&gt;=0,AI17&lt;=Rates!$Y$3),AD17*(1+Info!$L$14),AD17)</f>
        <v/>
      </c>
      <c r="AD17" s="107">
        <f>IF(AI17&lt;&gt;0,AD16*(1+Info!$F$10),0)</f>
        <v/>
      </c>
      <c r="AE17" s="104">
        <f>IF(AI17&lt;&gt;0,AF17+AE16,0)</f>
        <v/>
      </c>
      <c r="AF17" s="12">
        <f>IF(AI17&gt;=0,IF(Info!$C$16="بله",AG17,AG17+L17),"")</f>
        <v/>
      </c>
      <c r="AG17" s="107">
        <f>IF(AI17&lt;&gt;0,AG16*(1+Info!$F$8),0)</f>
        <v/>
      </c>
      <c r="AH17" s="110">
        <f>IF(AJ17&lt;&gt;"",Info!$C$6+AJ17-1,0)</f>
        <v/>
      </c>
      <c r="AI17" s="14">
        <f>IF(AJ17&lt;&gt;"",IF(Info!$F$6+AJ17-1&lt;=Rates!$Y$11,Info!$F$6+AJ17-1,0),0)</f>
        <v/>
      </c>
      <c r="AJ17" s="15">
        <f>IF(AI16&lt;&gt;"",IF(AND(AJ16&lt;&gt;"",AI16+1&lt;=Rates!$Y$11),IF(AJ16&lt;&gt;0,IF(AJ16+1&lt;=Info!$I$6,AJ16+1,""),0),""),"")</f>
        <v/>
      </c>
    </row>
    <row r="18" ht="14.25" customFormat="1" customHeight="1" s="164">
      <c r="A18" s="16">
        <f>IF(B18&gt;0,IF(Info!$C$16="بله",AG18/B18,(AG18+L18)/B18),0)</f>
        <v/>
      </c>
      <c r="B18" s="16">
        <f>IF(AND(AI18&gt;=0,AJ18&lt;=Info!$I$6),LOOKUP(Info!$C$8,Rates!$I$2:$I$7,Rates!$F$2:$F$7),0)</f>
        <v/>
      </c>
      <c r="C18" s="13">
        <f>IF(AND(AI18&gt;=0,AJ18&lt;=Info!$I$6),F18+F18*(IF(AJ18&lt;3,VLOOKUP(Info!$C$10,Rates!$A$15:$B$19,2,FALSE),IF(AJ18&lt;5,VLOOKUP(Info!$C$10,Rates!$A$15:$C$19,3,FALSE),VLOOKUP(Info!$C$10,Rates!$A$15:$D$19,4,FALSE)))+(Info!$I$22-IF(AJ18&gt;4,LOOKUP(Info!$C$10,Rates!$D$2:$D$7,Rates!$A$2:$A$7),LOOKUP(Info!$C$10,Rates!$D$2:$D$7,Rates!$C$2:$C$7))))*LOOKUP(Info!$C$8,Rates!$I$2:$I$7,Rates!$G$2:$G$7)+C17*(1+IF(AJ18&lt;3,VLOOKUP(Info!$C$10,Rates!$A$15:$B$19,2,FALSE),IF(AJ18&lt;5,VLOOKUP(Info!$C$10,Rates!$A$15:$C$19,3,FALSE),VLOOKUP(Info!$C$10,Rates!$A$15:$D$19,4,FALSE)))+(Info!$I$22-IF(AJ18&lt;3,VLOOKUP(Info!$C$10,Rates!$A$15:$B$19,2,FALSE),IF(AJ18&lt;5,VLOOKUP(Info!$C$10,Rates!$A$15:$C$19,3,FALSE),VLOOKUP(Info!$C$10,Rates!$A$15:$D$19,4,FALSE))))),0)</f>
        <v/>
      </c>
      <c r="D18" s="13">
        <f>IF(AI18&lt;&gt;"",E18,"")</f>
        <v/>
      </c>
      <c r="E18" s="12">
        <f>IF(AI18&lt;&gt;0,F18*(1+IF(AJ18&lt;3,VLOOKUP(Info!$C$10,Rates!$A$14:$B$19,2,FALSE),IF(AJ18&lt;5,VLOOKUP(Info!$C$10,Rates!$A$14:$C$19,3,FALSE),VLOOKUP(Info!$C$10,Rates!$A$14:$D$19,4,FALSE)))*LOOKUP(Info!$C$8,Rates!$I$2:$I$8,Rates!$G$2:$G$8))+E17*(1+IF(AJ18&lt;3,VLOOKUP(Info!$C$10,Rates!$A$14:$B$19,2,FALSE),IF(AJ18&lt;5,VLOOKUP(Info!$C$10,Rates!$A$14:$C$19,3,FALSE),VLOOKUP(Info!$C$10,Rates!$A$14:$D$19,4,FALSE)))),0)</f>
        <v/>
      </c>
      <c r="F18" s="13">
        <f>IF(AI18&lt;&gt;"",IF(Info!$C$16="بله",IF(AND(AJ18&lt;=Info!$F$20,AJ18&gt;=Info!$I$20),Info!$C$20,0)+(AG18-Y18-L18-K18-J18-I18-H18-G18),IF(AND(AJ18&lt;=Info!$F$20,AJ18&gt;=Info!$I$20),Info!$C$20,0)+(AG18-Y18-K18-J18-I18-H18-G18)),"")</f>
        <v/>
      </c>
      <c r="G18" s="106">
        <f>IF(AI18&lt;&gt;"",Rates!$AA$11*(L18),"")</f>
        <v/>
      </c>
      <c r="H18" s="106">
        <f>IF(AI18&lt;&gt;"",(Rates!$AC$11+Rates!$AB$11)*(L18),"")</f>
        <v/>
      </c>
      <c r="I18" s="13">
        <f>IF(AI18&lt;&gt;"",LOOKUP(Info!$C$8,Rates!$I$2:$I$7,Rates!$H$2:$H$7)*(J18+K18+L18+Y18),"")</f>
        <v/>
      </c>
      <c r="J18" s="13">
        <f>IF(N18="",0,N18)+IF(P18="",0,P18)+IF(Q18="",0,Q18)</f>
        <v/>
      </c>
      <c r="K18" s="13">
        <f>IF(Y18&lt;&gt;"",Info!$C$18*Y18,"")</f>
        <v/>
      </c>
      <c r="L18" s="13">
        <f>IF(R18="",0,R18)+IF(U18="",0,U18)+IF(W18="",0,W18)+IF(V18="",0,V18)+IF(T18="",0,T18)</f>
        <v/>
      </c>
      <c r="M18" s="13" t="n">
        <v>0</v>
      </c>
      <c r="N18" s="13" t="n">
        <v>0</v>
      </c>
      <c r="O18" s="12">
        <f>IF(AJ18&lt;=10,(1-Info!$C$25)*IF(OR(Info!$F$8&gt;0,Info!$F$10&gt;0),IF(0.75*$X$4&lt;=0.03*$AD$4,0.75*(X18-X17),0.03*(AD18-AD17)),0),"")</f>
        <v/>
      </c>
      <c r="P18" s="13">
        <f>IF(AJ18&lt;=5,IF(AI18&lt;&gt;"",0.002*AD18,"")*(1-Info!$I$25),0)</f>
        <v/>
      </c>
      <c r="Q18" s="13">
        <f>(1-Info!$F$25)*IF(AI18&lt;&gt;"",IF(Info!$C$16="بله",0.07*X18,0.07*AG18),"")</f>
        <v/>
      </c>
      <c r="R18" s="13">
        <f>IF(X18&lt;&gt;0,S18*X18,0)*(1-Info!$F$29)</f>
        <v/>
      </c>
      <c r="S18" s="106">
        <f>IF(Info!$I$14="خیر",0,IF(Info!$F$14="بله",IF(Info!$C$14=1,2.3,IF(Info!$C$14=2,3.3,4.3)),1))*IF(AND(AH18&lt;=Rates!$Y$8,AH18&gt;0),(1+Info!$C$18)*(1+LOOKUP(Info!$F$18,Rates!$O$2:$O$9,Rates!$L$2:$L$9)/100)*(LOOKUP(Info!$C$6,Rates!$T$2:$T$108,Rates!$R$2:$R$108)/100),0)</f>
        <v/>
      </c>
      <c r="T18" s="13">
        <f>IF(AI18&lt;71,(1-Info!$F$27)*((AB18*0.0008*(1+(LOOKUP(Info!$I$18,Rates!$O$2:$O$9,Rates!$M$2:$M$9)/100)))),0)</f>
        <v/>
      </c>
      <c r="U18" s="13">
        <f>IF(AI18&lt;71,(1-Info!$I$27)*(((AD18*0.0008*Info!$L$14))*(1+(LOOKUP(Info!$I$18,Rates!$O:$O,Rates!$N:$N)/100))),0)</f>
        <v/>
      </c>
      <c r="V18" s="13">
        <f>((Z18*0.0008))*(1+(LOOKUP(Info!$I$18,Rates!$O$2:$O$9,Rates!$M$2:$M$9)/100))*(1-Info!$C$27)</f>
        <v/>
      </c>
      <c r="W18" s="13">
        <f>IF(AND(AI18&lt;=Rates!$Y$2,AJ18&lt;=Info!$I$6,Info!$F$16="معمولی"),VLOOKUP(AI18,Rates!$T$1:$X$108,5,0),IF(AND(AI18&lt;=Rates!$Y$2,AJ18&lt;=Info!$I$6,Info!$F$16="پایه"),VLOOKUP(AI18,Rates!$T$1:$X$108,2,0),IF(AND(AI18&lt;=Rates!$Y$2,AJ18&lt;=Info!$I$6,Info!$F$16="آسایش "),VLOOKUP(AI18,Rates!$T$1:$X$108,3,0),IF(AND(AI18&lt;=Rates!$Y$2,AJ18&lt;=Info!$I$6,Info!$F$16="ممتاز"),VLOOKUP(AI18,Rates!$T$1:$X$108,4,0),0))))*AA18/1000000*(1+Info!$C$18)*(1-Info!$I$29)</f>
        <v/>
      </c>
      <c r="X18" s="113">
        <f>IF(Info!$C$16="بله",(AG18-W18-U18-V18-T18)/(1+S18),AG18)</f>
        <v/>
      </c>
      <c r="Y18" s="106">
        <f>IF(AI18&lt;&gt;0,(AD18*LOOKUP(AI18,Rates!$T$2:$T$108,Rates!$S$2:$S$108))/SQRT(1.1),0)</f>
        <v/>
      </c>
      <c r="Z18" s="106">
        <f>IF(AND(AI18&lt;=Rates!$Y$10,AI18&gt;=0),Info!$C$12*(AC18-AD18),0)</f>
        <v/>
      </c>
      <c r="AA18" s="13">
        <f>IF(AND(AI18&gt;=0,AI18&lt;=Rates!$Y$2,AG18&gt;0),MIN(AA17*(1+Info!$F$10),5000000000),0)</f>
        <v/>
      </c>
      <c r="AB18" s="106">
        <f>IF(AND(AI18&gt;=0,AI18&lt;=65),AD18*Info!$L$16,0)</f>
        <v/>
      </c>
      <c r="AC18" s="13">
        <f>IF(AND(AI18&gt;=0,AI18&lt;=Rates!$Y$3),AD18*(1+Info!$L$14),AD18)</f>
        <v/>
      </c>
      <c r="AD18" s="106">
        <f>IF(AI18&lt;&gt;0,AD17*(1+Info!$F$10),0)</f>
        <v/>
      </c>
      <c r="AE18" s="105">
        <f>IF(AI18&lt;&gt;0,AF18+AE17,0)</f>
        <v/>
      </c>
      <c r="AF18" s="13">
        <f>IF(AI18&gt;=0,IF(Info!$C$16="بله",AG18,AG18+L18),"")</f>
        <v/>
      </c>
      <c r="AG18" s="107">
        <f>IF(AI18&lt;&gt;0,AG17*(1+Info!$F$8),0)</f>
        <v/>
      </c>
      <c r="AH18" s="111">
        <f>IF(AJ18&lt;&gt;"",Info!$C$6+AJ18-1,0)</f>
        <v/>
      </c>
      <c r="AI18" s="17">
        <f>IF(AJ18&lt;&gt;"",IF(Info!$F$6+AJ18-1&lt;=Rates!$Y$11,Info!$F$6+AJ18-1,0),0)</f>
        <v/>
      </c>
      <c r="AJ18" s="18">
        <f>IF(AI17&lt;&gt;"",IF(AND(AJ17&lt;&gt;"",AI17+1&lt;=Rates!$Y$11),IF(AJ17&lt;&gt;0,IF(AJ17+1&lt;=Info!$I$6,AJ17+1,""),0),""),"")</f>
        <v/>
      </c>
    </row>
    <row r="19" ht="14.25" customFormat="1" customHeight="1" s="164">
      <c r="A19" s="11">
        <f>IF(B19&gt;0,IF(Info!$C$16="بله",AG19/B19,(AG19+L19)/B19),0)</f>
        <v/>
      </c>
      <c r="B19" s="11">
        <f>IF(AND(AI19&gt;=0,AJ19&lt;=Info!$I$6),LOOKUP(Info!$C$8,Rates!$I$2:$I$7,Rates!$F$2:$F$7),0)</f>
        <v/>
      </c>
      <c r="C19" s="12">
        <f>IF(AND(AI19&gt;=0,AJ19&lt;=Info!$I$6),F19+F19*(IF(AJ19&lt;3,VLOOKUP(Info!$C$10,Rates!$A$15:$B$19,2,FALSE),IF(AJ19&lt;5,VLOOKUP(Info!$C$10,Rates!$A$15:$C$19,3,FALSE),VLOOKUP(Info!$C$10,Rates!$A$15:$D$19,4,FALSE)))+(Info!$I$22-IF(AJ19&gt;4,LOOKUP(Info!$C$10,Rates!$D$2:$D$7,Rates!$A$2:$A$7),LOOKUP(Info!$C$10,Rates!$D$2:$D$7,Rates!$C$2:$C$7))))*LOOKUP(Info!$C$8,Rates!$I$2:$I$7,Rates!$G$2:$G$7)+C18*(1+IF(AJ19&lt;3,VLOOKUP(Info!$C$10,Rates!$A$15:$B$19,2,FALSE),IF(AJ19&lt;5,VLOOKUP(Info!$C$10,Rates!$A$15:$C$19,3,FALSE),VLOOKUP(Info!$C$10,Rates!$A$15:$D$19,4,FALSE)))+(Info!$I$22-IF(AJ19&lt;3,VLOOKUP(Info!$C$10,Rates!$A$15:$B$19,2,FALSE),IF(AJ19&lt;5,VLOOKUP(Info!$C$10,Rates!$A$15:$C$19,3,FALSE),VLOOKUP(Info!$C$10,Rates!$A$15:$D$19,4,FALSE))))),0)</f>
        <v/>
      </c>
      <c r="D19" s="12">
        <f>IF(AI19&lt;&gt;"",E19,"")</f>
        <v/>
      </c>
      <c r="E19" s="12">
        <f>IF(AI19&lt;&gt;0,F19*(1+IF(AJ19&lt;3,VLOOKUP(Info!$C$10,Rates!$A$14:$B$19,2,FALSE),IF(AJ19&lt;5,VLOOKUP(Info!$C$10,Rates!$A$14:$C$19,3,FALSE),VLOOKUP(Info!$C$10,Rates!$A$14:$D$19,4,FALSE)))*LOOKUP(Info!$C$8,Rates!$I$2:$I$8,Rates!$G$2:$G$8))+E18*(1+IF(AJ19&lt;3,VLOOKUP(Info!$C$10,Rates!$A$14:$B$19,2,FALSE),IF(AJ19&lt;5,VLOOKUP(Info!$C$10,Rates!$A$14:$C$19,3,FALSE),VLOOKUP(Info!$C$10,Rates!$A$14:$D$19,4,FALSE)))),0)</f>
        <v/>
      </c>
      <c r="F19" s="12">
        <f>IF(AI19&lt;&gt;"",IF(Info!$C$16="بله",IF(AND(AJ19&lt;=Info!$F$20,AJ19&gt;=Info!$I$20),Info!$C$20,0)+(AG19-Y19-L19-K19-J19-I19-H19-G19),IF(AND(AJ19&lt;=Info!$F$20,AJ19&gt;=Info!$I$20),Info!$C$20,0)+(AG19-Y19-K19-J19-I19-H19-G19)),"")</f>
        <v/>
      </c>
      <c r="G19" s="107">
        <f>IF(AI19&lt;&gt;"",Rates!$AA$11*(L19),"")</f>
        <v/>
      </c>
      <c r="H19" s="107">
        <f>IF(AI19&lt;&gt;"",(Rates!$AC$11+Rates!$AB$11)*(L19),"")</f>
        <v/>
      </c>
      <c r="I19" s="12">
        <f>IF(AI19&lt;&gt;"",LOOKUP(Info!$C$8,Rates!$I$2:$I$7,Rates!$H$2:$H$7)*(J19+K19+L19+Y19),"")</f>
        <v/>
      </c>
      <c r="J19" s="12">
        <f>IF(N19="",0,N19)+IF(P19="",0,P19)+IF(Q19="",0,Q19)</f>
        <v/>
      </c>
      <c r="K19" s="12">
        <f>IF(Y19&lt;&gt;"",Info!$C$18*Y19,"")</f>
        <v/>
      </c>
      <c r="L19" s="12">
        <f>IF(R19="",0,R19)+IF(U19="",0,U19)+IF(W19="",0,W19)+IF(V19="",0,V19)+IF(T19="",0,T19)</f>
        <v/>
      </c>
      <c r="M19" s="12" t="n">
        <v>0</v>
      </c>
      <c r="N19" s="12" t="n">
        <v>0</v>
      </c>
      <c r="O19" s="12">
        <f>IF(AJ19&lt;=10,(1-Info!$C$25)*IF(OR(Info!$F$8&gt;0,Info!$F$10&gt;0),IF(0.75*$X$4&lt;=0.03*$AD$4,0.75*(X19-X18),0.03*(AD19-AD18)),0),"")</f>
        <v/>
      </c>
      <c r="P19" s="12">
        <f>IF(AJ19&lt;=5,IF(AI19&lt;&gt;"",0.002*AD19,"")*(1-Info!$I$25),0)</f>
        <v/>
      </c>
      <c r="Q19" s="12">
        <f>(1-Info!$F$25)*IF(AI19&lt;&gt;"",IF(Info!$C$16="بله",0.07*X19,0.07*AG19),"")</f>
        <v/>
      </c>
      <c r="R19" s="12">
        <f>IF(X19&lt;&gt;0,S19*X19,0)*(1-Info!$F$29)</f>
        <v/>
      </c>
      <c r="S19" s="107">
        <f>IF(Info!$I$14="خیر",0,IF(Info!$F$14="بله",IF(Info!$C$14=1,2.3,IF(Info!$C$14=2,3.3,4.3)),1))*IF(AND(AH19&lt;=Rates!$Y$8,AH19&gt;0),(1+Info!$C$18)*(1+LOOKUP(Info!$F$18,Rates!$O$2:$O$9,Rates!$L$2:$L$9)/100)*(LOOKUP(Info!$C$6,Rates!$T$2:$T$108,Rates!$R$2:$R$108)/100),0)</f>
        <v/>
      </c>
      <c r="T19" s="12">
        <f>IF(AI19&lt;71,(1-Info!$F$27)*((AB19*0.0008*(1+(LOOKUP(Info!$I$18,Rates!$O$2:$O$9,Rates!$M$2:$M$9)/100)))),0)</f>
        <v/>
      </c>
      <c r="U19" s="12">
        <f>IF(AI19&lt;71,(1-Info!$I$27)*(((AD19*0.0008*Info!$L$14))*(1+(LOOKUP(Info!$I$18,Rates!$O:$O,Rates!$N:$N)/100))),0)</f>
        <v/>
      </c>
      <c r="V19" s="12">
        <f>((Z19*0.0008))*(1+(LOOKUP(Info!$I$18,Rates!$O$2:$O$9,Rates!$M$2:$M$9)/100))*(1-Info!$C$27)</f>
        <v/>
      </c>
      <c r="W19" s="12">
        <f>IF(AND(AI19&lt;=Rates!$Y$2,AJ19&lt;=Info!$I$6,Info!$F$16="معمولی"),VLOOKUP(AI19,Rates!$T$1:$X$108,5,0),IF(AND(AI19&lt;=Rates!$Y$2,AJ19&lt;=Info!$I$6,Info!$F$16="پایه"),VLOOKUP(AI19,Rates!$T$1:$X$108,2,0),IF(AND(AI19&lt;=Rates!$Y$2,AJ19&lt;=Info!$I$6,Info!$F$16="آسایش "),VLOOKUP(AI19,Rates!$T$1:$X$108,3,0),IF(AND(AI19&lt;=Rates!$Y$2,AJ19&lt;=Info!$I$6,Info!$F$16="ممتاز"),VLOOKUP(AI19,Rates!$T$1:$X$108,4,0),0))))*AA19/1000000*(1+Info!$C$18)*(1-Info!$I$29)</f>
        <v/>
      </c>
      <c r="X19" s="12">
        <f>IF(Info!$C$16="بله",(AG19-W19-U19-V19-T19)/(1+S19),AG19)</f>
        <v/>
      </c>
      <c r="Y19" s="107">
        <f>IF(AI19&lt;&gt;0,(AD19*LOOKUP(AI19,Rates!$T$2:$T$108,Rates!$S$2:$S$108))/SQRT(1.1),0)</f>
        <v/>
      </c>
      <c r="Z19" s="107">
        <f>IF(AND(AI19&lt;=Rates!$Y$10,AI19&gt;=0),Info!$C$12*(AC19-AD19),0)</f>
        <v/>
      </c>
      <c r="AA19" s="12">
        <f>IF(AND(AI19&gt;=0,AI19&lt;=Rates!$Y$2,AG19&gt;0),MIN(AA18*(1+Info!$F$10),5000000000),0)</f>
        <v/>
      </c>
      <c r="AB19" s="107">
        <f>IF(AND(AI19&gt;=0,AI19&lt;=65),AD19*Info!$L$16,0)</f>
        <v/>
      </c>
      <c r="AC19" s="12">
        <f>IF(AND(AI19&gt;=0,AI19&lt;=Rates!$Y$3),AD19*(1+Info!$L$14),AD19)</f>
        <v/>
      </c>
      <c r="AD19" s="107">
        <f>IF(AI19&lt;&gt;0,AD18*(1+Info!$F$10),0)</f>
        <v/>
      </c>
      <c r="AE19" s="104">
        <f>IF(AI19&lt;&gt;0,AF19+AE18,0)</f>
        <v/>
      </c>
      <c r="AF19" s="12">
        <f>IF(AI19&gt;=0,IF(Info!$C$16="بله",AG19,AG19+L19),"")</f>
        <v/>
      </c>
      <c r="AG19" s="107">
        <f>IF(AI19&lt;&gt;0,AG18*(1+Info!$F$8),0)</f>
        <v/>
      </c>
      <c r="AH19" s="110">
        <f>IF(AJ19&lt;&gt;"",Info!$C$6+AJ19-1,0)</f>
        <v/>
      </c>
      <c r="AI19" s="14">
        <f>IF(AJ19&lt;&gt;"",IF(Info!$F$6+AJ19-1&lt;=Rates!$Y$11,Info!$F$6+AJ19-1,0),0)</f>
        <v/>
      </c>
      <c r="AJ19" s="15">
        <f>IF(AI18&lt;&gt;"",IF(AND(AJ18&lt;&gt;"",AI18+1&lt;=Rates!$Y$11),IF(AJ18&lt;&gt;0,IF(AJ18+1&lt;=Info!$I$6,AJ18+1,""),0),""),"")</f>
        <v/>
      </c>
    </row>
    <row r="20" ht="14.25" customFormat="1" customHeight="1" s="164">
      <c r="A20" s="16">
        <f>IF(B20&gt;0,IF(Info!$C$16="بله",AG20/B20,(AG20+L20)/B20),0)</f>
        <v/>
      </c>
      <c r="B20" s="16">
        <f>IF(AND(AI20&gt;=0,AJ20&lt;=Info!$I$6),LOOKUP(Info!$C$8,Rates!$I$2:$I$7,Rates!$F$2:$F$7),0)</f>
        <v/>
      </c>
      <c r="C20" s="13">
        <f>IF(AND(AI20&gt;=0,AJ20&lt;=Info!$I$6),F20+F20*(IF(AJ20&lt;3,VLOOKUP(Info!$C$10,Rates!$A$15:$B$19,2,FALSE),IF(AJ20&lt;5,VLOOKUP(Info!$C$10,Rates!$A$15:$C$19,3,FALSE),VLOOKUP(Info!$C$10,Rates!$A$15:$D$19,4,FALSE)))+(Info!$I$22-IF(AJ20&gt;4,LOOKUP(Info!$C$10,Rates!$D$2:$D$7,Rates!$A$2:$A$7),LOOKUP(Info!$C$10,Rates!$D$2:$D$7,Rates!$C$2:$C$7))))*LOOKUP(Info!$C$8,Rates!$I$2:$I$7,Rates!$G$2:$G$7)+C19*(1+IF(AJ20&lt;3,VLOOKUP(Info!$C$10,Rates!$A$15:$B$19,2,FALSE),IF(AJ20&lt;5,VLOOKUP(Info!$C$10,Rates!$A$15:$C$19,3,FALSE),VLOOKUP(Info!$C$10,Rates!$A$15:$D$19,4,FALSE)))+(Info!$I$22-IF(AJ20&lt;3,VLOOKUP(Info!$C$10,Rates!$A$15:$B$19,2,FALSE),IF(AJ20&lt;5,VLOOKUP(Info!$C$10,Rates!$A$15:$C$19,3,FALSE),VLOOKUP(Info!$C$10,Rates!$A$15:$D$19,4,FALSE))))),0)</f>
        <v/>
      </c>
      <c r="D20" s="13">
        <f>IF(AI20&lt;&gt;"",E20,"")</f>
        <v/>
      </c>
      <c r="E20" s="12">
        <f>IF(AI20&lt;&gt;0,F20*(1+IF(AJ20&lt;3,VLOOKUP(Info!$C$10,Rates!$A$14:$B$19,2,FALSE),IF(AJ20&lt;5,VLOOKUP(Info!$C$10,Rates!$A$14:$C$19,3,FALSE),VLOOKUP(Info!$C$10,Rates!$A$14:$D$19,4,FALSE)))*LOOKUP(Info!$C$8,Rates!$I$2:$I$8,Rates!$G$2:$G$8))+E19*(1+IF(AJ20&lt;3,VLOOKUP(Info!$C$10,Rates!$A$14:$B$19,2,FALSE),IF(AJ20&lt;5,VLOOKUP(Info!$C$10,Rates!$A$14:$C$19,3,FALSE),VLOOKUP(Info!$C$10,Rates!$A$14:$D$19,4,FALSE)))),0)</f>
        <v/>
      </c>
      <c r="F20" s="13">
        <f>IF(AI20&lt;&gt;"",IF(Info!$C$16="بله",IF(AND(AJ20&lt;=Info!$F$20,AJ20&gt;=Info!$I$20),Info!$C$20,0)+(AG20-Y20-L20-K20-J20-I20-H20-G20),IF(AND(AJ20&lt;=Info!$F$20,AJ20&gt;=Info!$I$20),Info!$C$20,0)+(AG20-Y20-K20-J20-I20-H20-G20)),"")</f>
        <v/>
      </c>
      <c r="G20" s="106">
        <f>IF(AI20&lt;&gt;"",Rates!$AA$11*(L20),"")</f>
        <v/>
      </c>
      <c r="H20" s="106">
        <f>IF(AI20&lt;&gt;"",(Rates!$AC$11+Rates!$AB$11)*(L20),"")</f>
        <v/>
      </c>
      <c r="I20" s="13">
        <f>IF(AI20&lt;&gt;"",LOOKUP(Info!$C$8,Rates!$I$2:$I$7,Rates!$H$2:$H$7)*(J20+K20+L20+Y20),"")</f>
        <v/>
      </c>
      <c r="J20" s="13">
        <f>IF(N20="",0,N20)+IF(P20="",0,P20)+IF(Q20="",0,Q20)</f>
        <v/>
      </c>
      <c r="K20" s="13">
        <f>IF(Y20&lt;&gt;"",Info!$C$18*Y20,"")</f>
        <v/>
      </c>
      <c r="L20" s="13">
        <f>IF(R20="",0,R20)+IF(U20="",0,U20)+IF(W20="",0,W20)+IF(V20="",0,V20)+IF(T20="",0,T20)</f>
        <v/>
      </c>
      <c r="M20" s="13" t="n">
        <v>0</v>
      </c>
      <c r="N20" s="13" t="n">
        <v>0</v>
      </c>
      <c r="O20" s="12">
        <f>IF(AJ20&lt;=10,(1-Info!$C$25)*IF(OR(Info!$F$8&gt;0,Info!$F$10&gt;0),IF(0.75*$X$4&lt;=0.03*$AD$4,0.75*(X20-X19),0.03*(AD20-AD19)),0),"")</f>
        <v/>
      </c>
      <c r="P20" s="13">
        <f>IF(AJ20&lt;=5,IF(AI20&lt;&gt;"",0.002*AD20,"")*(1-Info!$I$25),0)</f>
        <v/>
      </c>
      <c r="Q20" s="13">
        <f>(1-Info!$F$25)*IF(AI20&lt;&gt;"",IF(Info!$C$16="بله",0.07*X20,0.07*AG20),"")</f>
        <v/>
      </c>
      <c r="R20" s="13">
        <f>IF(X20&lt;&gt;0,S20*X20,0)*(1-Info!$F$29)</f>
        <v/>
      </c>
      <c r="S20" s="106">
        <f>IF(Info!$I$14="خیر",0,IF(Info!$F$14="بله",IF(Info!$C$14=1,2.3,IF(Info!$C$14=2,3.3,4.3)),1))*IF(AND(AH20&lt;=Rates!$Y$8,AH20&gt;0),(1+Info!$C$18)*(1+LOOKUP(Info!$F$18,Rates!$O$2:$O$9,Rates!$L$2:$L$9)/100)*(LOOKUP(Info!$C$6,Rates!$T$2:$T$108,Rates!$R$2:$R$108)/100),0)</f>
        <v/>
      </c>
      <c r="T20" s="13">
        <f>IF(AI20&lt;71,(1-Info!$F$27)*((AB20*0.0008*(1+(LOOKUP(Info!$I$18,Rates!$O$2:$O$9,Rates!$M$2:$M$9)/100)))),0)</f>
        <v/>
      </c>
      <c r="U20" s="13">
        <f>IF(AI20&lt;71,(1-Info!$I$27)*(((AD20*0.0008*Info!$L$14))*(1+(LOOKUP(Info!$I$18,Rates!$O:$O,Rates!$N:$N)/100))),0)</f>
        <v/>
      </c>
      <c r="V20" s="13">
        <f>((Z20*0.0008))*(1+(LOOKUP(Info!$I$18,Rates!$O$2:$O$9,Rates!$M$2:$M$9)/100))*(1-Info!$C$27)</f>
        <v/>
      </c>
      <c r="W20" s="13">
        <f>IF(AND(AI20&lt;=Rates!$Y$2,AJ20&lt;=Info!$I$6,Info!$F$16="معمولی"),VLOOKUP(AI20,Rates!$T$1:$X$108,5,0),IF(AND(AI20&lt;=Rates!$Y$2,AJ20&lt;=Info!$I$6,Info!$F$16="پایه"),VLOOKUP(AI20,Rates!$T$1:$X$108,2,0),IF(AND(AI20&lt;=Rates!$Y$2,AJ20&lt;=Info!$I$6,Info!$F$16="آسایش "),VLOOKUP(AI20,Rates!$T$1:$X$108,3,0),IF(AND(AI20&lt;=Rates!$Y$2,AJ20&lt;=Info!$I$6,Info!$F$16="ممتاز"),VLOOKUP(AI20,Rates!$T$1:$X$108,4,0),0))))*AA20/1000000*(1+Info!$C$18)*(1-Info!$I$29)</f>
        <v/>
      </c>
      <c r="X20" s="113">
        <f>IF(Info!$C$16="بله",(AG20-W20-U20-V20-T20)/(1+S20),AG20)</f>
        <v/>
      </c>
      <c r="Y20" s="106">
        <f>IF(AI20&lt;&gt;0,(AD20*LOOKUP(AI20,Rates!$T$2:$T$108,Rates!$S$2:$S$108))/SQRT(1.1),0)</f>
        <v/>
      </c>
      <c r="Z20" s="106">
        <f>IF(AND(AI20&lt;=Rates!$Y$10,AI20&gt;=0),Info!$C$12*(AC20-AD20),0)</f>
        <v/>
      </c>
      <c r="AA20" s="13">
        <f>IF(AND(AI20&gt;=0,AI20&lt;=Rates!$Y$2,AG20&gt;0),MIN(AA19*(1+Info!$F$10),5000000000),0)</f>
        <v/>
      </c>
      <c r="AB20" s="106">
        <f>IF(AND(AI20&gt;=0,AI20&lt;=65),AD20*Info!$L$16,0)</f>
        <v/>
      </c>
      <c r="AC20" s="13">
        <f>IF(AND(AI20&gt;=0,AI20&lt;=Rates!$Y$3),AD20*(1+Info!$L$14),AD20)</f>
        <v/>
      </c>
      <c r="AD20" s="106">
        <f>IF(AI20&lt;&gt;0,AD19*(1+Info!$F$10),0)</f>
        <v/>
      </c>
      <c r="AE20" s="105">
        <f>IF(AI20&lt;&gt;0,AF20+AE19,0)</f>
        <v/>
      </c>
      <c r="AF20" s="13">
        <f>IF(AI20&gt;=0,IF(Info!$C$16="بله",AG20,AG20+L20),"")</f>
        <v/>
      </c>
      <c r="AG20" s="107">
        <f>IF(AI20&lt;&gt;0,AG19*(1+Info!$F$8),0)</f>
        <v/>
      </c>
      <c r="AH20" s="111">
        <f>IF(AJ20&lt;&gt;"",Info!$C$6+AJ20-1,0)</f>
        <v/>
      </c>
      <c r="AI20" s="17">
        <f>IF(AJ20&lt;&gt;"",IF(Info!$F$6+AJ20-1&lt;=Rates!$Y$11,Info!$F$6+AJ20-1,0),0)</f>
        <v/>
      </c>
      <c r="AJ20" s="18">
        <f>IF(AI19&lt;&gt;"",IF(AND(AJ19&lt;&gt;"",AI19+1&lt;=Rates!$Y$11),IF(AJ19&lt;&gt;0,IF(AJ19+1&lt;=Info!$I$6,AJ19+1,""),0),""),"")</f>
        <v/>
      </c>
    </row>
    <row r="21" ht="14.25" customFormat="1" customHeight="1" s="164">
      <c r="A21" s="11">
        <f>IF(B21&gt;0,IF(Info!$C$16="بله",AG21/B21,(AG21+L21)/B21),0)</f>
        <v/>
      </c>
      <c r="B21" s="11">
        <f>IF(AND(AI21&gt;=0,AJ21&lt;=Info!$I$6),LOOKUP(Info!$C$8,Rates!$I$2:$I$7,Rates!$F$2:$F$7),0)</f>
        <v/>
      </c>
      <c r="C21" s="12">
        <f>IF(AND(AI21&gt;=0,AJ21&lt;=Info!$I$6),F21+F21*(IF(AJ21&lt;3,VLOOKUP(Info!$C$10,Rates!$A$15:$B$19,2,FALSE),IF(AJ21&lt;5,VLOOKUP(Info!$C$10,Rates!$A$15:$C$19,3,FALSE),VLOOKUP(Info!$C$10,Rates!$A$15:$D$19,4,FALSE)))+(Info!$I$22-IF(AJ21&gt;4,LOOKUP(Info!$C$10,Rates!$D$2:$D$7,Rates!$A$2:$A$7),LOOKUP(Info!$C$10,Rates!$D$2:$D$7,Rates!$C$2:$C$7))))*LOOKUP(Info!$C$8,Rates!$I$2:$I$7,Rates!$G$2:$G$7)+C20*(1+IF(AJ21&lt;3,VLOOKUP(Info!$C$10,Rates!$A$15:$B$19,2,FALSE),IF(AJ21&lt;5,VLOOKUP(Info!$C$10,Rates!$A$15:$C$19,3,FALSE),VLOOKUP(Info!$C$10,Rates!$A$15:$D$19,4,FALSE)))+(Info!$I$22-IF(AJ21&lt;3,VLOOKUP(Info!$C$10,Rates!$A$15:$B$19,2,FALSE),IF(AJ21&lt;5,VLOOKUP(Info!$C$10,Rates!$A$15:$C$19,3,FALSE),VLOOKUP(Info!$C$10,Rates!$A$15:$D$19,4,FALSE))))),0)</f>
        <v/>
      </c>
      <c r="D21" s="12">
        <f>IF(AI21&lt;&gt;"",E21,"")</f>
        <v/>
      </c>
      <c r="E21" s="12">
        <f>IF(AI21&lt;&gt;0,F21*(1+IF(AJ21&lt;3,VLOOKUP(Info!$C$10,Rates!$A$14:$B$19,2,FALSE),IF(AJ21&lt;5,VLOOKUP(Info!$C$10,Rates!$A$14:$C$19,3,FALSE),VLOOKUP(Info!$C$10,Rates!$A$14:$D$19,4,FALSE)))*LOOKUP(Info!$C$8,Rates!$I$2:$I$8,Rates!$G$2:$G$8))+E20*(1+IF(AJ21&lt;3,VLOOKUP(Info!$C$10,Rates!$A$14:$B$19,2,FALSE),IF(AJ21&lt;5,VLOOKUP(Info!$C$10,Rates!$A$14:$C$19,3,FALSE),VLOOKUP(Info!$C$10,Rates!$A$14:$D$19,4,FALSE)))),0)</f>
        <v/>
      </c>
      <c r="F21" s="12">
        <f>IF(AI21&lt;&gt;"",IF(Info!$C$16="بله",IF(AND(AJ21&lt;=Info!$F$20,AJ21&gt;=Info!$I$20),Info!$C$20,0)+(AG21-Y21-L21-K21-J21-I21-H21-G21),IF(AND(AJ21&lt;=Info!$F$20,AJ21&gt;=Info!$I$20),Info!$C$20,0)+(AG21-Y21-K21-J21-I21-H21-G21)),"")</f>
        <v/>
      </c>
      <c r="G21" s="107">
        <f>IF(AI21&lt;&gt;"",Rates!$AA$11*(L21),"")</f>
        <v/>
      </c>
      <c r="H21" s="107">
        <f>IF(AI21&lt;&gt;"",(Rates!$AC$11+Rates!$AB$11)*(L21),"")</f>
        <v/>
      </c>
      <c r="I21" s="12">
        <f>IF(AI21&lt;&gt;"",LOOKUP(Info!$C$8,Rates!$I$2:$I$7,Rates!$H$2:$H$7)*(J21+K21+L21+Y21),"")</f>
        <v/>
      </c>
      <c r="J21" s="12">
        <f>IF(N21="",0,N21)+IF(P21="",0,P21)+IF(Q21="",0,Q21)</f>
        <v/>
      </c>
      <c r="K21" s="12">
        <f>IF(Y21&lt;&gt;"",Info!$C$18*Y21,"")</f>
        <v/>
      </c>
      <c r="L21" s="12">
        <f>IF(R21="",0,R21)+IF(U21="",0,U21)+IF(W21="",0,W21)+IF(V21="",0,V21)+IF(T21="",0,T21)</f>
        <v/>
      </c>
      <c r="M21" s="12" t="n">
        <v>0</v>
      </c>
      <c r="N21" s="12" t="n">
        <v>0</v>
      </c>
      <c r="O21" s="12">
        <f>IF(AJ21&lt;=10,(1-Info!$C$25)*IF(OR(Info!$F$8&gt;0,Info!$F$10&gt;0),IF(0.75*$X$4&lt;=0.03*$AD$4,0.75*(X21-X20),0.03*(AD21-AD20)),0),"")</f>
        <v/>
      </c>
      <c r="P21" s="12">
        <f>IF(AJ21&lt;=5,IF(AI21&lt;&gt;"",0.002*AD21,"")*(1-Info!$I$25),0)</f>
        <v/>
      </c>
      <c r="Q21" s="12">
        <f>(1-Info!$F$25)*IF(AI21&lt;&gt;"",IF(Info!$C$16="بله",0.07*X21,0.07*AG21),"")</f>
        <v/>
      </c>
      <c r="R21" s="12">
        <f>IF(X21&lt;&gt;0,S21*X21,0)*(1-Info!$F$29)</f>
        <v/>
      </c>
      <c r="S21" s="107">
        <f>IF(Info!$I$14="خیر",0,IF(Info!$F$14="بله",IF(Info!$C$14=1,2.3,IF(Info!$C$14=2,3.3,4.3)),1))*IF(AND(AH21&lt;=Rates!$Y$8,AH21&gt;0),(1+Info!$C$18)*(1+LOOKUP(Info!$F$18,Rates!$O$2:$O$9,Rates!$L$2:$L$9)/100)*(LOOKUP(Info!$C$6,Rates!$T$2:$T$108,Rates!$R$2:$R$108)/100),0)</f>
        <v/>
      </c>
      <c r="T21" s="12">
        <f>IF(AI21&lt;71,(1-Info!$F$27)*((AB21*0.0008*(1+(LOOKUP(Info!$I$18,Rates!$O$2:$O$9,Rates!$M$2:$M$9)/100)))),0)</f>
        <v/>
      </c>
      <c r="U21" s="12">
        <f>IF(AI21&lt;71,(1-Info!$I$27)*(((AD21*0.0008*Info!$L$14))*(1+(LOOKUP(Info!$I$18,Rates!$O:$O,Rates!$N:$N)/100))),0)</f>
        <v/>
      </c>
      <c r="V21" s="12">
        <f>((Z21*0.0008))*(1+(LOOKUP(Info!$I$18,Rates!$O$2:$O$9,Rates!$M$2:$M$9)/100))*(1-Info!$C$27)</f>
        <v/>
      </c>
      <c r="W21" s="12">
        <f>IF(AND(AI21&lt;=Rates!$Y$2,AJ21&lt;=Info!$I$6,Info!$F$16="معمولی"),VLOOKUP(AI21,Rates!$T$1:$X$108,5,0),IF(AND(AI21&lt;=Rates!$Y$2,AJ21&lt;=Info!$I$6,Info!$F$16="پایه"),VLOOKUP(AI21,Rates!$T$1:$X$108,2,0),IF(AND(AI21&lt;=Rates!$Y$2,AJ21&lt;=Info!$I$6,Info!$F$16="آسایش "),VLOOKUP(AI21,Rates!$T$1:$X$108,3,0),IF(AND(AI21&lt;=Rates!$Y$2,AJ21&lt;=Info!$I$6,Info!$F$16="ممتاز"),VLOOKUP(AI21,Rates!$T$1:$X$108,4,0),0))))*AA21/1000000*(1+Info!$C$18)*(1-Info!$I$29)</f>
        <v/>
      </c>
      <c r="X21" s="12">
        <f>IF(Info!$C$16="بله",(AG21-W21-U21-V21-T21)/(1+S21),AG21)</f>
        <v/>
      </c>
      <c r="Y21" s="107">
        <f>IF(AI21&lt;&gt;0,(AD21*LOOKUP(AI21,Rates!$T$2:$T$108,Rates!$S$2:$S$108))/SQRT(1.1),0)</f>
        <v/>
      </c>
      <c r="Z21" s="107">
        <f>IF(AND(AI21&lt;=Rates!$Y$10,AI21&gt;=0),Info!$C$12*(AC21-AD21),0)</f>
        <v/>
      </c>
      <c r="AA21" s="12">
        <f>IF(AND(AI21&gt;=0,AI21&lt;=Rates!$Y$2,AG21&gt;0),MIN(AA20*(1+Info!$F$10),5000000000),0)</f>
        <v/>
      </c>
      <c r="AB21" s="107">
        <f>IF(AND(AI21&gt;=0,AI21&lt;=65),AD21*Info!$L$16,0)</f>
        <v/>
      </c>
      <c r="AC21" s="12">
        <f>IF(AND(AI21&gt;=0,AI21&lt;=Rates!$Y$3),AD21*(1+Info!$L$14),AD21)</f>
        <v/>
      </c>
      <c r="AD21" s="107">
        <f>IF(AI21&lt;&gt;0,AD20*(1+Info!$F$10),0)</f>
        <v/>
      </c>
      <c r="AE21" s="104">
        <f>IF(AI21&lt;&gt;0,AF21+AE20,0)</f>
        <v/>
      </c>
      <c r="AF21" s="12">
        <f>IF(AI21&gt;=0,IF(Info!$C$16="بله",AG21,AG21+L21),"")</f>
        <v/>
      </c>
      <c r="AG21" s="107">
        <f>IF(AI21&lt;&gt;0,AG20*(1+Info!$F$8),0)</f>
        <v/>
      </c>
      <c r="AH21" s="110">
        <f>IF(AJ21&lt;&gt;"",Info!$C$6+AJ21-1,0)</f>
        <v/>
      </c>
      <c r="AI21" s="14">
        <f>IF(AJ21&lt;&gt;"",IF(Info!$F$6+AJ21-1&lt;=Rates!$Y$11,Info!$F$6+AJ21-1,0),0)</f>
        <v/>
      </c>
      <c r="AJ21" s="15">
        <f>IF(AI20&lt;&gt;"",IF(AND(AJ20&lt;&gt;"",AI20+1&lt;=Rates!$Y$11),IF(AJ20&lt;&gt;0,IF(AJ20+1&lt;=Info!$I$6,AJ20+1,""),0),""),"")</f>
        <v/>
      </c>
    </row>
    <row r="22" ht="14.25" customFormat="1" customHeight="1" s="164">
      <c r="A22" s="16">
        <f>IF(B22&gt;0,IF(Info!$C$16="بله",AG22/B22,(AG22+L22)/B22),0)</f>
        <v/>
      </c>
      <c r="B22" s="16">
        <f>IF(AND(AI22&gt;=0,AJ22&lt;=Info!$I$6),LOOKUP(Info!$C$8,Rates!$I$2:$I$7,Rates!$F$2:$F$7),0)</f>
        <v/>
      </c>
      <c r="C22" s="13">
        <f>IF(AND(AI22&gt;=0,AJ22&lt;=Info!$I$6),F22+F22*(IF(AJ22&lt;3,VLOOKUP(Info!$C$10,Rates!$A$15:$B$19,2,FALSE),IF(AJ22&lt;5,VLOOKUP(Info!$C$10,Rates!$A$15:$C$19,3,FALSE),VLOOKUP(Info!$C$10,Rates!$A$15:$D$19,4,FALSE)))+(Info!$I$22-IF(AJ22&gt;4,LOOKUP(Info!$C$10,Rates!$D$2:$D$7,Rates!$A$2:$A$7),LOOKUP(Info!$C$10,Rates!$D$2:$D$7,Rates!$C$2:$C$7))))*LOOKUP(Info!$C$8,Rates!$I$2:$I$7,Rates!$G$2:$G$7)+C21*(1+IF(AJ22&lt;3,VLOOKUP(Info!$C$10,Rates!$A$15:$B$19,2,FALSE),IF(AJ22&lt;5,VLOOKUP(Info!$C$10,Rates!$A$15:$C$19,3,FALSE),VLOOKUP(Info!$C$10,Rates!$A$15:$D$19,4,FALSE)))+(Info!$I$22-IF(AJ22&lt;3,VLOOKUP(Info!$C$10,Rates!$A$15:$B$19,2,FALSE),IF(AJ22&lt;5,VLOOKUP(Info!$C$10,Rates!$A$15:$C$19,3,FALSE),VLOOKUP(Info!$C$10,Rates!$A$15:$D$19,4,FALSE))))),0)</f>
        <v/>
      </c>
      <c r="D22" s="13">
        <f>IF(AI22&lt;&gt;"",E22,"")</f>
        <v/>
      </c>
      <c r="E22" s="12">
        <f>IF(AI22&lt;&gt;0,F22*(1+IF(AJ22&lt;3,VLOOKUP(Info!$C$10,Rates!$A$14:$B$19,2,FALSE),IF(AJ22&lt;5,VLOOKUP(Info!$C$10,Rates!$A$14:$C$19,3,FALSE),VLOOKUP(Info!$C$10,Rates!$A$14:$D$19,4,FALSE)))*LOOKUP(Info!$C$8,Rates!$I$2:$I$8,Rates!$G$2:$G$8))+E21*(1+IF(AJ22&lt;3,VLOOKUP(Info!$C$10,Rates!$A$14:$B$19,2,FALSE),IF(AJ22&lt;5,VLOOKUP(Info!$C$10,Rates!$A$14:$C$19,3,FALSE),VLOOKUP(Info!$C$10,Rates!$A$14:$D$19,4,FALSE)))),0)</f>
        <v/>
      </c>
      <c r="F22" s="13">
        <f>IF(AI22&lt;&gt;"",IF(Info!$C$16="بله",IF(AND(AJ22&lt;=Info!$F$20,AJ22&gt;=Info!$I$20),Info!$C$20,0)+(AG22-Y22-L22-K22-J22-I22-H22-G22),IF(AND(AJ22&lt;=Info!$F$20,AJ22&gt;=Info!$I$20),Info!$C$20,0)+(AG22-Y22-K22-J22-I22-H22-G22)),"")</f>
        <v/>
      </c>
      <c r="G22" s="106">
        <f>IF(AI22&lt;&gt;"",Rates!$AA$11*(L22),"")</f>
        <v/>
      </c>
      <c r="H22" s="106">
        <f>IF(AI22&lt;&gt;"",(Rates!$AC$11+Rates!$AB$11)*(L22),"")</f>
        <v/>
      </c>
      <c r="I22" s="13">
        <f>IF(AI22&lt;&gt;"",LOOKUP(Info!$C$8,Rates!$I$2:$I$7,Rates!$H$2:$H$7)*(J22+K22+L22+Y22),"")</f>
        <v/>
      </c>
      <c r="J22" s="13">
        <f>IF(N22="",0,N22)+IF(P22="",0,P22)+IF(Q22="",0,Q22)</f>
        <v/>
      </c>
      <c r="K22" s="13">
        <f>IF(Y22&lt;&gt;"",Info!$C$18*Y22,"")</f>
        <v/>
      </c>
      <c r="L22" s="13">
        <f>IF(R22="",0,R22)+IF(U22="",0,U22)+IF(W22="",0,W22)+IF(V22="",0,V22)+IF(T22="",0,T22)</f>
        <v/>
      </c>
      <c r="M22" s="13" t="n">
        <v>0</v>
      </c>
      <c r="N22" s="13" t="n">
        <v>0</v>
      </c>
      <c r="O22" s="12">
        <f>IF(AJ22&lt;=10,(1-Info!$C$25)*IF(OR(Info!$F$8&gt;0,Info!$F$10&gt;0),IF(0.75*$X$4&lt;=0.03*$AD$4,0.75*(X22-X21),0.03*(AD22-AD21)),0),"")</f>
        <v/>
      </c>
      <c r="P22" s="13">
        <f>IF(AJ22&lt;=5,IF(AI22&lt;&gt;"",0.002*AD22,"")*(1-Info!$I$25),0)</f>
        <v/>
      </c>
      <c r="Q22" s="13">
        <f>(1-Info!$F$25)*IF(AI22&lt;&gt;"",IF(Info!$C$16="بله",0.07*X22,0.07*AG22),"")</f>
        <v/>
      </c>
      <c r="R22" s="13">
        <f>IF(X22&lt;&gt;0,S22*X22,0)*(1-Info!$F$29)</f>
        <v/>
      </c>
      <c r="S22" s="106">
        <f>IF(Info!$I$14="خیر",0,IF(Info!$F$14="بله",IF(Info!$C$14=1,2.3,IF(Info!$C$14=2,3.3,4.3)),1))*IF(AND(AH22&lt;=Rates!$Y$8,AH22&gt;0),(1+Info!$C$18)*(1+LOOKUP(Info!$F$18,Rates!$O$2:$O$9,Rates!$L$2:$L$9)/100)*(LOOKUP(Info!$C$6,Rates!$T$2:$T$108,Rates!$R$2:$R$108)/100),0)</f>
        <v/>
      </c>
      <c r="T22" s="13">
        <f>IF(AI22&lt;71,(1-Info!$F$27)*((AB22*0.0008*(1+(LOOKUP(Info!$I$18,Rates!$O$2:$O$9,Rates!$M$2:$M$9)/100)))),0)</f>
        <v/>
      </c>
      <c r="U22" s="13">
        <f>IF(AI22&lt;71,(1-Info!$I$27)*(((AD22*0.0008*Info!$L$14))*(1+(LOOKUP(Info!$I$18,Rates!$O:$O,Rates!$N:$N)/100))),0)</f>
        <v/>
      </c>
      <c r="V22" s="13">
        <f>((Z22*0.0008))*(1+(LOOKUP(Info!$I$18,Rates!$O$2:$O$9,Rates!$M$2:$M$9)/100))*(1-Info!$C$27)</f>
        <v/>
      </c>
      <c r="W22" s="13">
        <f>IF(AND(AI22&lt;=Rates!$Y$2,AJ22&lt;=Info!$I$6,Info!$F$16="معمولی"),VLOOKUP(AI22,Rates!$T$1:$X$108,5,0),IF(AND(AI22&lt;=Rates!$Y$2,AJ22&lt;=Info!$I$6,Info!$F$16="پایه"),VLOOKUP(AI22,Rates!$T$1:$X$108,2,0),IF(AND(AI22&lt;=Rates!$Y$2,AJ22&lt;=Info!$I$6,Info!$F$16="آسایش "),VLOOKUP(AI22,Rates!$T$1:$X$108,3,0),IF(AND(AI22&lt;=Rates!$Y$2,AJ22&lt;=Info!$I$6,Info!$F$16="ممتاز"),VLOOKUP(AI22,Rates!$T$1:$X$108,4,0),0))))*AA22/1000000*(1+Info!$C$18)*(1-Info!$I$29)</f>
        <v/>
      </c>
      <c r="X22" s="113">
        <f>IF(Info!$C$16="بله",(AG22-W22-U22-V22-T22)/(1+S22),AG22)</f>
        <v/>
      </c>
      <c r="Y22" s="106">
        <f>IF(AI22&lt;&gt;0,(AD22*LOOKUP(AI22,Rates!$T$2:$T$108,Rates!$S$2:$S$108))/SQRT(1.1),0)</f>
        <v/>
      </c>
      <c r="Z22" s="106">
        <f>IF(AND(AI22&lt;=Rates!$Y$10,AI22&gt;=0),Info!$C$12*(AC22-AD22),0)</f>
        <v/>
      </c>
      <c r="AA22" s="13">
        <f>IF(AND(AI22&gt;=0,AI22&lt;=Rates!$Y$2,AG22&gt;0),MIN(AA21*(1+Info!$F$10),5000000000),0)</f>
        <v/>
      </c>
      <c r="AB22" s="106">
        <f>IF(AND(AI22&gt;=0,AI22&lt;=65),AD22*Info!$L$16,0)</f>
        <v/>
      </c>
      <c r="AC22" s="13">
        <f>IF(AND(AI22&gt;=0,AI22&lt;=Rates!$Y$3),AD22*(1+Info!$L$14),AD22)</f>
        <v/>
      </c>
      <c r="AD22" s="106">
        <f>IF(AI22&lt;&gt;0,AD21*(1+Info!$F$10),0)</f>
        <v/>
      </c>
      <c r="AE22" s="105">
        <f>IF(AI22&lt;&gt;0,AF22+AE21,0)</f>
        <v/>
      </c>
      <c r="AF22" s="13">
        <f>IF(AI22&gt;=0,IF(Info!$C$16="بله",AG22,AG22+L22),"")</f>
        <v/>
      </c>
      <c r="AG22" s="107">
        <f>IF(AI22&lt;&gt;0,AG21*(1+Info!$F$8),0)</f>
        <v/>
      </c>
      <c r="AH22" s="111">
        <f>IF(AJ22&lt;&gt;"",Info!$C$6+AJ22-1,0)</f>
        <v/>
      </c>
      <c r="AI22" s="17">
        <f>IF(AJ22&lt;&gt;"",IF(Info!$F$6+AJ22-1&lt;=Rates!$Y$11,Info!$F$6+AJ22-1,0),0)</f>
        <v/>
      </c>
      <c r="AJ22" s="18">
        <f>IF(AI21&lt;&gt;"",IF(AND(AJ21&lt;&gt;"",AI21+1&lt;=Rates!$Y$11),IF(AJ21&lt;&gt;0,IF(AJ21+1&lt;=Info!$I$6,AJ21+1,""),0),""),"")</f>
        <v/>
      </c>
    </row>
    <row r="23" ht="14.25" customFormat="1" customHeight="1" s="164">
      <c r="A23" s="11">
        <f>IF(B23&gt;0,IF(Info!$C$16="بله",AG23/B23,(AG23+L23)/B23),0)</f>
        <v/>
      </c>
      <c r="B23" s="11">
        <f>IF(AND(AI23&gt;=0,AJ23&lt;=Info!$I$6),LOOKUP(Info!$C$8,Rates!$I$2:$I$7,Rates!$F$2:$F$7),0)</f>
        <v/>
      </c>
      <c r="C23" s="12">
        <f>IF(AND(AI23&gt;=0,AJ23&lt;=Info!$I$6),F23+F23*(IF(AJ23&lt;3,VLOOKUP(Info!$C$10,Rates!$A$15:$B$19,2,FALSE),IF(AJ23&lt;5,VLOOKUP(Info!$C$10,Rates!$A$15:$C$19,3,FALSE),VLOOKUP(Info!$C$10,Rates!$A$15:$D$19,4,FALSE)))+(Info!$I$22-IF(AJ23&gt;4,LOOKUP(Info!$C$10,Rates!$D$2:$D$7,Rates!$A$2:$A$7),LOOKUP(Info!$C$10,Rates!$D$2:$D$7,Rates!$C$2:$C$7))))*LOOKUP(Info!$C$8,Rates!$I$2:$I$7,Rates!$G$2:$G$7)+C22*(1+IF(AJ23&lt;3,VLOOKUP(Info!$C$10,Rates!$A$15:$B$19,2,FALSE),IF(AJ23&lt;5,VLOOKUP(Info!$C$10,Rates!$A$15:$C$19,3,FALSE),VLOOKUP(Info!$C$10,Rates!$A$15:$D$19,4,FALSE)))+(Info!$I$22-IF(AJ23&lt;3,VLOOKUP(Info!$C$10,Rates!$A$15:$B$19,2,FALSE),IF(AJ23&lt;5,VLOOKUP(Info!$C$10,Rates!$A$15:$C$19,3,FALSE),VLOOKUP(Info!$C$10,Rates!$A$15:$D$19,4,FALSE))))),0)</f>
        <v/>
      </c>
      <c r="D23" s="12">
        <f>IF(AI23&lt;&gt;"",E23,"")</f>
        <v/>
      </c>
      <c r="E23" s="12">
        <f>IF(AI23&lt;&gt;0,F23*(1+IF(AJ23&lt;3,VLOOKUP(Info!$C$10,Rates!$A$14:$B$19,2,FALSE),IF(AJ23&lt;5,VLOOKUP(Info!$C$10,Rates!$A$14:$C$19,3,FALSE),VLOOKUP(Info!$C$10,Rates!$A$14:$D$19,4,FALSE)))*LOOKUP(Info!$C$8,Rates!$I$2:$I$8,Rates!$G$2:$G$8))+E22*(1+IF(AJ23&lt;3,VLOOKUP(Info!$C$10,Rates!$A$14:$B$19,2,FALSE),IF(AJ23&lt;5,VLOOKUP(Info!$C$10,Rates!$A$14:$C$19,3,FALSE),VLOOKUP(Info!$C$10,Rates!$A$14:$D$19,4,FALSE)))),0)</f>
        <v/>
      </c>
      <c r="F23" s="12">
        <f>IF(AI23&lt;&gt;"",IF(Info!$C$16="بله",IF(AND(AJ23&lt;=Info!$F$20,AJ23&gt;=Info!$I$20),Info!$C$20,0)+(AG23-Y23-L23-K23-J23-I23-H23-G23),IF(AND(AJ23&lt;=Info!$F$20,AJ23&gt;=Info!$I$20),Info!$C$20,0)+(AG23-Y23-K23-J23-I23-H23-G23)),"")</f>
        <v/>
      </c>
      <c r="G23" s="107">
        <f>IF(AI23&lt;&gt;"",Rates!$AA$11*(L23),"")</f>
        <v/>
      </c>
      <c r="H23" s="107">
        <f>IF(AI23&lt;&gt;"",(Rates!$AC$11+Rates!$AB$11)*(L23),"")</f>
        <v/>
      </c>
      <c r="I23" s="12">
        <f>IF(AI23&lt;&gt;"",LOOKUP(Info!$C$8,Rates!$I$2:$I$7,Rates!$H$2:$H$7)*(J23+K23+L23+Y23),"")</f>
        <v/>
      </c>
      <c r="J23" s="12">
        <f>IF(N23="",0,N23)+IF(P23="",0,P23)+IF(Q23="",0,Q23)</f>
        <v/>
      </c>
      <c r="K23" s="12">
        <f>IF(Y23&lt;&gt;"",Info!$C$18*Y23,"")</f>
        <v/>
      </c>
      <c r="L23" s="12">
        <f>IF(R23="",0,R23)+IF(U23="",0,U23)+IF(W23="",0,W23)+IF(V23="",0,V23)+IF(T23="",0,T23)</f>
        <v/>
      </c>
      <c r="M23" s="12" t="n">
        <v>0</v>
      </c>
      <c r="N23" s="12" t="n">
        <v>0</v>
      </c>
      <c r="O23" s="12">
        <f>IF(AJ23&lt;=10,(1-Info!$C$25)*IF(OR(Info!$F$8&gt;0,Info!$F$10&gt;0),IF(0.75*$X$4&lt;=0.03*$AD$4,0.75*(X23-X22),0.03*(AD23-AD22)),0),"")</f>
        <v/>
      </c>
      <c r="P23" s="12">
        <f>IF(AJ23&lt;=5,IF(AI23&lt;&gt;"",0.002*AD23,"")*(1-Info!$I$25),0)</f>
        <v/>
      </c>
      <c r="Q23" s="12">
        <f>(1-Info!$F$25)*IF(AI23&lt;&gt;"",IF(Info!$C$16="بله",0.07*X23,0.07*AG23),"")</f>
        <v/>
      </c>
      <c r="R23" s="12">
        <f>IF(X23&lt;&gt;0,S23*X23,0)*(1-Info!$F$29)</f>
        <v/>
      </c>
      <c r="S23" s="107">
        <f>IF(Info!$I$14="خیر",0,IF(Info!$F$14="بله",IF(Info!$C$14=1,2.3,IF(Info!$C$14=2,3.3,4.3)),1))*IF(AND(AH23&lt;=Rates!$Y$8,AH23&gt;0),(1+Info!$C$18)*(1+LOOKUP(Info!$F$18,Rates!$O$2:$O$9,Rates!$L$2:$L$9)/100)*(LOOKUP(Info!$C$6,Rates!$T$2:$T$108,Rates!$R$2:$R$108)/100),0)</f>
        <v/>
      </c>
      <c r="T23" s="12">
        <f>IF(AI23&lt;71,(1-Info!$F$27)*((AB23*0.0008*(1+(LOOKUP(Info!$I$18,Rates!$O$2:$O$9,Rates!$M$2:$M$9)/100)))),0)</f>
        <v/>
      </c>
      <c r="U23" s="12">
        <f>IF(AI23&lt;71,(1-Info!$I$27)*(((AD23*0.0008*Info!$L$14))*(1+(LOOKUP(Info!$I$18,Rates!$O:$O,Rates!$N:$N)/100))),0)</f>
        <v/>
      </c>
      <c r="V23" s="12">
        <f>((Z23*0.0008))*(1+(LOOKUP(Info!$I$18,Rates!$O$2:$O$9,Rates!$M$2:$M$9)/100))*(1-Info!$C$27)</f>
        <v/>
      </c>
      <c r="W23" s="12">
        <f>IF(AND(AI23&lt;=Rates!$Y$2,AJ23&lt;=Info!$I$6,Info!$F$16="معمولی"),VLOOKUP(AI23,Rates!$T$1:$X$108,5,0),IF(AND(AI23&lt;=Rates!$Y$2,AJ23&lt;=Info!$I$6,Info!$F$16="پایه"),VLOOKUP(AI23,Rates!$T$1:$X$108,2,0),IF(AND(AI23&lt;=Rates!$Y$2,AJ23&lt;=Info!$I$6,Info!$F$16="آسایش "),VLOOKUP(AI23,Rates!$T$1:$X$108,3,0),IF(AND(AI23&lt;=Rates!$Y$2,AJ23&lt;=Info!$I$6,Info!$F$16="ممتاز"),VLOOKUP(AI23,Rates!$T$1:$X$108,4,0),0))))*AA23/1000000*(1+Info!$C$18)*(1-Info!$I$29)</f>
        <v/>
      </c>
      <c r="X23" s="12">
        <f>IF(Info!$C$16="بله",(AG23-W23-U23-V23-T23)/(1+S23),AG23)</f>
        <v/>
      </c>
      <c r="Y23" s="107">
        <f>IF(AI23&lt;&gt;0,(AD23*LOOKUP(AI23,Rates!$T$2:$T$108,Rates!$S$2:$S$108))/SQRT(1.1),0)</f>
        <v/>
      </c>
      <c r="Z23" s="107">
        <f>IF(AND(AI23&lt;=Rates!$Y$10,AI23&gt;=0),Info!$C$12*(AC23-AD23),0)</f>
        <v/>
      </c>
      <c r="AA23" s="12">
        <f>IF(AND(AI23&gt;=0,AI23&lt;=Rates!$Y$2,AG23&gt;0),MIN(AA22*(1+Info!$F$10),5000000000),0)</f>
        <v/>
      </c>
      <c r="AB23" s="107">
        <f>IF(AND(AI23&gt;=0,AI23&lt;=65),AD23*Info!$L$16,0)</f>
        <v/>
      </c>
      <c r="AC23" s="12">
        <f>IF(AND(AI23&gt;=0,AI23&lt;=Rates!$Y$3),AD23*(1+Info!$L$14),AD23)</f>
        <v/>
      </c>
      <c r="AD23" s="107">
        <f>IF(AI23&lt;&gt;0,AD22*(1+Info!$F$10),0)</f>
        <v/>
      </c>
      <c r="AE23" s="104">
        <f>IF(AI23&lt;&gt;0,AF23+AE22,0)</f>
        <v/>
      </c>
      <c r="AF23" s="12">
        <f>IF(AI23&gt;=0,IF(Info!$C$16="بله",AG23,AG23+L23),"")</f>
        <v/>
      </c>
      <c r="AG23" s="107">
        <f>IF(AI23&lt;&gt;0,AG22*(1+Info!$F$8),0)</f>
        <v/>
      </c>
      <c r="AH23" s="110">
        <f>IF(AJ23&lt;&gt;"",Info!$C$6+AJ23-1,0)</f>
        <v/>
      </c>
      <c r="AI23" s="14">
        <f>IF(AJ23&lt;&gt;"",IF(Info!$F$6+AJ23-1&lt;=Rates!$Y$11,Info!$F$6+AJ23-1,0),0)</f>
        <v/>
      </c>
      <c r="AJ23" s="15">
        <f>IF(AI22&lt;&gt;"",IF(AND(AJ22&lt;&gt;"",AI22+1&lt;=Rates!$Y$11),IF(AJ22&lt;&gt;0,IF(AJ22+1&lt;=Info!$I$6,AJ22+1,""),0),""),"")</f>
        <v/>
      </c>
    </row>
    <row r="24" ht="14.25" customFormat="1" customHeight="1" s="164">
      <c r="A24" s="16">
        <f>IF(B24&gt;0,IF(Info!$C$16="بله",AG24/B24,(AG24+L24)/B24),0)</f>
        <v/>
      </c>
      <c r="B24" s="16">
        <f>IF(AND(AI24&gt;=0,AJ24&lt;=Info!$I$6),LOOKUP(Info!$C$8,Rates!$I$2:$I$7,Rates!$F$2:$F$7),0)</f>
        <v/>
      </c>
      <c r="C24" s="13">
        <f>IF(AND(AI24&gt;=0,AJ24&lt;=Info!$I$6),F24+F24*(IF(AJ24&lt;3,VLOOKUP(Info!$C$10,Rates!$A$15:$B$19,2,FALSE),IF(AJ24&lt;5,VLOOKUP(Info!$C$10,Rates!$A$15:$C$19,3,FALSE),VLOOKUP(Info!$C$10,Rates!$A$15:$D$19,4,FALSE)))+(Info!$I$22-IF(AJ24&gt;4,LOOKUP(Info!$C$10,Rates!$D$2:$D$7,Rates!$A$2:$A$7),LOOKUP(Info!$C$10,Rates!$D$2:$D$7,Rates!$C$2:$C$7))))*LOOKUP(Info!$C$8,Rates!$I$2:$I$7,Rates!$G$2:$G$7)+C23*(1+IF(AJ24&lt;3,VLOOKUP(Info!$C$10,Rates!$A$15:$B$19,2,FALSE),IF(AJ24&lt;5,VLOOKUP(Info!$C$10,Rates!$A$15:$C$19,3,FALSE),VLOOKUP(Info!$C$10,Rates!$A$15:$D$19,4,FALSE)))+(Info!$I$22-IF(AJ24&lt;3,VLOOKUP(Info!$C$10,Rates!$A$15:$B$19,2,FALSE),IF(AJ24&lt;5,VLOOKUP(Info!$C$10,Rates!$A$15:$C$19,3,FALSE),VLOOKUP(Info!$C$10,Rates!$A$15:$D$19,4,FALSE))))),0)</f>
        <v/>
      </c>
      <c r="D24" s="13">
        <f>IF(AI24&lt;&gt;"",E24,"")</f>
        <v/>
      </c>
      <c r="E24" s="12">
        <f>IF(AI24&lt;&gt;0,F24*(1+IF(AJ24&lt;3,VLOOKUP(Info!$C$10,Rates!$A$14:$B$19,2,FALSE),IF(AJ24&lt;5,VLOOKUP(Info!$C$10,Rates!$A$14:$C$19,3,FALSE),VLOOKUP(Info!$C$10,Rates!$A$14:$D$19,4,FALSE)))*LOOKUP(Info!$C$8,Rates!$I$2:$I$8,Rates!$G$2:$G$8))+E23*(1+IF(AJ24&lt;3,VLOOKUP(Info!$C$10,Rates!$A$14:$B$19,2,FALSE),IF(AJ24&lt;5,VLOOKUP(Info!$C$10,Rates!$A$14:$C$19,3,FALSE),VLOOKUP(Info!$C$10,Rates!$A$14:$D$19,4,FALSE)))),0)</f>
        <v/>
      </c>
      <c r="F24" s="13">
        <f>IF(AI24&lt;&gt;"",IF(Info!$C$16="بله",IF(AND(AJ24&lt;=Info!$F$20,AJ24&gt;=Info!$I$20),Info!$C$20,0)+(AG24-Y24-L24-K24-J24-I24-H24-G24),IF(AND(AJ24&lt;=Info!$F$20,AJ24&gt;=Info!$I$20),Info!$C$20,0)+(AG24-Y24-K24-J24-I24-H24-G24)),"")</f>
        <v/>
      </c>
      <c r="G24" s="106">
        <f>IF(AI24&lt;&gt;"",Rates!$AA$11*(L24),"")</f>
        <v/>
      </c>
      <c r="H24" s="106">
        <f>IF(AI24&lt;&gt;"",(Rates!$AC$11+Rates!$AB$11)*(L24),"")</f>
        <v/>
      </c>
      <c r="I24" s="13">
        <f>IF(AI24&lt;&gt;"",LOOKUP(Info!$C$8,Rates!$I$2:$I$7,Rates!$H$2:$H$7)*(J24+K24+L24+Y24),"")</f>
        <v/>
      </c>
      <c r="J24" s="13">
        <f>IF(N24="",0,N24)+IF(P24="",0,P24)+IF(Q24="",0,Q24)</f>
        <v/>
      </c>
      <c r="K24" s="13">
        <f>IF(Y24&lt;&gt;"",Info!$C$18*Y24,"")</f>
        <v/>
      </c>
      <c r="L24" s="13">
        <f>IF(R24="",0,R24)+IF(U24="",0,U24)+IF(W24="",0,W24)+IF(V24="",0,V24)+IF(T24="",0,T24)</f>
        <v/>
      </c>
      <c r="M24" s="13" t="n">
        <v>0</v>
      </c>
      <c r="N24" s="13" t="n">
        <v>0</v>
      </c>
      <c r="O24" s="12">
        <f>IF(AJ24&lt;=10,(1-Info!$C$25)*IF(OR(Info!$F$8&gt;0,Info!$F$10&gt;0),IF(0.75*$X$4&lt;=0.03*$AD$4,0.75*(X24-X23),0.03*(AD24-AD23)),0),"")</f>
        <v/>
      </c>
      <c r="P24" s="13">
        <f>IF(AJ24&lt;=5,IF(AI24&lt;&gt;"",0.002*AD24,"")*(1-Info!$I$25),0)</f>
        <v/>
      </c>
      <c r="Q24" s="13">
        <f>(1-Info!$F$25)*IF(AI24&lt;&gt;"",IF(Info!$C$16="بله",0.07*X24,0.07*AG24),"")</f>
        <v/>
      </c>
      <c r="R24" s="13">
        <f>IF(X24&lt;&gt;0,S24*X24,0)*(1-Info!$F$29)</f>
        <v/>
      </c>
      <c r="S24" s="106">
        <f>IF(Info!$I$14="خیر",0,IF(Info!$F$14="بله",IF(Info!$C$14=1,2.3,IF(Info!$C$14=2,3.3,4.3)),1))*IF(AND(AH24&lt;=Rates!$Y$8,AH24&gt;0),(1+Info!$C$18)*(1+LOOKUP(Info!$F$18,Rates!$O$2:$O$9,Rates!$L$2:$L$9)/100)*(LOOKUP(Info!$C$6,Rates!$T$2:$T$108,Rates!$R$2:$R$108)/100),0)</f>
        <v/>
      </c>
      <c r="T24" s="13">
        <f>IF(AI24&lt;71,(1-Info!$F$27)*((AB24*0.0008*(1+(LOOKUP(Info!$I$18,Rates!$O$2:$O$9,Rates!$M$2:$M$9)/100)))),0)</f>
        <v/>
      </c>
      <c r="U24" s="13">
        <f>IF(AI24&lt;71,(1-Info!$I$27)*(((AD24*0.0008*Info!$L$14))*(1+(LOOKUP(Info!$I$18,Rates!$O:$O,Rates!$N:$N)/100))),0)</f>
        <v/>
      </c>
      <c r="V24" s="13">
        <f>((Z24*0.0008))*(1+(LOOKUP(Info!$I$18,Rates!$O$2:$O$9,Rates!$M$2:$M$9)/100))*(1-Info!$C$27)</f>
        <v/>
      </c>
      <c r="W24" s="13">
        <f>IF(AND(AI24&lt;=Rates!$Y$2,AJ24&lt;=Info!$I$6,Info!$F$16="معمولی"),VLOOKUP(AI24,Rates!$T$1:$X$108,5,0),IF(AND(AI24&lt;=Rates!$Y$2,AJ24&lt;=Info!$I$6,Info!$F$16="پایه"),VLOOKUP(AI24,Rates!$T$1:$X$108,2,0),IF(AND(AI24&lt;=Rates!$Y$2,AJ24&lt;=Info!$I$6,Info!$F$16="آسایش "),VLOOKUP(AI24,Rates!$T$1:$X$108,3,0),IF(AND(AI24&lt;=Rates!$Y$2,AJ24&lt;=Info!$I$6,Info!$F$16="ممتاز"),VLOOKUP(AI24,Rates!$T$1:$X$108,4,0),0))))*AA24/1000000*(1+Info!$C$18)*(1-Info!$I$29)</f>
        <v/>
      </c>
      <c r="X24" s="113">
        <f>IF(Info!$C$16="بله",(AG24-W24-U24-V24-T24)/(1+S24),AG24)</f>
        <v/>
      </c>
      <c r="Y24" s="106">
        <f>IF(AI24&lt;&gt;0,(AD24*LOOKUP(AI24,Rates!$T$2:$T$108,Rates!$S$2:$S$108))/SQRT(1.1),0)</f>
        <v/>
      </c>
      <c r="Z24" s="106">
        <f>IF(AND(AI24&lt;=Rates!$Y$10,AI24&gt;=0),Info!$C$12*(AC24-AD24),0)</f>
        <v/>
      </c>
      <c r="AA24" s="13">
        <f>IF(AND(AI24&gt;=0,AI24&lt;=Rates!$Y$2,AG24&gt;0),MIN(AA23*(1+Info!$F$10),5000000000),0)</f>
        <v/>
      </c>
      <c r="AB24" s="106">
        <f>IF(AND(AI24&gt;=0,AI24&lt;=65),AD24*Info!$L$16,0)</f>
        <v/>
      </c>
      <c r="AC24" s="13">
        <f>IF(AND(AI24&gt;=0,AI24&lt;=Rates!$Y$3),AD24*(1+Info!$L$14),AD24)</f>
        <v/>
      </c>
      <c r="AD24" s="106">
        <f>IF(AI24&lt;&gt;0,AD23*(1+Info!$F$10),0)</f>
        <v/>
      </c>
      <c r="AE24" s="105">
        <f>IF(AI24&lt;&gt;0,AF24+AE23,0)</f>
        <v/>
      </c>
      <c r="AF24" s="13">
        <f>IF(AI24&gt;=0,IF(Info!$C$16="بله",AG24,AG24+L24),"")</f>
        <v/>
      </c>
      <c r="AG24" s="107">
        <f>IF(AI24&lt;&gt;0,AG23*(1+Info!$F$8),0)</f>
        <v/>
      </c>
      <c r="AH24" s="111">
        <f>IF(AJ24&lt;&gt;"",Info!$C$6+AJ24-1,0)</f>
        <v/>
      </c>
      <c r="AI24" s="17">
        <f>IF(AJ24&lt;&gt;"",IF(Info!$F$6+AJ24-1&lt;=Rates!$Y$11,Info!$F$6+AJ24-1,0),0)</f>
        <v/>
      </c>
      <c r="AJ24" s="18">
        <f>IF(AI23&lt;&gt;"",IF(AND(AJ23&lt;&gt;"",AI23+1&lt;=Rates!$Y$11),IF(AJ23&lt;&gt;0,IF(AJ23+1&lt;=Info!$I$6,AJ23+1,""),0),""),"")</f>
        <v/>
      </c>
    </row>
    <row r="25" ht="14.25" customFormat="1" customHeight="1" s="164">
      <c r="A25" s="11">
        <f>IF(B25&gt;0,IF(Info!$C$16="بله",AG25/B25,(AG25+L25)/B25),0)</f>
        <v/>
      </c>
      <c r="B25" s="11">
        <f>IF(AND(AI25&gt;=0,AJ25&lt;=Info!$I$6),LOOKUP(Info!$C$8,Rates!$I$2:$I$7,Rates!$F$2:$F$7),0)</f>
        <v/>
      </c>
      <c r="C25" s="12">
        <f>IF(AND(AI25&gt;=0,AJ25&lt;=Info!$I$6),F25+F25*(IF(AJ25&lt;3,VLOOKUP(Info!$C$10,Rates!$A$15:$B$19,2,FALSE),IF(AJ25&lt;5,VLOOKUP(Info!$C$10,Rates!$A$15:$C$19,3,FALSE),VLOOKUP(Info!$C$10,Rates!$A$15:$D$19,4,FALSE)))+(Info!$I$22-IF(AJ25&gt;4,LOOKUP(Info!$C$10,Rates!$D$2:$D$7,Rates!$A$2:$A$7),LOOKUP(Info!$C$10,Rates!$D$2:$D$7,Rates!$C$2:$C$7))))*LOOKUP(Info!$C$8,Rates!$I$2:$I$7,Rates!$G$2:$G$7)+C24*(1+IF(AJ25&lt;3,VLOOKUP(Info!$C$10,Rates!$A$15:$B$19,2,FALSE),IF(AJ25&lt;5,VLOOKUP(Info!$C$10,Rates!$A$15:$C$19,3,FALSE),VLOOKUP(Info!$C$10,Rates!$A$15:$D$19,4,FALSE)))+(Info!$I$22-IF(AJ25&lt;3,VLOOKUP(Info!$C$10,Rates!$A$15:$B$19,2,FALSE),IF(AJ25&lt;5,VLOOKUP(Info!$C$10,Rates!$A$15:$C$19,3,FALSE),VLOOKUP(Info!$C$10,Rates!$A$15:$D$19,4,FALSE))))),0)</f>
        <v/>
      </c>
      <c r="D25" s="12">
        <f>IF(AI25&lt;&gt;"",E25,"")</f>
        <v/>
      </c>
      <c r="E25" s="12">
        <f>IF(AI25&lt;&gt;0,F25*(1+IF(AJ25&lt;3,VLOOKUP(Info!$C$10,Rates!$A$14:$B$19,2,FALSE),IF(AJ25&lt;5,VLOOKUP(Info!$C$10,Rates!$A$14:$C$19,3,FALSE),VLOOKUP(Info!$C$10,Rates!$A$14:$D$19,4,FALSE)))*LOOKUP(Info!$C$8,Rates!$I$2:$I$8,Rates!$G$2:$G$8))+E24*(1+IF(AJ25&lt;3,VLOOKUP(Info!$C$10,Rates!$A$14:$B$19,2,FALSE),IF(AJ25&lt;5,VLOOKUP(Info!$C$10,Rates!$A$14:$C$19,3,FALSE),VLOOKUP(Info!$C$10,Rates!$A$14:$D$19,4,FALSE)))),0)</f>
        <v/>
      </c>
      <c r="F25" s="12">
        <f>IF(AI25&lt;&gt;"",IF(Info!$C$16="بله",IF(AND(AJ25&lt;=Info!$F$20,AJ25&gt;=Info!$I$20),Info!$C$20,0)+(AG25-Y25-L25-K25-J25-I25-H25-G25),IF(AND(AJ25&lt;=Info!$F$20,AJ25&gt;=Info!$I$20),Info!$C$20,0)+(AG25-Y25-K25-J25-I25-H25-G25)),"")</f>
        <v/>
      </c>
      <c r="G25" s="107">
        <f>IF(AI25&lt;&gt;"",Rates!$AA$11*(L25),"")</f>
        <v/>
      </c>
      <c r="H25" s="107">
        <f>IF(AI25&lt;&gt;"",(Rates!$AC$11+Rates!$AB$11)*(L25),"")</f>
        <v/>
      </c>
      <c r="I25" s="12">
        <f>IF(AI25&lt;&gt;"",LOOKUP(Info!$C$8,Rates!$I$2:$I$7,Rates!$H$2:$H$7)*(J25+K25+L25+Y25),"")</f>
        <v/>
      </c>
      <c r="J25" s="12">
        <f>IF(N25="",0,N25)+IF(P25="",0,P25)+IF(Q25="",0,Q25)</f>
        <v/>
      </c>
      <c r="K25" s="12">
        <f>IF(Y25&lt;&gt;"",Info!$C$18*Y25,"")</f>
        <v/>
      </c>
      <c r="L25" s="12">
        <f>IF(R25="",0,R25)+IF(U25="",0,U25)+IF(W25="",0,W25)+IF(V25="",0,V25)+IF(T25="",0,T25)</f>
        <v/>
      </c>
      <c r="M25" s="12" t="n">
        <v>0</v>
      </c>
      <c r="N25" s="12" t="n">
        <v>0</v>
      </c>
      <c r="O25" s="12">
        <f>IF(AJ25&lt;=10,(1-Info!$C$25)*IF(OR(Info!$F$8&gt;0,Info!$F$10&gt;0),IF(0.75*$X$4&lt;=0.03*$AD$4,0.75*(X25-X24),0.03*(AD25-AD24)),0),"")</f>
        <v/>
      </c>
      <c r="P25" s="12">
        <f>IF(AJ25&lt;=5,IF(AI25&lt;&gt;"",0.002*AD25,"")*(1-Info!$I$25),0)</f>
        <v/>
      </c>
      <c r="Q25" s="12">
        <f>(1-Info!$F$25)*IF(AI25&lt;&gt;"",IF(Info!$C$16="بله",0.07*X25,0.07*AG25),"")</f>
        <v/>
      </c>
      <c r="R25" s="12">
        <f>IF(X25&lt;&gt;0,S25*X25,0)*(1-Info!$F$29)</f>
        <v/>
      </c>
      <c r="S25" s="107">
        <f>IF(Info!$I$14="خیر",0,IF(Info!$F$14="بله",IF(Info!$C$14=1,2.3,IF(Info!$C$14=2,3.3,4.3)),1))*IF(AND(AH25&lt;=Rates!$Y$8,AH25&gt;0),(1+Info!$C$18)*(1+LOOKUP(Info!$F$18,Rates!$O$2:$O$9,Rates!$L$2:$L$9)/100)*(LOOKUP(Info!$C$6,Rates!$T$2:$T$108,Rates!$R$2:$R$108)/100),0)</f>
        <v/>
      </c>
      <c r="T25" s="12">
        <f>IF(AI25&lt;71,(1-Info!$F$27)*((AB25*0.0008*(1+(LOOKUP(Info!$I$18,Rates!$O$2:$O$9,Rates!$M$2:$M$9)/100)))),0)</f>
        <v/>
      </c>
      <c r="U25" s="12">
        <f>IF(AI25&lt;71,(1-Info!$I$27)*(((AD25*0.0008*Info!$L$14))*(1+(LOOKUP(Info!$I$18,Rates!$O:$O,Rates!$N:$N)/100))),0)</f>
        <v/>
      </c>
      <c r="V25" s="12">
        <f>((Z25*0.0008))*(1+(LOOKUP(Info!$I$18,Rates!$O$2:$O$9,Rates!$M$2:$M$9)/100))*(1-Info!$C$27)</f>
        <v/>
      </c>
      <c r="W25" s="12">
        <f>IF(AND(AI25&lt;=Rates!$Y$2,AJ25&lt;=Info!$I$6,Info!$F$16="معمولی"),VLOOKUP(AI25,Rates!$T$1:$X$108,5,0),IF(AND(AI25&lt;=Rates!$Y$2,AJ25&lt;=Info!$I$6,Info!$F$16="پایه"),VLOOKUP(AI25,Rates!$T$1:$X$108,2,0),IF(AND(AI25&lt;=Rates!$Y$2,AJ25&lt;=Info!$I$6,Info!$F$16="آسایش "),VLOOKUP(AI25,Rates!$T$1:$X$108,3,0),IF(AND(AI25&lt;=Rates!$Y$2,AJ25&lt;=Info!$I$6,Info!$F$16="ممتاز"),VLOOKUP(AI25,Rates!$T$1:$X$108,4,0),0))))*AA25/1000000*(1+Info!$C$18)*(1-Info!$I$29)</f>
        <v/>
      </c>
      <c r="X25" s="12">
        <f>IF(Info!$C$16="بله",(AG25-W25-U25-V25-T25)/(1+S25),AG25)</f>
        <v/>
      </c>
      <c r="Y25" s="107">
        <f>IF(AI25&lt;&gt;0,(AD25*LOOKUP(AI25,Rates!$T$2:$T$108,Rates!$S$2:$S$108))/SQRT(1.1),0)</f>
        <v/>
      </c>
      <c r="Z25" s="107">
        <f>IF(AND(AI25&lt;=Rates!$Y$10,AI25&gt;=0),Info!$C$12*(AC25-AD25),0)</f>
        <v/>
      </c>
      <c r="AA25" s="12">
        <f>IF(AND(AI25&gt;=0,AI25&lt;=Rates!$Y$2,AG25&gt;0),MIN(AA24*(1+Info!$F$10),5000000000),0)</f>
        <v/>
      </c>
      <c r="AB25" s="107">
        <f>IF(AND(AI25&gt;=0,AI25&lt;=65),AD25*Info!$L$16,0)</f>
        <v/>
      </c>
      <c r="AC25" s="12">
        <f>IF(AND(AI25&gt;=0,AI25&lt;=Rates!$Y$3),AD25*(1+Info!$L$14),AD25)</f>
        <v/>
      </c>
      <c r="AD25" s="107">
        <f>IF(AI25&lt;&gt;0,AD24*(1+Info!$F$10),0)</f>
        <v/>
      </c>
      <c r="AE25" s="104">
        <f>IF(AI25&lt;&gt;0,AF25+AE24,0)</f>
        <v/>
      </c>
      <c r="AF25" s="12">
        <f>IF(AI25&gt;=0,IF(Info!$C$16="بله",AG25,AG25+L25),"")</f>
        <v/>
      </c>
      <c r="AG25" s="107">
        <f>IF(AI25&lt;&gt;0,AG24*(1+Info!$F$8),0)</f>
        <v/>
      </c>
      <c r="AH25" s="110">
        <f>IF(AJ25&lt;&gt;"",Info!$C$6+AJ25-1,0)</f>
        <v/>
      </c>
      <c r="AI25" s="14">
        <f>IF(AJ25&lt;&gt;"",IF(Info!$F$6+AJ25-1&lt;=Rates!$Y$11,Info!$F$6+AJ25-1,0),0)</f>
        <v/>
      </c>
      <c r="AJ25" s="15">
        <f>IF(AI24&lt;&gt;"",IF(AND(AJ24&lt;&gt;"",AI24+1&lt;=Rates!$Y$11),IF(AJ24&lt;&gt;0,IF(AJ24+1&lt;=Info!$I$6,AJ24+1,""),0),""),"")</f>
        <v/>
      </c>
    </row>
    <row r="26" ht="14.25" customFormat="1" customHeight="1" s="164">
      <c r="A26" s="16">
        <f>IF(B26&gt;0,IF(Info!$C$16="بله",AG26/B26,(AG26+L26)/B26),0)</f>
        <v/>
      </c>
      <c r="B26" s="16">
        <f>IF(AND(AI26&gt;=0,AJ26&lt;=Info!$I$6),LOOKUP(Info!$C$8,Rates!$I$2:$I$7,Rates!$F$2:$F$7),0)</f>
        <v/>
      </c>
      <c r="C26" s="13">
        <f>IF(AND(AI26&gt;=0,AJ26&lt;=Info!$I$6),F26+F26*(IF(AJ26&lt;3,VLOOKUP(Info!$C$10,Rates!$A$15:$B$19,2,FALSE),IF(AJ26&lt;5,VLOOKUP(Info!$C$10,Rates!$A$15:$C$19,3,FALSE),VLOOKUP(Info!$C$10,Rates!$A$15:$D$19,4,FALSE)))+(Info!$I$22-IF(AJ26&gt;4,LOOKUP(Info!$C$10,Rates!$D$2:$D$7,Rates!$A$2:$A$7),LOOKUP(Info!$C$10,Rates!$D$2:$D$7,Rates!$C$2:$C$7))))*LOOKUP(Info!$C$8,Rates!$I$2:$I$7,Rates!$G$2:$G$7)+C25*(1+IF(AJ26&lt;3,VLOOKUP(Info!$C$10,Rates!$A$15:$B$19,2,FALSE),IF(AJ26&lt;5,VLOOKUP(Info!$C$10,Rates!$A$15:$C$19,3,FALSE),VLOOKUP(Info!$C$10,Rates!$A$15:$D$19,4,FALSE)))+(Info!$I$22-IF(AJ26&lt;3,VLOOKUP(Info!$C$10,Rates!$A$15:$B$19,2,FALSE),IF(AJ26&lt;5,VLOOKUP(Info!$C$10,Rates!$A$15:$C$19,3,FALSE),VLOOKUP(Info!$C$10,Rates!$A$15:$D$19,4,FALSE))))),0)</f>
        <v/>
      </c>
      <c r="D26" s="13">
        <f>IF(AI26&lt;&gt;"",E26,"")</f>
        <v/>
      </c>
      <c r="E26" s="12">
        <f>IF(AI26&lt;&gt;0,F26*(1+IF(AJ26&lt;3,VLOOKUP(Info!$C$10,Rates!$A$14:$B$19,2,FALSE),IF(AJ26&lt;5,VLOOKUP(Info!$C$10,Rates!$A$14:$C$19,3,FALSE),VLOOKUP(Info!$C$10,Rates!$A$14:$D$19,4,FALSE)))*LOOKUP(Info!$C$8,Rates!$I$2:$I$8,Rates!$G$2:$G$8))+E25*(1+IF(AJ26&lt;3,VLOOKUP(Info!$C$10,Rates!$A$14:$B$19,2,FALSE),IF(AJ26&lt;5,VLOOKUP(Info!$C$10,Rates!$A$14:$C$19,3,FALSE),VLOOKUP(Info!$C$10,Rates!$A$14:$D$19,4,FALSE)))),0)</f>
        <v/>
      </c>
      <c r="F26" s="13">
        <f>IF(AI26&lt;&gt;"",IF(Info!$C$16="بله",IF(AND(AJ26&lt;=Info!$F$20,AJ26&gt;=Info!$I$20),Info!$C$20,0)+(AG26-Y26-L26-K26-J26-I26-H26-G26),IF(AND(AJ26&lt;=Info!$F$20,AJ26&gt;=Info!$I$20),Info!$C$20,0)+(AG26-Y26-K26-J26-I26-H26-G26)),"")</f>
        <v/>
      </c>
      <c r="G26" s="106">
        <f>IF(AI26&lt;&gt;"",Rates!$AA$11*(L26),"")</f>
        <v/>
      </c>
      <c r="H26" s="106">
        <f>IF(AI26&lt;&gt;"",(Rates!$AC$11+Rates!$AB$11)*(L26),"")</f>
        <v/>
      </c>
      <c r="I26" s="13">
        <f>IF(AI26&lt;&gt;"",LOOKUP(Info!$C$8,Rates!$I$2:$I$7,Rates!$H$2:$H$7)*(J26+K26+L26+Y26),"")</f>
        <v/>
      </c>
      <c r="J26" s="13">
        <f>IF(N26="",0,N26)+IF(P26="",0,P26)+IF(Q26="",0,Q26)</f>
        <v/>
      </c>
      <c r="K26" s="13">
        <f>IF(Y26&lt;&gt;"",Info!$C$18*Y26,"")</f>
        <v/>
      </c>
      <c r="L26" s="13">
        <f>IF(R26="",0,R26)+IF(U26="",0,U26)+IF(W26="",0,W26)+IF(V26="",0,V26)+IF(T26="",0,T26)</f>
        <v/>
      </c>
      <c r="M26" s="13" t="n">
        <v>0</v>
      </c>
      <c r="N26" s="13" t="n">
        <v>0</v>
      </c>
      <c r="O26" s="12">
        <f>IF(AJ26&lt;=10,(1-Info!$C$25)*IF(OR(Info!$F$8&gt;0,Info!$F$10&gt;0),IF(0.75*$X$4&lt;=0.03*$AD$4,0.75*(X26-X25),0.03*(AD26-AD25)),0),"")</f>
        <v/>
      </c>
      <c r="P26" s="13">
        <f>IF(AJ26&lt;=5,IF(AI26&lt;&gt;"",0.002*AD26,"")*(1-Info!$I$25),0)</f>
        <v/>
      </c>
      <c r="Q26" s="13">
        <f>(1-Info!$F$25)*IF(AI26&lt;&gt;"",IF(Info!$C$16="بله",0.07*X26,0.07*AG26),"")</f>
        <v/>
      </c>
      <c r="R26" s="13">
        <f>IF(X26&lt;&gt;0,S26*X26,0)*(1-Info!$F$29)</f>
        <v/>
      </c>
      <c r="S26" s="106">
        <f>IF(Info!$I$14="خیر",0,IF(Info!$F$14="بله",IF(Info!$C$14=1,2.3,IF(Info!$C$14=2,3.3,4.3)),1))*IF(AND(AH26&lt;=Rates!$Y$8,AH26&gt;0),(1+Info!$C$18)*(1+LOOKUP(Info!$F$18,Rates!$O$2:$O$9,Rates!$L$2:$L$9)/100)*(LOOKUP(Info!$C$6,Rates!$T$2:$T$108,Rates!$R$2:$R$108)/100),0)</f>
        <v/>
      </c>
      <c r="T26" s="13">
        <f>IF(AI26&lt;71,(1-Info!$F$27)*((AB26*0.0008*(1+(LOOKUP(Info!$I$18,Rates!$O$2:$O$9,Rates!$M$2:$M$9)/100)))),0)</f>
        <v/>
      </c>
      <c r="U26" s="13">
        <f>IF(AI26&lt;71,(1-Info!$I$27)*(((AD26*0.0008*Info!$L$14))*(1+(LOOKUP(Info!$I$18,Rates!$O:$O,Rates!$N:$N)/100))),0)</f>
        <v/>
      </c>
      <c r="V26" s="13">
        <f>((Z26*0.0008))*(1+(LOOKUP(Info!$I$18,Rates!$O$2:$O$9,Rates!$M$2:$M$9)/100))*(1-Info!$C$27)</f>
        <v/>
      </c>
      <c r="W26" s="13">
        <f>IF(AND(AI26&lt;=Rates!$Y$2,AJ26&lt;=Info!$I$6,Info!$F$16="معمولی"),VLOOKUP(AI26,Rates!$T$1:$X$108,5,0),IF(AND(AI26&lt;=Rates!$Y$2,AJ26&lt;=Info!$I$6,Info!$F$16="پایه"),VLOOKUP(AI26,Rates!$T$1:$X$108,2,0),IF(AND(AI26&lt;=Rates!$Y$2,AJ26&lt;=Info!$I$6,Info!$F$16="آسایش "),VLOOKUP(AI26,Rates!$T$1:$X$108,3,0),IF(AND(AI26&lt;=Rates!$Y$2,AJ26&lt;=Info!$I$6,Info!$F$16="ممتاز"),VLOOKUP(AI26,Rates!$T$1:$X$108,4,0),0))))*AA26/1000000*(1+Info!$C$18)*(1-Info!$I$29)</f>
        <v/>
      </c>
      <c r="X26" s="113">
        <f>IF(Info!$C$16="بله",(AG26-W26-U26-V26-T26)/(1+S26),AG26)</f>
        <v/>
      </c>
      <c r="Y26" s="106">
        <f>IF(AI26&lt;&gt;0,(AD26*LOOKUP(AI26,Rates!$T$2:$T$108,Rates!$S$2:$S$108))/SQRT(1.1),0)</f>
        <v/>
      </c>
      <c r="Z26" s="106">
        <f>IF(AND(AI26&lt;=Rates!$Y$10,AI26&gt;=0),Info!$C$12*(AC26-AD26),0)</f>
        <v/>
      </c>
      <c r="AA26" s="13">
        <f>IF(AND(AI26&gt;=0,AI26&lt;=Rates!$Y$2,AG26&gt;0),MIN(AA25*(1+Info!$F$10),5000000000),0)</f>
        <v/>
      </c>
      <c r="AB26" s="106">
        <f>IF(AND(AI26&gt;=0,AI26&lt;=65),AD26*Info!$L$16,0)</f>
        <v/>
      </c>
      <c r="AC26" s="13">
        <f>IF(AND(AI26&gt;=0,AI26&lt;=Rates!$Y$3),AD26*(1+Info!$L$14),AD26)</f>
        <v/>
      </c>
      <c r="AD26" s="106">
        <f>IF(AI26&lt;&gt;0,AD25*(1+Info!$F$10),0)</f>
        <v/>
      </c>
      <c r="AE26" s="105">
        <f>IF(AI26&lt;&gt;0,AF26+AE25,0)</f>
        <v/>
      </c>
      <c r="AF26" s="13">
        <f>IF(AI26&gt;=0,IF(Info!$C$16="بله",AG26,AG26+L26),"")</f>
        <v/>
      </c>
      <c r="AG26" s="107">
        <f>IF(AI26&lt;&gt;0,AG25*(1+Info!$F$8),0)</f>
        <v/>
      </c>
      <c r="AH26" s="111">
        <f>IF(AJ26&lt;&gt;"",Info!$C$6+AJ26-1,0)</f>
        <v/>
      </c>
      <c r="AI26" s="17">
        <f>IF(AJ26&lt;&gt;"",IF(Info!$F$6+AJ26-1&lt;=Rates!$Y$11,Info!$F$6+AJ26-1,0),0)</f>
        <v/>
      </c>
      <c r="AJ26" s="18">
        <f>IF(AI25&lt;&gt;"",IF(AND(AJ25&lt;&gt;"",AI25+1&lt;=Rates!$Y$11),IF(AJ25&lt;&gt;0,IF(AJ25+1&lt;=Info!$I$6,AJ25+1,""),0),""),"")</f>
        <v/>
      </c>
    </row>
    <row r="27" ht="14.25" customFormat="1" customHeight="1" s="164">
      <c r="A27" s="11">
        <f>IF(B27&gt;0,IF(Info!$C$16="بله",AG27/B27,(AG27+L27)/B27),0)</f>
        <v/>
      </c>
      <c r="B27" s="11">
        <f>IF(AND(AI27&gt;=0,AJ27&lt;=Info!$I$6),LOOKUP(Info!$C$8,Rates!$I$2:$I$7,Rates!$F$2:$F$7),0)</f>
        <v/>
      </c>
      <c r="C27" s="12">
        <f>IF(AND(AI27&gt;=0,AJ27&lt;=Info!$I$6),F27+F27*(IF(AJ27&lt;3,VLOOKUP(Info!$C$10,Rates!$A$15:$B$19,2,FALSE),IF(AJ27&lt;5,VLOOKUP(Info!$C$10,Rates!$A$15:$C$19,3,FALSE),VLOOKUP(Info!$C$10,Rates!$A$15:$D$19,4,FALSE)))+(Info!$I$22-IF(AJ27&gt;4,LOOKUP(Info!$C$10,Rates!$D$2:$D$7,Rates!$A$2:$A$7),LOOKUP(Info!$C$10,Rates!$D$2:$D$7,Rates!$C$2:$C$7))))*LOOKUP(Info!$C$8,Rates!$I$2:$I$7,Rates!$G$2:$G$7)+C26*(1+IF(AJ27&lt;3,VLOOKUP(Info!$C$10,Rates!$A$15:$B$19,2,FALSE),IF(AJ27&lt;5,VLOOKUP(Info!$C$10,Rates!$A$15:$C$19,3,FALSE),VLOOKUP(Info!$C$10,Rates!$A$15:$D$19,4,FALSE)))+(Info!$I$22-IF(AJ27&lt;3,VLOOKUP(Info!$C$10,Rates!$A$15:$B$19,2,FALSE),IF(AJ27&lt;5,VLOOKUP(Info!$C$10,Rates!$A$15:$C$19,3,FALSE),VLOOKUP(Info!$C$10,Rates!$A$15:$D$19,4,FALSE))))),0)</f>
        <v/>
      </c>
      <c r="D27" s="12">
        <f>IF(AI27&lt;&gt;"",E27,"")</f>
        <v/>
      </c>
      <c r="E27" s="12">
        <f>IF(AI27&lt;&gt;0,F27*(1+IF(AJ27&lt;3,VLOOKUP(Info!$C$10,Rates!$A$14:$B$19,2,FALSE),IF(AJ27&lt;5,VLOOKUP(Info!$C$10,Rates!$A$14:$C$19,3,FALSE),VLOOKUP(Info!$C$10,Rates!$A$14:$D$19,4,FALSE)))*LOOKUP(Info!$C$8,Rates!$I$2:$I$8,Rates!$G$2:$G$8))+E26*(1+IF(AJ27&lt;3,VLOOKUP(Info!$C$10,Rates!$A$14:$B$19,2,FALSE),IF(AJ27&lt;5,VLOOKUP(Info!$C$10,Rates!$A$14:$C$19,3,FALSE),VLOOKUP(Info!$C$10,Rates!$A$14:$D$19,4,FALSE)))),0)</f>
        <v/>
      </c>
      <c r="F27" s="12">
        <f>IF(AI27&lt;&gt;"",IF(Info!$C$16="بله",IF(AND(AJ27&lt;=Info!$F$20,AJ27&gt;=Info!$I$20),Info!$C$20,0)+(AG27-Y27-L27-K27-J27-I27-H27-G27),IF(AND(AJ27&lt;=Info!$F$20,AJ27&gt;=Info!$I$20),Info!$C$20,0)+(AG27-Y27-K27-J27-I27-H27-G27)),"")</f>
        <v/>
      </c>
      <c r="G27" s="107">
        <f>IF(AI27&lt;&gt;"",Rates!$AA$11*(L27),"")</f>
        <v/>
      </c>
      <c r="H27" s="107">
        <f>IF(AI27&lt;&gt;"",(Rates!$AC$11+Rates!$AB$11)*(L27),"")</f>
        <v/>
      </c>
      <c r="I27" s="12">
        <f>IF(AI27&lt;&gt;"",LOOKUP(Info!$C$8,Rates!$I$2:$I$7,Rates!$H$2:$H$7)*(J27+K27+L27+Y27),"")</f>
        <v/>
      </c>
      <c r="J27" s="12">
        <f>IF(N27="",0,N27)+IF(P27="",0,P27)+IF(Q27="",0,Q27)</f>
        <v/>
      </c>
      <c r="K27" s="12">
        <f>IF(Y27&lt;&gt;"",Info!$C$18*Y27,"")</f>
        <v/>
      </c>
      <c r="L27" s="12">
        <f>IF(R27="",0,R27)+IF(U27="",0,U27)+IF(W27="",0,W27)+IF(V27="",0,V27)+IF(T27="",0,T27)</f>
        <v/>
      </c>
      <c r="M27" s="12" t="n">
        <v>0</v>
      </c>
      <c r="N27" s="12" t="n">
        <v>0</v>
      </c>
      <c r="O27" s="12">
        <f>IF(AJ27&lt;=10,(1-Info!$C$25)*IF(OR(Info!$F$8&gt;0,Info!$F$10&gt;0),IF(0.75*$X$4&lt;=0.03*$AD$4,0.75*(X27-X26),0.03*(AD27-AD26)),0),"")</f>
        <v/>
      </c>
      <c r="P27" s="12">
        <f>IF(AJ27&lt;=5,IF(AI27&lt;&gt;"",0.002*AD27,"")*(1-Info!$I$25),0)</f>
        <v/>
      </c>
      <c r="Q27" s="12">
        <f>(1-Info!$F$25)*IF(AI27&lt;&gt;"",IF(Info!$C$16="بله",0.07*X27,0.07*AG27),"")</f>
        <v/>
      </c>
      <c r="R27" s="12">
        <f>IF(X27&lt;&gt;0,S27*X27,0)*(1-Info!$F$29)</f>
        <v/>
      </c>
      <c r="S27" s="107">
        <f>IF(Info!$I$14="خیر",0,IF(Info!$F$14="بله",IF(Info!$C$14=1,2.3,IF(Info!$C$14=2,3.3,4.3)),1))*IF(AND(AH27&lt;=Rates!$Y$8,AH27&gt;0),(1+Info!$C$18)*(1+LOOKUP(Info!$F$18,Rates!$O$2:$O$9,Rates!$L$2:$L$9)/100)*(LOOKUP(Info!$C$6,Rates!$T$2:$T$108,Rates!$R$2:$R$108)/100),0)</f>
        <v/>
      </c>
      <c r="T27" s="12">
        <f>IF(AI27&lt;71,(1-Info!$F$27)*((AB27*0.0008*(1+(LOOKUP(Info!$I$18,Rates!$O$2:$O$9,Rates!$M$2:$M$9)/100)))),0)</f>
        <v/>
      </c>
      <c r="U27" s="12">
        <f>IF(AI27&lt;71,(1-Info!$I$27)*(((AD27*0.0008*Info!$L$14))*(1+(LOOKUP(Info!$I$18,Rates!$O:$O,Rates!$N:$N)/100))),0)</f>
        <v/>
      </c>
      <c r="V27" s="12">
        <f>((Z27*0.0008))*(1+(LOOKUP(Info!$I$18,Rates!$O$2:$O$9,Rates!$M$2:$M$9)/100))*(1-Info!$C$27)</f>
        <v/>
      </c>
      <c r="W27" s="12">
        <f>IF(AND(AI27&lt;=Rates!$Y$2,AJ27&lt;=Info!$I$6,Info!$F$16="معمولی"),VLOOKUP(AI27,Rates!$T$1:$X$108,5,0),IF(AND(AI27&lt;=Rates!$Y$2,AJ27&lt;=Info!$I$6,Info!$F$16="پایه"),VLOOKUP(AI27,Rates!$T$1:$X$108,2,0),IF(AND(AI27&lt;=Rates!$Y$2,AJ27&lt;=Info!$I$6,Info!$F$16="آسایش "),VLOOKUP(AI27,Rates!$T$1:$X$108,3,0),IF(AND(AI27&lt;=Rates!$Y$2,AJ27&lt;=Info!$I$6,Info!$F$16="ممتاز"),VLOOKUP(AI27,Rates!$T$1:$X$108,4,0),0))))*AA27/1000000*(1+Info!$C$18)*(1-Info!$I$29)</f>
        <v/>
      </c>
      <c r="X27" s="12">
        <f>IF(Info!$C$16="بله",(AG27-W27-U27-V27-T27)/(1+S27),AG27)</f>
        <v/>
      </c>
      <c r="Y27" s="107">
        <f>IF(AI27&lt;&gt;0,(AD27*LOOKUP(AI27,Rates!$T$2:$T$108,Rates!$S$2:$S$108))/SQRT(1.1),0)</f>
        <v/>
      </c>
      <c r="Z27" s="107">
        <f>IF(AND(AI27&lt;=Rates!$Y$10,AI27&gt;=0),Info!$C$12*(AC27-AD27),0)</f>
        <v/>
      </c>
      <c r="AA27" s="12">
        <f>IF(AND(AI27&gt;=0,AI27&lt;=Rates!$Y$2,AG27&gt;0),MIN(AA26*(1+Info!$F$10),5000000000),0)</f>
        <v/>
      </c>
      <c r="AB27" s="107">
        <f>IF(AND(AI27&gt;=0,AI27&lt;=65),AD27*Info!$L$16,0)</f>
        <v/>
      </c>
      <c r="AC27" s="12">
        <f>IF(AND(AI27&gt;=0,AI27&lt;=Rates!$Y$3),AD27*(1+Info!$L$14),AD27)</f>
        <v/>
      </c>
      <c r="AD27" s="107">
        <f>IF(AI27&lt;&gt;0,AD26*(1+Info!$F$10),0)</f>
        <v/>
      </c>
      <c r="AE27" s="104">
        <f>IF(AI27&lt;&gt;0,AF27+AE26,0)</f>
        <v/>
      </c>
      <c r="AF27" s="12">
        <f>IF(AI27&gt;=0,IF(Info!$C$16="بله",AG27,AG27+L27),"")</f>
        <v/>
      </c>
      <c r="AG27" s="107">
        <f>IF(AI27&lt;&gt;0,AG26*(1+Info!$F$8),0)</f>
        <v/>
      </c>
      <c r="AH27" s="110">
        <f>IF(AJ27&lt;&gt;"",Info!$C$6+AJ27-1,0)</f>
        <v/>
      </c>
      <c r="AI27" s="14">
        <f>IF(AJ27&lt;&gt;"",IF(Info!$F$6+AJ27-1&lt;=Rates!$Y$11,Info!$F$6+AJ27-1,0),0)</f>
        <v/>
      </c>
      <c r="AJ27" s="15">
        <f>IF(AI26&lt;&gt;"",IF(AND(AJ26&lt;&gt;"",AI26+1&lt;=Rates!$Y$11),IF(AJ26&lt;&gt;0,IF(AJ26+1&lt;=Info!$I$6,AJ26+1,""),0),""),"")</f>
        <v/>
      </c>
    </row>
    <row r="28" ht="14.25" customFormat="1" customHeight="1" s="164">
      <c r="A28" s="16">
        <f>IF(B28&gt;0,IF(Info!$C$16="بله",AG28/B28,(AG28+L28)/B28),0)</f>
        <v/>
      </c>
      <c r="B28" s="16">
        <f>IF(AND(AI28&gt;=0,AJ28&lt;=Info!$I$6),LOOKUP(Info!$C$8,Rates!$I$2:$I$7,Rates!$F$2:$F$7),0)</f>
        <v/>
      </c>
      <c r="C28" s="13">
        <f>IF(AND(AI28&gt;=0,AJ28&lt;=Info!$I$6),F28+F28*(IF(AJ28&lt;3,VLOOKUP(Info!$C$10,Rates!$A$15:$B$19,2,FALSE),IF(AJ28&lt;5,VLOOKUP(Info!$C$10,Rates!$A$15:$C$19,3,FALSE),VLOOKUP(Info!$C$10,Rates!$A$15:$D$19,4,FALSE)))+(Info!$I$22-IF(AJ28&gt;4,LOOKUP(Info!$C$10,Rates!$D$2:$D$7,Rates!$A$2:$A$7),LOOKUP(Info!$C$10,Rates!$D$2:$D$7,Rates!$C$2:$C$7))))*LOOKUP(Info!$C$8,Rates!$I$2:$I$7,Rates!$G$2:$G$7)+C27*(1+IF(AJ28&lt;3,VLOOKUP(Info!$C$10,Rates!$A$15:$B$19,2,FALSE),IF(AJ28&lt;5,VLOOKUP(Info!$C$10,Rates!$A$15:$C$19,3,FALSE),VLOOKUP(Info!$C$10,Rates!$A$15:$D$19,4,FALSE)))+(Info!$I$22-IF(AJ28&lt;3,VLOOKUP(Info!$C$10,Rates!$A$15:$B$19,2,FALSE),IF(AJ28&lt;5,VLOOKUP(Info!$C$10,Rates!$A$15:$C$19,3,FALSE),VLOOKUP(Info!$C$10,Rates!$A$15:$D$19,4,FALSE))))),0)</f>
        <v/>
      </c>
      <c r="D28" s="13">
        <f>IF(AI28&lt;&gt;"",E28,"")</f>
        <v/>
      </c>
      <c r="E28" s="12">
        <f>IF(AI28&lt;&gt;0,F28*(1+IF(AJ28&lt;3,VLOOKUP(Info!$C$10,Rates!$A$14:$B$19,2,FALSE),IF(AJ28&lt;5,VLOOKUP(Info!$C$10,Rates!$A$14:$C$19,3,FALSE),VLOOKUP(Info!$C$10,Rates!$A$14:$D$19,4,FALSE)))*LOOKUP(Info!$C$8,Rates!$I$2:$I$8,Rates!$G$2:$G$8))+E27*(1+IF(AJ28&lt;3,VLOOKUP(Info!$C$10,Rates!$A$14:$B$19,2,FALSE),IF(AJ28&lt;5,VLOOKUP(Info!$C$10,Rates!$A$14:$C$19,3,FALSE),VLOOKUP(Info!$C$10,Rates!$A$14:$D$19,4,FALSE)))),0)</f>
        <v/>
      </c>
      <c r="F28" s="13">
        <f>IF(AI28&lt;&gt;"",IF(Info!$C$16="بله",IF(AND(AJ28&lt;=Info!$F$20,AJ28&gt;=Info!$I$20),Info!$C$20,0)+(AG28-Y28-L28-K28-J28-I28-H28-G28),IF(AND(AJ28&lt;=Info!$F$20,AJ28&gt;=Info!$I$20),Info!$C$20,0)+(AG28-Y28-K28-J28-I28-H28-G28)),"")</f>
        <v/>
      </c>
      <c r="G28" s="106">
        <f>IF(AI28&lt;&gt;"",Rates!$AA$11*(L28),"")</f>
        <v/>
      </c>
      <c r="H28" s="106">
        <f>IF(AI28&lt;&gt;"",(Rates!$AC$11+Rates!$AB$11)*(L28),"")</f>
        <v/>
      </c>
      <c r="I28" s="13">
        <f>IF(AI28&lt;&gt;"",LOOKUP(Info!$C$8,Rates!$I$2:$I$7,Rates!$H$2:$H$7)*(J28+K28+L28+Y28),"")</f>
        <v/>
      </c>
      <c r="J28" s="13">
        <f>IF(N28="",0,N28)+IF(P28="",0,P28)+IF(Q28="",0,Q28)</f>
        <v/>
      </c>
      <c r="K28" s="13">
        <f>IF(Y28&lt;&gt;"",Info!$C$18*Y28,"")</f>
        <v/>
      </c>
      <c r="L28" s="13">
        <f>IF(R28="",0,R28)+IF(U28="",0,U28)+IF(W28="",0,W28)+IF(V28="",0,V28)+IF(T28="",0,T28)</f>
        <v/>
      </c>
      <c r="M28" s="13" t="n">
        <v>0</v>
      </c>
      <c r="N28" s="13" t="n">
        <v>0</v>
      </c>
      <c r="O28" s="12">
        <f>IF(AJ28&lt;=10,(1-Info!$C$25)*IF(OR(Info!$F$8&gt;0,Info!$F$10&gt;0),IF(0.75*$X$4&lt;=0.03*$AD$4,0.75*(X28-X27),0.03*(AD28-AD27)),0),"")</f>
        <v/>
      </c>
      <c r="P28" s="13">
        <f>IF(AJ28&lt;=5,IF(AI28&lt;&gt;"",0.002*AD28,"")*(1-Info!$I$25),0)</f>
        <v/>
      </c>
      <c r="Q28" s="13">
        <f>(1-Info!$F$25)*IF(AI28&lt;&gt;"",IF(Info!$C$16="بله",0.07*X28,0.07*AG28),"")</f>
        <v/>
      </c>
      <c r="R28" s="13">
        <f>IF(X28&lt;&gt;0,S28*X28,0)*(1-Info!$F$29)</f>
        <v/>
      </c>
      <c r="S28" s="106">
        <f>IF(Info!$I$14="خیر",0,IF(Info!$F$14="بله",IF(Info!$C$14=1,2.3,IF(Info!$C$14=2,3.3,4.3)),1))*IF(AND(AH28&lt;=Rates!$Y$8,AH28&gt;0),(1+Info!$C$18)*(1+LOOKUP(Info!$F$18,Rates!$O$2:$O$9,Rates!$L$2:$L$9)/100)*(LOOKUP(Info!$C$6,Rates!$T$2:$T$108,Rates!$R$2:$R$108)/100),0)</f>
        <v/>
      </c>
      <c r="T28" s="13">
        <f>IF(AI28&lt;71,(1-Info!$F$27)*((AB28*0.0008*(1+(LOOKUP(Info!$I$18,Rates!$O$2:$O$9,Rates!$M$2:$M$9)/100)))),0)</f>
        <v/>
      </c>
      <c r="U28" s="13">
        <f>IF(AI28&lt;71,(1-Info!$I$27)*(((AD28*0.0008*Info!$L$14))*(1+(LOOKUP(Info!$I$18,Rates!$O:$O,Rates!$N:$N)/100))),0)</f>
        <v/>
      </c>
      <c r="V28" s="13">
        <f>((Z28*0.0008))*(1+(LOOKUP(Info!$I$18,Rates!$O$2:$O$9,Rates!$M$2:$M$9)/100))*(1-Info!$C$27)</f>
        <v/>
      </c>
      <c r="W28" s="13">
        <f>IF(AND(AI28&lt;=Rates!$Y$2,AJ28&lt;=Info!$I$6,Info!$F$16="معمولی"),VLOOKUP(AI28,Rates!$T$1:$X$108,5,0),IF(AND(AI28&lt;=Rates!$Y$2,AJ28&lt;=Info!$I$6,Info!$F$16="پایه"),VLOOKUP(AI28,Rates!$T$1:$X$108,2,0),IF(AND(AI28&lt;=Rates!$Y$2,AJ28&lt;=Info!$I$6,Info!$F$16="آسایش "),VLOOKUP(AI28,Rates!$T$1:$X$108,3,0),IF(AND(AI28&lt;=Rates!$Y$2,AJ28&lt;=Info!$I$6,Info!$F$16="ممتاز"),VLOOKUP(AI28,Rates!$T$1:$X$108,4,0),0))))*AA28/1000000*(1+Info!$C$18)*(1-Info!$I$29)</f>
        <v/>
      </c>
      <c r="X28" s="113">
        <f>IF(Info!$C$16="بله",(AG28-W28-U28-V28-T28)/(1+S28),AG28)</f>
        <v/>
      </c>
      <c r="Y28" s="106">
        <f>IF(AI28&lt;&gt;0,(AD28*LOOKUP(AI28,Rates!$T$2:$T$108,Rates!$S$2:$S$108))/SQRT(1.1),0)</f>
        <v/>
      </c>
      <c r="Z28" s="106">
        <f>IF(AND(AI28&lt;=Rates!$Y$10,AI28&gt;=0),Info!$C$12*(AC28-AD28),0)</f>
        <v/>
      </c>
      <c r="AA28" s="13">
        <f>IF(AND(AI28&gt;=0,AI28&lt;=Rates!$Y$2,AG28&gt;0),MIN(AA27*(1+Info!$F$10),5000000000),0)</f>
        <v/>
      </c>
      <c r="AB28" s="106">
        <f>IF(AND(AI28&gt;=0,AI28&lt;=65),AD28*Info!$L$16,0)</f>
        <v/>
      </c>
      <c r="AC28" s="13">
        <f>IF(AND(AI28&gt;=0,AI28&lt;=Rates!$Y$3),AD28*(1+Info!$L$14),AD28)</f>
        <v/>
      </c>
      <c r="AD28" s="106">
        <f>IF(AI28&lt;&gt;0,AD27*(1+Info!$F$10),0)</f>
        <v/>
      </c>
      <c r="AE28" s="105">
        <f>IF(AI28&lt;&gt;0,AF28+AE27,0)</f>
        <v/>
      </c>
      <c r="AF28" s="13">
        <f>IF(AI28&gt;=0,IF(Info!$C$16="بله",AG28,AG28+L28),"")</f>
        <v/>
      </c>
      <c r="AG28" s="107">
        <f>IF(AI28&lt;&gt;0,AG27*(1+Info!$F$8),0)</f>
        <v/>
      </c>
      <c r="AH28" s="111">
        <f>IF(AJ28&lt;&gt;"",Info!$C$6+AJ28-1,0)</f>
        <v/>
      </c>
      <c r="AI28" s="17">
        <f>IF(AJ28&lt;&gt;"",IF(Info!$F$6+AJ28-1&lt;=Rates!$Y$11,Info!$F$6+AJ28-1,0),0)</f>
        <v/>
      </c>
      <c r="AJ28" s="18">
        <f>IF(AI27&lt;&gt;"",IF(AND(AJ27&lt;&gt;"",AI27+1&lt;=Rates!$Y$11),IF(AJ27&lt;&gt;0,IF(AJ27+1&lt;=Info!$I$6,AJ27+1,""),0),""),"")</f>
        <v/>
      </c>
    </row>
    <row r="29" ht="14.25" customFormat="1" customHeight="1" s="164">
      <c r="A29" s="11">
        <f>IF(B29&gt;0,IF(Info!$C$16="بله",AG29/B29,(AG29+L29)/B29),0)</f>
        <v/>
      </c>
      <c r="B29" s="11">
        <f>IF(AND(AI29&gt;=0,AJ29&lt;=Info!$I$6),LOOKUP(Info!$C$8,Rates!$I$2:$I$7,Rates!$F$2:$F$7),0)</f>
        <v/>
      </c>
      <c r="C29" s="12">
        <f>IF(AND(AI29&gt;=0,AJ29&lt;=Info!$I$6),F29+F29*(IF(AJ29&lt;3,VLOOKUP(Info!$C$10,Rates!$A$15:$B$19,2,FALSE),IF(AJ29&lt;5,VLOOKUP(Info!$C$10,Rates!$A$15:$C$19,3,FALSE),VLOOKUP(Info!$C$10,Rates!$A$15:$D$19,4,FALSE)))+(Info!$I$22-IF(AJ29&gt;4,LOOKUP(Info!$C$10,Rates!$D$2:$D$7,Rates!$A$2:$A$7),LOOKUP(Info!$C$10,Rates!$D$2:$D$7,Rates!$C$2:$C$7))))*LOOKUP(Info!$C$8,Rates!$I$2:$I$7,Rates!$G$2:$G$7)+C28*(1+IF(AJ29&lt;3,VLOOKUP(Info!$C$10,Rates!$A$15:$B$19,2,FALSE),IF(AJ29&lt;5,VLOOKUP(Info!$C$10,Rates!$A$15:$C$19,3,FALSE),VLOOKUP(Info!$C$10,Rates!$A$15:$D$19,4,FALSE)))+(Info!$I$22-IF(AJ29&lt;3,VLOOKUP(Info!$C$10,Rates!$A$15:$B$19,2,FALSE),IF(AJ29&lt;5,VLOOKUP(Info!$C$10,Rates!$A$15:$C$19,3,FALSE),VLOOKUP(Info!$C$10,Rates!$A$15:$D$19,4,FALSE))))),0)</f>
        <v/>
      </c>
      <c r="D29" s="12">
        <f>IF(AI29&lt;&gt;"",E29,"")</f>
        <v/>
      </c>
      <c r="E29" s="12">
        <f>IF(AI29&lt;&gt;0,F29*(1+IF(AJ29&lt;3,VLOOKUP(Info!$C$10,Rates!$A$14:$B$19,2,FALSE),IF(AJ29&lt;5,VLOOKUP(Info!$C$10,Rates!$A$14:$C$19,3,FALSE),VLOOKUP(Info!$C$10,Rates!$A$14:$D$19,4,FALSE)))*LOOKUP(Info!$C$8,Rates!$I$2:$I$8,Rates!$G$2:$G$8))+E28*(1+IF(AJ29&lt;3,VLOOKUP(Info!$C$10,Rates!$A$14:$B$19,2,FALSE),IF(AJ29&lt;5,VLOOKUP(Info!$C$10,Rates!$A$14:$C$19,3,FALSE),VLOOKUP(Info!$C$10,Rates!$A$14:$D$19,4,FALSE)))),0)</f>
        <v/>
      </c>
      <c r="F29" s="12">
        <f>IF(AI29&lt;&gt;"",IF(Info!$C$16="بله",IF(AND(AJ29&lt;=Info!$F$20,AJ29&gt;=Info!$I$20),Info!$C$20,0)+(AG29-Y29-L29-K29-J29-I29-H29-G29),IF(AND(AJ29&lt;=Info!$F$20,AJ29&gt;=Info!$I$20),Info!$C$20,0)+(AG29-Y29-K29-J29-I29-H29-G29)),"")</f>
        <v/>
      </c>
      <c r="G29" s="107">
        <f>IF(AI29&lt;&gt;"",Rates!$AA$11*(L29),"")</f>
        <v/>
      </c>
      <c r="H29" s="107">
        <f>IF(AI29&lt;&gt;"",(Rates!$AC$11+Rates!$AB$11)*(L29),"")</f>
        <v/>
      </c>
      <c r="I29" s="12">
        <f>IF(AI29&lt;&gt;"",LOOKUP(Info!$C$8,Rates!$I$2:$I$7,Rates!$H$2:$H$7)*(J29+K29+L29+Y29),"")</f>
        <v/>
      </c>
      <c r="J29" s="12">
        <f>IF(N29="",0,N29)+IF(P29="",0,P29)+IF(Q29="",0,Q29)</f>
        <v/>
      </c>
      <c r="K29" s="12">
        <f>IF(Y29&lt;&gt;"",Info!$C$18*Y29,"")</f>
        <v/>
      </c>
      <c r="L29" s="12">
        <f>IF(R29="",0,R29)+IF(U29="",0,U29)+IF(W29="",0,W29)+IF(V29="",0,V29)+IF(T29="",0,T29)</f>
        <v/>
      </c>
      <c r="M29" s="12" t="n">
        <v>0</v>
      </c>
      <c r="N29" s="12" t="n">
        <v>0</v>
      </c>
      <c r="O29" s="12">
        <f>IF(AJ29&lt;=10,(1-Info!$C$25)*IF(OR(Info!$F$8&gt;0,Info!$F$10&gt;0),IF(0.75*$X$4&lt;=0.03*$AD$4,0.75*(X29-X28),0.03*(AD29-AD28)),0),"")</f>
        <v/>
      </c>
      <c r="P29" s="12">
        <f>IF(AJ29&lt;=5,IF(AI29&lt;&gt;"",0.002*AD29,"")*(1-Info!$I$25),0)</f>
        <v/>
      </c>
      <c r="Q29" s="12">
        <f>(1-Info!$F$25)*IF(AI29&lt;&gt;"",IF(Info!$C$16="بله",0.07*X29,0.07*AG29),"")</f>
        <v/>
      </c>
      <c r="R29" s="12">
        <f>IF(X29&lt;&gt;0,S29*X29,0)*(1-Info!$F$29)</f>
        <v/>
      </c>
      <c r="S29" s="107">
        <f>IF(Info!$I$14="خیر",0,IF(Info!$F$14="بله",IF(Info!$C$14=1,2.3,IF(Info!$C$14=2,3.3,4.3)),1))*IF(AND(AH29&lt;=Rates!$Y$8,AH29&gt;0),(1+Info!$C$18)*(1+LOOKUP(Info!$F$18,Rates!$O$2:$O$9,Rates!$L$2:$L$9)/100)*(LOOKUP(Info!$C$6,Rates!$T$2:$T$108,Rates!$R$2:$R$108)/100),0)</f>
        <v/>
      </c>
      <c r="T29" s="12">
        <f>IF(AI29&lt;71,(1-Info!$F$27)*((AB29*0.0008*(1+(LOOKUP(Info!$I$18,Rates!$O$2:$O$9,Rates!$M$2:$M$9)/100)))),0)</f>
        <v/>
      </c>
      <c r="U29" s="12">
        <f>IF(AI29&lt;71,(1-Info!$I$27)*(((AD29*0.0008*Info!$L$14))*(1+(LOOKUP(Info!$I$18,Rates!$O:$O,Rates!$N:$N)/100))),0)</f>
        <v/>
      </c>
      <c r="V29" s="12">
        <f>((Z29*0.0008))*(1+(LOOKUP(Info!$I$18,Rates!$O$2:$O$9,Rates!$M$2:$M$9)/100))*(1-Info!$C$27)</f>
        <v/>
      </c>
      <c r="W29" s="12">
        <f>IF(AND(AI29&lt;=Rates!$Y$2,AJ29&lt;=Info!$I$6,Info!$F$16="معمولی"),VLOOKUP(AI29,Rates!$T$1:$X$108,5,0),IF(AND(AI29&lt;=Rates!$Y$2,AJ29&lt;=Info!$I$6,Info!$F$16="پایه"),VLOOKUP(AI29,Rates!$T$1:$X$108,2,0),IF(AND(AI29&lt;=Rates!$Y$2,AJ29&lt;=Info!$I$6,Info!$F$16="آسایش "),VLOOKUP(AI29,Rates!$T$1:$X$108,3,0),IF(AND(AI29&lt;=Rates!$Y$2,AJ29&lt;=Info!$I$6,Info!$F$16="ممتاز"),VLOOKUP(AI29,Rates!$T$1:$X$108,4,0),0))))*AA29/1000000*(1+Info!$C$18)*(1-Info!$I$29)</f>
        <v/>
      </c>
      <c r="X29" s="12">
        <f>IF(Info!$C$16="بله",(AG29-W29-U29-V29-T29)/(1+S29),AG29)</f>
        <v/>
      </c>
      <c r="Y29" s="107">
        <f>IF(AI29&lt;&gt;0,(AD29*LOOKUP(AI29,Rates!$T$2:$T$108,Rates!$S$2:$S$108))/SQRT(1.1),0)</f>
        <v/>
      </c>
      <c r="Z29" s="107">
        <f>IF(AND(AI29&lt;=Rates!$Y$10,AI29&gt;=0),Info!$C$12*(AC29-AD29),0)</f>
        <v/>
      </c>
      <c r="AA29" s="12">
        <f>IF(AND(AI29&gt;=0,AI29&lt;=Rates!$Y$2,AG29&gt;0),MIN(AA28*(1+Info!$F$10),5000000000),0)</f>
        <v/>
      </c>
      <c r="AB29" s="107">
        <f>IF(AND(AI29&gt;=0,AI29&lt;=65),AD29*Info!$L$16,0)</f>
        <v/>
      </c>
      <c r="AC29" s="12">
        <f>IF(AND(AI29&gt;=0,AI29&lt;=Rates!$Y$3),AD29*(1+Info!$L$14),AD29)</f>
        <v/>
      </c>
      <c r="AD29" s="107">
        <f>IF(AI29&lt;&gt;0,AD28*(1+Info!$F$10),0)</f>
        <v/>
      </c>
      <c r="AE29" s="104">
        <f>IF(AI29&lt;&gt;0,AF29+AE28,0)</f>
        <v/>
      </c>
      <c r="AF29" s="12">
        <f>IF(AI29&gt;=0,IF(Info!$C$16="بله",AG29,AG29+L29),"")</f>
        <v/>
      </c>
      <c r="AG29" s="107">
        <f>IF(AI29&lt;&gt;0,AG28*(1+Info!$F$8),0)</f>
        <v/>
      </c>
      <c r="AH29" s="110">
        <f>IF(AJ29&lt;&gt;"",Info!$C$6+AJ29-1,0)</f>
        <v/>
      </c>
      <c r="AI29" s="14">
        <f>IF(AJ29&lt;&gt;"",IF(Info!$F$6+AJ29-1&lt;=Rates!$Y$11,Info!$F$6+AJ29-1,0),0)</f>
        <v/>
      </c>
      <c r="AJ29" s="15">
        <f>IF(AI28&lt;&gt;"",IF(AND(AJ28&lt;&gt;"",AI28+1&lt;=Rates!$Y$11),IF(AJ28&lt;&gt;0,IF(AJ28+1&lt;=Info!$I$6,AJ28+1,""),0),""),"")</f>
        <v/>
      </c>
    </row>
    <row r="30" ht="14.25" customFormat="1" customHeight="1" s="164">
      <c r="A30" s="16">
        <f>IF(B30&gt;0,IF(Info!$C$16="بله",AG30/B30,(AG30+L30)/B30),0)</f>
        <v/>
      </c>
      <c r="B30" s="16">
        <f>IF(AND(AI30&gt;=0,AJ30&lt;=Info!$I$6),LOOKUP(Info!$C$8,Rates!$I$2:$I$7,Rates!$F$2:$F$7),0)</f>
        <v/>
      </c>
      <c r="C30" s="13">
        <f>IF(AND(AI30&gt;=0,AJ30&lt;=Info!$I$6),F30+F30*(IF(AJ30&lt;3,VLOOKUP(Info!$C$10,Rates!$A$15:$B$19,2,FALSE),IF(AJ30&lt;5,VLOOKUP(Info!$C$10,Rates!$A$15:$C$19,3,FALSE),VLOOKUP(Info!$C$10,Rates!$A$15:$D$19,4,FALSE)))+(Info!$I$22-IF(AJ30&gt;4,LOOKUP(Info!$C$10,Rates!$D$2:$D$7,Rates!$A$2:$A$7),LOOKUP(Info!$C$10,Rates!$D$2:$D$7,Rates!$C$2:$C$7))))*LOOKUP(Info!$C$8,Rates!$I$2:$I$7,Rates!$G$2:$G$7)+C29*(1+IF(AJ30&lt;3,VLOOKUP(Info!$C$10,Rates!$A$15:$B$19,2,FALSE),IF(AJ30&lt;5,VLOOKUP(Info!$C$10,Rates!$A$15:$C$19,3,FALSE),VLOOKUP(Info!$C$10,Rates!$A$15:$D$19,4,FALSE)))+(Info!$I$22-IF(AJ30&lt;3,VLOOKUP(Info!$C$10,Rates!$A$15:$B$19,2,FALSE),IF(AJ30&lt;5,VLOOKUP(Info!$C$10,Rates!$A$15:$C$19,3,FALSE),VLOOKUP(Info!$C$10,Rates!$A$15:$D$19,4,FALSE))))),0)</f>
        <v/>
      </c>
      <c r="D30" s="13">
        <f>IF(AI30&lt;&gt;"",E30,"")</f>
        <v/>
      </c>
      <c r="E30" s="12">
        <f>IF(AI30&lt;&gt;0,F30*(1+IF(AJ30&lt;3,VLOOKUP(Info!$C$10,Rates!$A$14:$B$19,2,FALSE),IF(AJ30&lt;5,VLOOKUP(Info!$C$10,Rates!$A$14:$C$19,3,FALSE),VLOOKUP(Info!$C$10,Rates!$A$14:$D$19,4,FALSE)))*LOOKUP(Info!$C$8,Rates!$I$2:$I$8,Rates!$G$2:$G$8))+E29*(1+IF(AJ30&lt;3,VLOOKUP(Info!$C$10,Rates!$A$14:$B$19,2,FALSE),IF(AJ30&lt;5,VLOOKUP(Info!$C$10,Rates!$A$14:$C$19,3,FALSE),VLOOKUP(Info!$C$10,Rates!$A$14:$D$19,4,FALSE)))),0)</f>
        <v/>
      </c>
      <c r="F30" s="13">
        <f>IF(AI30&lt;&gt;"",IF(Info!$C$16="بله",IF(AND(AJ30&lt;=Info!$F$20,AJ30&gt;=Info!$I$20),Info!$C$20,0)+(AG30-Y30-L30-K30-J30-I30-H30-G30),IF(AND(AJ30&lt;=Info!$F$20,AJ30&gt;=Info!$I$20),Info!$C$20,0)+(AG30-Y30-K30-J30-I30-H30-G30)),"")</f>
        <v/>
      </c>
      <c r="G30" s="106">
        <f>IF(AI30&lt;&gt;"",Rates!$AA$11*(L30),"")</f>
        <v/>
      </c>
      <c r="H30" s="106">
        <f>IF(AI30&lt;&gt;"",(Rates!$AC$11+Rates!$AB$11)*(L30),"")</f>
        <v/>
      </c>
      <c r="I30" s="13">
        <f>IF(AI30&lt;&gt;"",LOOKUP(Info!$C$8,Rates!$I$2:$I$7,Rates!$H$2:$H$7)*(J30+K30+L30+Y30),"")</f>
        <v/>
      </c>
      <c r="J30" s="13">
        <f>IF(N30="",0,N30)+IF(P30="",0,P30)+IF(Q30="",0,Q30)</f>
        <v/>
      </c>
      <c r="K30" s="13">
        <f>IF(Y30&lt;&gt;"",Info!$C$18*Y30,"")</f>
        <v/>
      </c>
      <c r="L30" s="13">
        <f>IF(R30="",0,R30)+IF(U30="",0,U30)+IF(W30="",0,W30)+IF(V30="",0,V30)+IF(T30="",0,T30)</f>
        <v/>
      </c>
      <c r="M30" s="13" t="n">
        <v>0</v>
      </c>
      <c r="N30" s="13" t="n">
        <v>0</v>
      </c>
      <c r="O30" s="12">
        <f>IF(AJ30&lt;=10,(1-Info!$C$25)*IF(OR(Info!$F$8&gt;0,Info!$F$10&gt;0),IF(0.75*$X$4&lt;=0.03*$AD$4,0.75*(X30-X29),0.03*(AD30-AD29)),0),"")</f>
        <v/>
      </c>
      <c r="P30" s="13">
        <f>IF(AJ30&lt;=5,IF(AI30&lt;&gt;"",0.002*AD30,"")*(1-Info!$I$25),0)</f>
        <v/>
      </c>
      <c r="Q30" s="13">
        <f>(1-Info!$F$25)*IF(AI30&lt;&gt;"",IF(Info!$C$16="بله",0.07*X30,0.07*AG30),"")</f>
        <v/>
      </c>
      <c r="R30" s="13">
        <f>IF(X30&lt;&gt;0,S30*X30,0)*(1-Info!$F$29)</f>
        <v/>
      </c>
      <c r="S30" s="106">
        <f>IF(Info!$I$14="خیر",0,IF(Info!$F$14="بله",IF(Info!$C$14=1,2.3,IF(Info!$C$14=2,3.3,4.3)),1))*IF(AND(AH30&lt;=Rates!$Y$8,AH30&gt;0),(1+Info!$C$18)*(1+LOOKUP(Info!$F$18,Rates!$O$2:$O$9,Rates!$L$2:$L$9)/100)*(LOOKUP(Info!$C$6,Rates!$T$2:$T$108,Rates!$R$2:$R$108)/100),0)</f>
        <v/>
      </c>
      <c r="T30" s="13">
        <f>IF(AI30&lt;71,(1-Info!$F$27)*((AB30*0.0008*(1+(LOOKUP(Info!$I$18,Rates!$O$2:$O$9,Rates!$M$2:$M$9)/100)))),0)</f>
        <v/>
      </c>
      <c r="U30" s="13">
        <f>IF(AI30&lt;71,(1-Info!$I$27)*(((AD30*0.0008*Info!$L$14))*(1+(LOOKUP(Info!$I$18,Rates!$O:$O,Rates!$N:$N)/100))),0)</f>
        <v/>
      </c>
      <c r="V30" s="13">
        <f>((Z30*0.0008))*(1+(LOOKUP(Info!$I$18,Rates!$O$2:$O$9,Rates!$M$2:$M$9)/100))*(1-Info!$C$27)</f>
        <v/>
      </c>
      <c r="W30" s="13">
        <f>IF(AND(AI30&lt;=Rates!$Y$2,AJ30&lt;=Info!$I$6,Info!$F$16="معمولی"),VLOOKUP(AI30,Rates!$T$1:$X$108,5,0),IF(AND(AI30&lt;=Rates!$Y$2,AJ30&lt;=Info!$I$6,Info!$F$16="پایه"),VLOOKUP(AI30,Rates!$T$1:$X$108,2,0),IF(AND(AI30&lt;=Rates!$Y$2,AJ30&lt;=Info!$I$6,Info!$F$16="آسایش "),VLOOKUP(AI30,Rates!$T$1:$X$108,3,0),IF(AND(AI30&lt;=Rates!$Y$2,AJ30&lt;=Info!$I$6,Info!$F$16="ممتاز"),VLOOKUP(AI30,Rates!$T$1:$X$108,4,0),0))))*AA30/1000000*(1+Info!$C$18)*(1-Info!$I$29)</f>
        <v/>
      </c>
      <c r="X30" s="113">
        <f>IF(Info!$C$16="بله",(AG30-W30-U30-V30-T30)/(1+S30),AG30)</f>
        <v/>
      </c>
      <c r="Y30" s="106">
        <f>IF(AI30&lt;&gt;0,(AD30*LOOKUP(AI30,Rates!$T$2:$T$108,Rates!$S$2:$S$108))/SQRT(1.1),0)</f>
        <v/>
      </c>
      <c r="Z30" s="106">
        <f>IF(AND(AI30&lt;=Rates!$Y$10,AI30&gt;=0),Info!$C$12*(AC30-AD30),0)</f>
        <v/>
      </c>
      <c r="AA30" s="13">
        <f>IF(AND(AI30&gt;=0,AI30&lt;=Rates!$Y$2,AG30&gt;0),MIN(AA29*(1+Info!$F$10),5000000000),0)</f>
        <v/>
      </c>
      <c r="AB30" s="106">
        <f>IF(AND(AI30&gt;=0,AI30&lt;=65),AD30*Info!$L$16,0)</f>
        <v/>
      </c>
      <c r="AC30" s="13">
        <f>IF(AND(AI30&gt;=0,AI30&lt;=Rates!$Y$3),AD30*(1+Info!$L$14),AD30)</f>
        <v/>
      </c>
      <c r="AD30" s="106">
        <f>IF(AI30&lt;&gt;0,AD29*(1+Info!$F$10),0)</f>
        <v/>
      </c>
      <c r="AE30" s="105">
        <f>IF(AI30&lt;&gt;0,AF30+AE29,0)</f>
        <v/>
      </c>
      <c r="AF30" s="13">
        <f>IF(AI30&gt;=0,IF(Info!$C$16="بله",AG30,AG30+L30),"")</f>
        <v/>
      </c>
      <c r="AG30" s="107">
        <f>IF(AI30&lt;&gt;0,AG29*(1+Info!$F$8),0)</f>
        <v/>
      </c>
      <c r="AH30" s="111">
        <f>IF(AJ30&lt;&gt;"",Info!$C$6+AJ30-1,0)</f>
        <v/>
      </c>
      <c r="AI30" s="17">
        <f>IF(AJ30&lt;&gt;"",IF(Info!$F$6+AJ30-1&lt;=Rates!$Y$11,Info!$F$6+AJ30-1,0),0)</f>
        <v/>
      </c>
      <c r="AJ30" s="18">
        <f>IF(AI29&lt;&gt;"",IF(AND(AJ29&lt;&gt;"",AI29+1&lt;=Rates!$Y$11),IF(AJ29&lt;&gt;0,IF(AJ29+1&lt;=Info!$I$6,AJ29+1,""),0),""),"")</f>
        <v/>
      </c>
    </row>
    <row r="31" ht="14.25" customFormat="1" customHeight="1" s="164">
      <c r="A31" s="11">
        <f>IF(B31&gt;0,IF(Info!$C$16="بله",AG31/B31,(AG31+L31)/B31),0)</f>
        <v/>
      </c>
      <c r="B31" s="11">
        <f>IF(AND(AI31&gt;=0,AJ31&lt;=Info!$I$6),LOOKUP(Info!$C$8,Rates!$I$2:$I$7,Rates!$F$2:$F$7),0)</f>
        <v/>
      </c>
      <c r="C31" s="12">
        <f>IF(AND(AI31&gt;=0,AJ31&lt;=Info!$I$6),F31+F31*(IF(AJ31&lt;3,VLOOKUP(Info!$C$10,Rates!$A$15:$B$19,2,FALSE),IF(AJ31&lt;5,VLOOKUP(Info!$C$10,Rates!$A$15:$C$19,3,FALSE),VLOOKUP(Info!$C$10,Rates!$A$15:$D$19,4,FALSE)))+(Info!$I$22-IF(AJ31&gt;4,LOOKUP(Info!$C$10,Rates!$D$2:$D$7,Rates!$A$2:$A$7),LOOKUP(Info!$C$10,Rates!$D$2:$D$7,Rates!$C$2:$C$7))))*LOOKUP(Info!$C$8,Rates!$I$2:$I$7,Rates!$G$2:$G$7)+C30*(1+IF(AJ31&lt;3,VLOOKUP(Info!$C$10,Rates!$A$15:$B$19,2,FALSE),IF(AJ31&lt;5,VLOOKUP(Info!$C$10,Rates!$A$15:$C$19,3,FALSE),VLOOKUP(Info!$C$10,Rates!$A$15:$D$19,4,FALSE)))+(Info!$I$22-IF(AJ31&lt;3,VLOOKUP(Info!$C$10,Rates!$A$15:$B$19,2,FALSE),IF(AJ31&lt;5,VLOOKUP(Info!$C$10,Rates!$A$15:$C$19,3,FALSE),VLOOKUP(Info!$C$10,Rates!$A$15:$D$19,4,FALSE))))),0)</f>
        <v/>
      </c>
      <c r="D31" s="12">
        <f>IF(AI31&lt;&gt;"",E31,"")</f>
        <v/>
      </c>
      <c r="E31" s="12">
        <f>IF(AI31&lt;&gt;0,F31*(1+IF(AJ31&lt;3,VLOOKUP(Info!$C$10,Rates!$A$14:$B$19,2,FALSE),IF(AJ31&lt;5,VLOOKUP(Info!$C$10,Rates!$A$14:$C$19,3,FALSE),VLOOKUP(Info!$C$10,Rates!$A$14:$D$19,4,FALSE)))*LOOKUP(Info!$C$8,Rates!$I$2:$I$8,Rates!$G$2:$G$8))+E30*(1+IF(AJ31&lt;3,VLOOKUP(Info!$C$10,Rates!$A$14:$B$19,2,FALSE),IF(AJ31&lt;5,VLOOKUP(Info!$C$10,Rates!$A$14:$C$19,3,FALSE),VLOOKUP(Info!$C$10,Rates!$A$14:$D$19,4,FALSE)))),0)</f>
        <v/>
      </c>
      <c r="F31" s="12">
        <f>IF(AI31&lt;&gt;"",IF(Info!$C$16="بله",IF(AND(AJ31&lt;=Info!$F$20,AJ31&gt;=Info!$I$20),Info!$C$20,0)+(AG31-Y31-L31-K31-J31-I31-H31-G31),IF(AND(AJ31&lt;=Info!$F$20,AJ31&gt;=Info!$I$20),Info!$C$20,0)+(AG31-Y31-K31-J31-I31-H31-G31)),"")</f>
        <v/>
      </c>
      <c r="G31" s="107">
        <f>IF(AI31&lt;&gt;"",Rates!$AA$11*(L31),"")</f>
        <v/>
      </c>
      <c r="H31" s="107">
        <f>IF(AI31&lt;&gt;"",(Rates!$AC$11+Rates!$AB$11)*(L31),"")</f>
        <v/>
      </c>
      <c r="I31" s="12">
        <f>IF(AI31&lt;&gt;"",LOOKUP(Info!$C$8,Rates!$I$2:$I$7,Rates!$H$2:$H$7)*(J31+K31+L31+Y31),"")</f>
        <v/>
      </c>
      <c r="J31" s="12">
        <f>IF(N31="",0,N31)+IF(P31="",0,P31)+IF(Q31="",0,Q31)</f>
        <v/>
      </c>
      <c r="K31" s="12">
        <f>IF(Y31&lt;&gt;"",Info!$C$18*Y31,"")</f>
        <v/>
      </c>
      <c r="L31" s="12">
        <f>IF(R31="",0,R31)+IF(U31="",0,U31)+IF(W31="",0,W31)+IF(V31="",0,V31)+IF(T31="",0,T31)</f>
        <v/>
      </c>
      <c r="M31" s="12" t="n">
        <v>0</v>
      </c>
      <c r="N31" s="12" t="n">
        <v>0</v>
      </c>
      <c r="O31" s="12">
        <f>IF(AJ31&lt;=10,(1-Info!$C$25)*IF(OR(Info!$F$8&gt;0,Info!$F$10&gt;0),IF(0.75*$X$4&lt;=0.03*$AD$4,0.75*(X31-X30),0.03*(AD31-AD30)),0),"")</f>
        <v/>
      </c>
      <c r="P31" s="12">
        <f>IF(AJ31&lt;=5,IF(AI31&lt;&gt;"",0.002*AD31,"")*(1-Info!$I$25),0)</f>
        <v/>
      </c>
      <c r="Q31" s="12">
        <f>(1-Info!$F$25)*IF(AI31&lt;&gt;"",IF(Info!$C$16="بله",0.07*X31,0.07*AG31),"")</f>
        <v/>
      </c>
      <c r="R31" s="12">
        <f>IF(X31&lt;&gt;0,S31*X31,0)*(1-Info!$F$29)</f>
        <v/>
      </c>
      <c r="S31" s="107">
        <f>IF(Info!$I$14="خیر",0,IF(Info!$F$14="بله",IF(Info!$C$14=1,2.3,IF(Info!$C$14=2,3.3,4.3)),1))*IF(AND(AH31&lt;=Rates!$Y$8,AH31&gt;0),(1+Info!$C$18)*(1+LOOKUP(Info!$F$18,Rates!$O$2:$O$9,Rates!$L$2:$L$9)/100)*(LOOKUP(Info!$C$6,Rates!$T$2:$T$108,Rates!$R$2:$R$108)/100),0)</f>
        <v/>
      </c>
      <c r="T31" s="12">
        <f>IF(AI31&lt;71,(1-Info!$F$27)*((AB31*0.0008*(1+(LOOKUP(Info!$I$18,Rates!$O$2:$O$9,Rates!$M$2:$M$9)/100)))),0)</f>
        <v/>
      </c>
      <c r="U31" s="12">
        <f>IF(AI31&lt;71,(1-Info!$I$27)*(((AD31*0.0008*Info!$L$14))*(1+(LOOKUP(Info!$I$18,Rates!$O:$O,Rates!$N:$N)/100))),0)</f>
        <v/>
      </c>
      <c r="V31" s="12">
        <f>((Z31*0.0008))*(1+(LOOKUP(Info!$I$18,Rates!$O$2:$O$9,Rates!$M$2:$M$9)/100))*(1-Info!$C$27)</f>
        <v/>
      </c>
      <c r="W31" s="12">
        <f>IF(AND(AI31&lt;=Rates!$Y$2,AJ31&lt;=Info!$I$6,Info!$F$16="معمولی"),VLOOKUP(AI31,Rates!$T$1:$X$108,5,0),IF(AND(AI31&lt;=Rates!$Y$2,AJ31&lt;=Info!$I$6,Info!$F$16="پایه"),VLOOKUP(AI31,Rates!$T$1:$X$108,2,0),IF(AND(AI31&lt;=Rates!$Y$2,AJ31&lt;=Info!$I$6,Info!$F$16="آسایش "),VLOOKUP(AI31,Rates!$T$1:$X$108,3,0),IF(AND(AI31&lt;=Rates!$Y$2,AJ31&lt;=Info!$I$6,Info!$F$16="ممتاز"),VLOOKUP(AI31,Rates!$T$1:$X$108,4,0),0))))*AA31/1000000*(1+Info!$C$18)*(1-Info!$I$29)</f>
        <v/>
      </c>
      <c r="X31" s="12">
        <f>IF(Info!$C$16="بله",(AG31-W31-U31-V31-T31)/(1+S31),AG31)</f>
        <v/>
      </c>
      <c r="Y31" s="107">
        <f>IF(AI31&lt;&gt;0,(AD31*LOOKUP(AI31,Rates!$T$2:$T$108,Rates!$S$2:$S$108))/SQRT(1.1),0)</f>
        <v/>
      </c>
      <c r="Z31" s="107">
        <f>IF(AND(AI31&lt;=Rates!$Y$10,AI31&gt;=0),Info!$C$12*(AC31-AD31),0)</f>
        <v/>
      </c>
      <c r="AA31" s="12">
        <f>IF(AND(AI31&gt;=0,AI31&lt;=Rates!$Y$2,AG31&gt;0),MIN(AA30*(1+Info!$F$10),5000000000),0)</f>
        <v/>
      </c>
      <c r="AB31" s="107">
        <f>IF(AND(AI31&gt;=0,AI31&lt;=65),AD31*Info!$L$16,0)</f>
        <v/>
      </c>
      <c r="AC31" s="12">
        <f>IF(AND(AI31&gt;=0,AI31&lt;=Rates!$Y$3),AD31*(1+Info!$L$14),AD31)</f>
        <v/>
      </c>
      <c r="AD31" s="107">
        <f>IF(AI31&lt;&gt;0,AD30*(1+Info!$F$10),0)</f>
        <v/>
      </c>
      <c r="AE31" s="104">
        <f>IF(AI31&lt;&gt;0,AF31+AE30,0)</f>
        <v/>
      </c>
      <c r="AF31" s="12">
        <f>IF(AI31&gt;=0,IF(Info!$C$16="بله",AG31,AG31+L31),"")</f>
        <v/>
      </c>
      <c r="AG31" s="107">
        <f>IF(AI31&lt;&gt;0,AG30*(1+Info!$F$8),0)</f>
        <v/>
      </c>
      <c r="AH31" s="110">
        <f>IF(AJ31&lt;&gt;"",Info!$C$6+AJ31-1,0)</f>
        <v/>
      </c>
      <c r="AI31" s="14">
        <f>IF(AJ31&lt;&gt;"",IF(Info!$F$6+AJ31-1&lt;=Rates!$Y$11,Info!$F$6+AJ31-1,0),0)</f>
        <v/>
      </c>
      <c r="AJ31" s="15">
        <f>IF(AI30&lt;&gt;"",IF(AND(AJ30&lt;&gt;"",AI30+1&lt;=Rates!$Y$11),IF(AJ30&lt;&gt;0,IF(AJ30+1&lt;=Info!$I$6,AJ30+1,""),0),""),"")</f>
        <v/>
      </c>
    </row>
    <row r="32" ht="14.25" customFormat="1" customHeight="1" s="164">
      <c r="A32" s="16">
        <f>IF(B32&gt;0,IF(Info!$C$16="بله",AG32/B32,(AG32+L32)/B32),0)</f>
        <v/>
      </c>
      <c r="B32" s="16">
        <f>IF(AND(AI32&gt;=0,AJ32&lt;=Info!$I$6),LOOKUP(Info!$C$8,Rates!$I$2:$I$7,Rates!$F$2:$F$7),0)</f>
        <v/>
      </c>
      <c r="C32" s="13">
        <f>IF(AND(AI32&gt;=0,AJ32&lt;=Info!$I$6),F32+F32*(IF(AJ32&lt;3,VLOOKUP(Info!$C$10,Rates!$A$15:$B$19,2,FALSE),IF(AJ32&lt;5,VLOOKUP(Info!$C$10,Rates!$A$15:$C$19,3,FALSE),VLOOKUP(Info!$C$10,Rates!$A$15:$D$19,4,FALSE)))+(Info!$I$22-IF(AJ32&gt;4,LOOKUP(Info!$C$10,Rates!$D$2:$D$7,Rates!$A$2:$A$7),LOOKUP(Info!$C$10,Rates!$D$2:$D$7,Rates!$C$2:$C$7))))*LOOKUP(Info!$C$8,Rates!$I$2:$I$7,Rates!$G$2:$G$7)+C31*(1+IF(AJ32&lt;3,VLOOKUP(Info!$C$10,Rates!$A$15:$B$19,2,FALSE),IF(AJ32&lt;5,VLOOKUP(Info!$C$10,Rates!$A$15:$C$19,3,FALSE),VLOOKUP(Info!$C$10,Rates!$A$15:$D$19,4,FALSE)))+(Info!$I$22-IF(AJ32&lt;3,VLOOKUP(Info!$C$10,Rates!$A$15:$B$19,2,FALSE),IF(AJ32&lt;5,VLOOKUP(Info!$C$10,Rates!$A$15:$C$19,3,FALSE),VLOOKUP(Info!$C$10,Rates!$A$15:$D$19,4,FALSE))))),0)</f>
        <v/>
      </c>
      <c r="D32" s="13">
        <f>IF(AI32&lt;&gt;"",E32,"")</f>
        <v/>
      </c>
      <c r="E32" s="12">
        <f>IF(AI32&lt;&gt;0,F32*(1+IF(AJ32&lt;3,VLOOKUP(Info!$C$10,Rates!$A$14:$B$19,2,FALSE),IF(AJ32&lt;5,VLOOKUP(Info!$C$10,Rates!$A$14:$C$19,3,FALSE),VLOOKUP(Info!$C$10,Rates!$A$14:$D$19,4,FALSE)))*LOOKUP(Info!$C$8,Rates!$I$2:$I$8,Rates!$G$2:$G$8))+E31*(1+IF(AJ32&lt;3,VLOOKUP(Info!$C$10,Rates!$A$14:$B$19,2,FALSE),IF(AJ32&lt;5,VLOOKUP(Info!$C$10,Rates!$A$14:$C$19,3,FALSE),VLOOKUP(Info!$C$10,Rates!$A$14:$D$19,4,FALSE)))),0)</f>
        <v/>
      </c>
      <c r="F32" s="13">
        <f>IF(AI32&lt;&gt;"",IF(Info!$C$16="بله",IF(AND(AJ32&lt;=Info!$F$20,AJ32&gt;=Info!$I$20),Info!$C$20,0)+(AG32-Y32-L32-K32-J32-I32-H32-G32),IF(AND(AJ32&lt;=Info!$F$20,AJ32&gt;=Info!$I$20),Info!$C$20,0)+(AG32-Y32-K32-J32-I32-H32-G32)),"")</f>
        <v/>
      </c>
      <c r="G32" s="106">
        <f>IF(AI32&lt;&gt;"",Rates!$AA$11*(L32),"")</f>
        <v/>
      </c>
      <c r="H32" s="106">
        <f>IF(AI32&lt;&gt;"",(Rates!$AC$11+Rates!$AB$11)*(L32),"")</f>
        <v/>
      </c>
      <c r="I32" s="13">
        <f>IF(AI32&lt;&gt;"",LOOKUP(Info!$C$8,Rates!$I$2:$I$7,Rates!$H$2:$H$7)*(J32+K32+L32+Y32),"")</f>
        <v/>
      </c>
      <c r="J32" s="13">
        <f>IF(N32="",0,N32)+IF(P32="",0,P32)+IF(Q32="",0,Q32)</f>
        <v/>
      </c>
      <c r="K32" s="13">
        <f>IF(Y32&lt;&gt;"",Info!$C$18*Y32,"")</f>
        <v/>
      </c>
      <c r="L32" s="13">
        <f>IF(R32="",0,R32)+IF(U32="",0,U32)+IF(W32="",0,W32)+IF(V32="",0,V32)+IF(T32="",0,T32)</f>
        <v/>
      </c>
      <c r="M32" s="13" t="n">
        <v>0</v>
      </c>
      <c r="N32" s="13" t="n">
        <v>0</v>
      </c>
      <c r="O32" s="12">
        <f>IF(AJ32&lt;=10,(1-Info!$C$25)*IF(OR(Info!$F$8&gt;0,Info!$F$10&gt;0),IF(0.75*$X$4&lt;=0.03*$AD$4,0.75*(X32-X31),0.03*(AD32-AD31)),0),"")</f>
        <v/>
      </c>
      <c r="P32" s="13">
        <f>IF(AJ32&lt;=5,IF(AI32&lt;&gt;"",0.002*AD32,"")*(1-Info!$I$25),0)</f>
        <v/>
      </c>
      <c r="Q32" s="13">
        <f>(1-Info!$F$25)*IF(AI32&lt;&gt;"",IF(Info!$C$16="بله",0.07*X32,0.07*AG32),"")</f>
        <v/>
      </c>
      <c r="R32" s="13">
        <f>IF(X32&lt;&gt;0,S32*X32,0)*(1-Info!$F$29)</f>
        <v/>
      </c>
      <c r="S32" s="106">
        <f>IF(Info!$I$14="خیر",0,IF(Info!$F$14="بله",IF(Info!$C$14=1,2.3,IF(Info!$C$14=2,3.3,4.3)),1))*IF(AND(AH32&lt;=Rates!$Y$8,AH32&gt;0),(1+Info!$C$18)*(1+LOOKUP(Info!$F$18,Rates!$O$2:$O$9,Rates!$L$2:$L$9)/100)*(LOOKUP(Info!$C$6,Rates!$T$2:$T$108,Rates!$R$2:$R$108)/100),0)</f>
        <v/>
      </c>
      <c r="T32" s="13">
        <f>IF(AI32&lt;71,(1-Info!$F$27)*((AB32*0.0008*(1+(LOOKUP(Info!$I$18,Rates!$O$2:$O$9,Rates!$M$2:$M$9)/100)))),0)</f>
        <v/>
      </c>
      <c r="U32" s="13">
        <f>IF(AI32&lt;71,(1-Info!$I$27)*(((AD32*0.0008*Info!$L$14))*(1+(LOOKUP(Info!$I$18,Rates!$O:$O,Rates!$N:$N)/100))),0)</f>
        <v/>
      </c>
      <c r="V32" s="13">
        <f>((Z32*0.0008))*(1+(LOOKUP(Info!$I$18,Rates!$O$2:$O$9,Rates!$M$2:$M$9)/100))*(1-Info!$C$27)</f>
        <v/>
      </c>
      <c r="W32" s="13">
        <f>IF(AND(AI32&lt;=Rates!$Y$2,AJ32&lt;=Info!$I$6,Info!$F$16="معمولی"),VLOOKUP(AI32,Rates!$T$1:$X$108,5,0),IF(AND(AI32&lt;=Rates!$Y$2,AJ32&lt;=Info!$I$6,Info!$F$16="پایه"),VLOOKUP(AI32,Rates!$T$1:$X$108,2,0),IF(AND(AI32&lt;=Rates!$Y$2,AJ32&lt;=Info!$I$6,Info!$F$16="آسایش "),VLOOKUP(AI32,Rates!$T$1:$X$108,3,0),IF(AND(AI32&lt;=Rates!$Y$2,AJ32&lt;=Info!$I$6,Info!$F$16="ممتاز"),VLOOKUP(AI32,Rates!$T$1:$X$108,4,0),0))))*AA32/1000000*(1+Info!$C$18)*(1-Info!$I$29)</f>
        <v/>
      </c>
      <c r="X32" s="113">
        <f>IF(Info!$C$16="بله",(AG32-W32-U32-V32-T32)/(1+S32),AG32)</f>
        <v/>
      </c>
      <c r="Y32" s="106">
        <f>IF(AI32&lt;&gt;0,(AD32*LOOKUP(AI32,Rates!$T$2:$T$108,Rates!$S$2:$S$108))/SQRT(1.1),0)</f>
        <v/>
      </c>
      <c r="Z32" s="106">
        <f>IF(AND(AI32&lt;=Rates!$Y$10,AI32&gt;=0),Info!$C$12*(AC32-AD32),0)</f>
        <v/>
      </c>
      <c r="AA32" s="13">
        <f>IF(AND(AI32&gt;=0,AI32&lt;=Rates!$Y$2,AG32&gt;0),MIN(AA31*(1+Info!$F$10),5000000000),0)</f>
        <v/>
      </c>
      <c r="AB32" s="106">
        <f>IF(AND(AI32&gt;=0,AI32&lt;=65),AD32*Info!$L$16,0)</f>
        <v/>
      </c>
      <c r="AC32" s="13">
        <f>IF(AND(AI32&gt;=0,AI32&lt;=Rates!$Y$3),AD32*(1+Info!$L$14),AD32)</f>
        <v/>
      </c>
      <c r="AD32" s="106">
        <f>IF(AI32&lt;&gt;0,AD31*(1+Info!$F$10),0)</f>
        <v/>
      </c>
      <c r="AE32" s="105">
        <f>IF(AI32&lt;&gt;0,AF32+AE31,0)</f>
        <v/>
      </c>
      <c r="AF32" s="13">
        <f>IF(AI32&gt;=0,IF(Info!$C$16="بله",AG32,AG32+L32),"")</f>
        <v/>
      </c>
      <c r="AG32" s="107">
        <f>IF(AI32&lt;&gt;0,AG31*(1+Info!$F$8),0)</f>
        <v/>
      </c>
      <c r="AH32" s="111">
        <f>IF(AJ32&lt;&gt;"",Info!$C$6+AJ32-1,0)</f>
        <v/>
      </c>
      <c r="AI32" s="17">
        <f>IF(AJ32&lt;&gt;"",IF(Info!$F$6+AJ32-1&lt;=Rates!$Y$11,Info!$F$6+AJ32-1,0),0)</f>
        <v/>
      </c>
      <c r="AJ32" s="18">
        <f>IF(AI31&lt;&gt;"",IF(AND(AJ31&lt;&gt;"",AI31+1&lt;=Rates!$Y$11),IF(AJ31&lt;&gt;0,IF(AJ31+1&lt;=Info!$I$6,AJ31+1,""),0),""),"")</f>
        <v/>
      </c>
    </row>
    <row r="33" ht="14.25" customFormat="1" customHeight="1" s="164">
      <c r="A33" s="11">
        <f>IF(B33&gt;0,IF(Info!$C$16="بله",AG33/B33,(AG33+L33)/B33),0)</f>
        <v/>
      </c>
      <c r="B33" s="11">
        <f>IF(AND(AI33&gt;=0,AJ33&lt;=Info!$I$6),LOOKUP(Info!$C$8,Rates!$I$2:$I$7,Rates!$F$2:$F$7),0)</f>
        <v/>
      </c>
      <c r="C33" s="12">
        <f>IF(AND(AI33&gt;=0,AJ33&lt;=Info!$I$6),F33+F33*(IF(AJ33&lt;3,VLOOKUP(Info!$C$10,Rates!$A$15:$B$19,2,FALSE),IF(AJ33&lt;5,VLOOKUP(Info!$C$10,Rates!$A$15:$C$19,3,FALSE),VLOOKUP(Info!$C$10,Rates!$A$15:$D$19,4,FALSE)))+(Info!$I$22-IF(AJ33&gt;4,LOOKUP(Info!$C$10,Rates!$D$2:$D$7,Rates!$A$2:$A$7),LOOKUP(Info!$C$10,Rates!$D$2:$D$7,Rates!$C$2:$C$7))))*LOOKUP(Info!$C$8,Rates!$I$2:$I$7,Rates!$G$2:$G$7)+C32*(1+IF(AJ33&lt;3,VLOOKUP(Info!$C$10,Rates!$A$15:$B$19,2,FALSE),IF(AJ33&lt;5,VLOOKUP(Info!$C$10,Rates!$A$15:$C$19,3,FALSE),VLOOKUP(Info!$C$10,Rates!$A$15:$D$19,4,FALSE)))+(Info!$I$22-IF(AJ33&lt;3,VLOOKUP(Info!$C$10,Rates!$A$15:$B$19,2,FALSE),IF(AJ33&lt;5,VLOOKUP(Info!$C$10,Rates!$A$15:$C$19,3,FALSE),VLOOKUP(Info!$C$10,Rates!$A$15:$D$19,4,FALSE))))),0)</f>
        <v/>
      </c>
      <c r="D33" s="12">
        <f>IF(AI33&lt;&gt;"",E33,"")</f>
        <v/>
      </c>
      <c r="E33" s="12">
        <f>IF(AI33&lt;&gt;0,F33*(1+IF(AJ33&lt;3,VLOOKUP(Info!$C$10,Rates!$A$14:$B$19,2,FALSE),IF(AJ33&lt;5,VLOOKUP(Info!$C$10,Rates!$A$14:$C$19,3,FALSE),VLOOKUP(Info!$C$10,Rates!$A$14:$D$19,4,FALSE)))*LOOKUP(Info!$C$8,Rates!$I$2:$I$8,Rates!$G$2:$G$8))+E32*(1+IF(AJ33&lt;3,VLOOKUP(Info!$C$10,Rates!$A$14:$B$19,2,FALSE),IF(AJ33&lt;5,VLOOKUP(Info!$C$10,Rates!$A$14:$C$19,3,FALSE),VLOOKUP(Info!$C$10,Rates!$A$14:$D$19,4,FALSE)))),0)</f>
        <v/>
      </c>
      <c r="F33" s="12">
        <f>IF(AI33&lt;&gt;"",IF(Info!$C$16="بله",IF(AND(AJ33&lt;=Info!$F$20,AJ33&gt;=Info!$I$20),Info!$C$20,0)+(AG33-Y33-L33-K33-J33-I33-H33-G33),IF(AND(AJ33&lt;=Info!$F$20,AJ33&gt;=Info!$I$20),Info!$C$20,0)+(AG33-Y33-K33-J33-I33-H33-G33)),"")</f>
        <v/>
      </c>
      <c r="G33" s="107">
        <f>IF(AI33&lt;&gt;"",Rates!$AA$11*(L33),"")</f>
        <v/>
      </c>
      <c r="H33" s="107">
        <f>IF(AI33&lt;&gt;"",(Rates!$AC$11+Rates!$AB$11)*(L33),"")</f>
        <v/>
      </c>
      <c r="I33" s="12">
        <f>IF(AI33&lt;&gt;"",LOOKUP(Info!$C$8,Rates!$I$2:$I$7,Rates!$H$2:$H$7)*(J33+K33+L33+Y33),"")</f>
        <v/>
      </c>
      <c r="J33" s="12">
        <f>IF(N33="",0,N33)+IF(P33="",0,P33)+IF(Q33="",0,Q33)</f>
        <v/>
      </c>
      <c r="K33" s="12">
        <f>IF(Y33&lt;&gt;"",Info!$C$18*Y33,"")</f>
        <v/>
      </c>
      <c r="L33" s="12">
        <f>IF(R33="",0,R33)+IF(U33="",0,U33)+IF(W33="",0,W33)+IF(V33="",0,V33)+IF(T33="",0,T33)</f>
        <v/>
      </c>
      <c r="M33" s="12" t="n">
        <v>0</v>
      </c>
      <c r="N33" s="12" t="n">
        <v>0</v>
      </c>
      <c r="O33" s="12">
        <f>IF(AJ33&lt;=10,(1-Info!$C$25)*IF(OR(Info!$F$8&gt;0,Info!$F$10&gt;0),IF(0.75*$X$4&lt;=0.03*$AD$4,0.75*(X33-X32),0.03*(AD33-AD32)),0),"")</f>
        <v/>
      </c>
      <c r="P33" s="12">
        <f>IF(AJ33&lt;=5,IF(AI33&lt;&gt;"",0.002*AD33,"")*(1-Info!$I$25),0)</f>
        <v/>
      </c>
      <c r="Q33" s="12">
        <f>(1-Info!$F$25)*IF(AI33&lt;&gt;"",IF(Info!$C$16="بله",0.07*X33,0.07*AG33),"")</f>
        <v/>
      </c>
      <c r="R33" s="12">
        <f>IF(X33&lt;&gt;0,S33*X33,0)*(1-Info!$F$29)</f>
        <v/>
      </c>
      <c r="S33" s="107">
        <f>IF(Info!$I$14="خیر",0,IF(Info!$F$14="بله",IF(Info!$C$14=1,2.3,IF(Info!$C$14=2,3.3,4.3)),1))*IF(AND(AH33&lt;=Rates!$Y$8,AH33&gt;0),(1+Info!$C$18)*(1+LOOKUP(Info!$F$18,Rates!$O$2:$O$9,Rates!$L$2:$L$9)/100)*(LOOKUP(Info!$C$6,Rates!$T$2:$T$108,Rates!$R$2:$R$108)/100),0)</f>
        <v/>
      </c>
      <c r="T33" s="12">
        <f>IF(AI33&lt;71,(1-Info!$F$27)*((AB33*0.0008*(1+(LOOKUP(Info!$I$18,Rates!$O$2:$O$9,Rates!$M$2:$M$9)/100)))),0)</f>
        <v/>
      </c>
      <c r="U33" s="12">
        <f>IF(AI33&lt;71,(1-Info!$I$27)*(((AD33*0.0008*Info!$L$14))*(1+(LOOKUP(Info!$I$18,Rates!$O:$O,Rates!$N:$N)/100))),0)</f>
        <v/>
      </c>
      <c r="V33" s="12">
        <f>((Z33*0.0008))*(1+(LOOKUP(Info!$I$18,Rates!$O$2:$O$9,Rates!$M$2:$M$9)/100))*(1-Info!$C$27)</f>
        <v/>
      </c>
      <c r="W33" s="12">
        <f>IF(AND(AI33&lt;=Rates!$Y$2,AJ33&lt;=Info!$I$6,Info!$F$16="معمولی"),VLOOKUP(AI33,Rates!$T$1:$X$108,5,0),IF(AND(AI33&lt;=Rates!$Y$2,AJ33&lt;=Info!$I$6,Info!$F$16="پایه"),VLOOKUP(AI33,Rates!$T$1:$X$108,2,0),IF(AND(AI33&lt;=Rates!$Y$2,AJ33&lt;=Info!$I$6,Info!$F$16="آسایش "),VLOOKUP(AI33,Rates!$T$1:$X$108,3,0),IF(AND(AI33&lt;=Rates!$Y$2,AJ33&lt;=Info!$I$6,Info!$F$16="ممتاز"),VLOOKUP(AI33,Rates!$T$1:$X$108,4,0),0))))*AA33/1000000*(1+Info!$C$18)*(1-Info!$I$29)</f>
        <v/>
      </c>
      <c r="X33" s="12">
        <f>IF(Info!$C$16="بله",(AG33-W33-U33-V33-T33)/(1+S33),AG33)</f>
        <v/>
      </c>
      <c r="Y33" s="107">
        <f>IF(AI33&lt;&gt;0,(AD33*LOOKUP(AI33,Rates!$T$2:$T$108,Rates!$S$2:$S$108))/SQRT(1.1),0)</f>
        <v/>
      </c>
      <c r="Z33" s="107">
        <f>IF(AND(AI33&lt;=Rates!$Y$10,AI33&gt;=0),Info!$C$12*(AC33-AD33),0)</f>
        <v/>
      </c>
      <c r="AA33" s="12">
        <f>IF(AND(AI33&gt;=0,AI33&lt;=Rates!$Y$2,AG33&gt;0),MIN(AA32*(1+Info!$F$10),5000000000),0)</f>
        <v/>
      </c>
      <c r="AB33" s="107">
        <f>IF(AND(AI33&gt;=0,AI33&lt;=65),AD33*Info!$L$16,0)</f>
        <v/>
      </c>
      <c r="AC33" s="12">
        <f>IF(AND(AI33&gt;=0,AI33&lt;=Rates!$Y$3),AD33*(1+Info!$L$14),AD33)</f>
        <v/>
      </c>
      <c r="AD33" s="107">
        <f>IF(AI33&lt;&gt;0,AD32*(1+Info!$F$10),0)</f>
        <v/>
      </c>
      <c r="AE33" s="104">
        <f>IF(AI33&lt;&gt;0,AF33+AE32,0)</f>
        <v/>
      </c>
      <c r="AF33" s="12">
        <f>IF(AI33&gt;=0,IF(Info!$C$16="بله",AG33,AG33+L33),"")</f>
        <v/>
      </c>
      <c r="AG33" s="107">
        <f>IF(AI33&lt;&gt;0,AG32*(1+Info!$F$8),0)</f>
        <v/>
      </c>
      <c r="AH33" s="110">
        <f>IF(AJ33&lt;&gt;"",Info!$C$6+AJ33-1,0)</f>
        <v/>
      </c>
      <c r="AI33" s="14">
        <f>IF(AJ33&lt;&gt;"",IF(Info!$F$6+AJ33-1&lt;=Rates!$Y$11,Info!$F$6+AJ33-1,0),0)</f>
        <v/>
      </c>
      <c r="AJ33" s="15">
        <f>IF(AI32&lt;&gt;"",IF(AND(AJ32&lt;&gt;"",AI32+1&lt;=Rates!$Y$11),IF(AJ32&lt;&gt;0,IF(AJ32+1&lt;=Info!$I$6,AJ32+1,""),0),""),"")</f>
        <v/>
      </c>
    </row>
    <row r="34" ht="14.25" customFormat="1" customHeight="1" s="164">
      <c r="A34" s="16">
        <f>IF(B34&gt;0,IF(Info!$C$16="بله",AG34/B34,(AG34+L34)/B34),0)</f>
        <v/>
      </c>
      <c r="B34" s="16">
        <f>IF(AND(AI34&gt;=0,AJ34&lt;=Info!$I$6),LOOKUP(Info!$C$8,Rates!$I$2:$I$7,Rates!$F$2:$F$7),0)</f>
        <v/>
      </c>
      <c r="C34" s="13">
        <f>IF(AND(AI34&gt;=0,AJ34&lt;=Info!$I$6),F34+F34*(IF(AJ34&lt;3,VLOOKUP(Info!$C$10,Rates!$A$15:$B$19,2,FALSE),IF(AJ34&lt;5,VLOOKUP(Info!$C$10,Rates!$A$15:$C$19,3,FALSE),VLOOKUP(Info!$C$10,Rates!$A$15:$D$19,4,FALSE)))+(Info!$I$22-IF(AJ34&gt;4,LOOKUP(Info!$C$10,Rates!$D$2:$D$7,Rates!$A$2:$A$7),LOOKUP(Info!$C$10,Rates!$D$2:$D$7,Rates!$C$2:$C$7))))*LOOKUP(Info!$C$8,Rates!$I$2:$I$7,Rates!$G$2:$G$7)+C33*(1+IF(AJ34&lt;3,VLOOKUP(Info!$C$10,Rates!$A$15:$B$19,2,FALSE),IF(AJ34&lt;5,VLOOKUP(Info!$C$10,Rates!$A$15:$C$19,3,FALSE),VLOOKUP(Info!$C$10,Rates!$A$15:$D$19,4,FALSE)))+(Info!$I$22-IF(AJ34&lt;3,VLOOKUP(Info!$C$10,Rates!$A$15:$B$19,2,FALSE),IF(AJ34&lt;5,VLOOKUP(Info!$C$10,Rates!$A$15:$C$19,3,FALSE),VLOOKUP(Info!$C$10,Rates!$A$15:$D$19,4,FALSE))))),0)</f>
        <v/>
      </c>
      <c r="D34" s="13">
        <f>IF(AI34&lt;&gt;"",E34,"")</f>
        <v/>
      </c>
      <c r="E34" s="12">
        <f>IF(AI34&lt;&gt;0,F34*(1+IF(AJ34&lt;3,VLOOKUP(Info!$C$10,Rates!$A$14:$B$19,2,FALSE),IF(AJ34&lt;5,VLOOKUP(Info!$C$10,Rates!$A$14:$C$19,3,FALSE),VLOOKUP(Info!$C$10,Rates!$A$14:$D$19,4,FALSE)))*LOOKUP(Info!$C$8,Rates!$I$2:$I$8,Rates!$G$2:$G$8))+E33*(1+IF(AJ34&lt;3,VLOOKUP(Info!$C$10,Rates!$A$14:$B$19,2,FALSE),IF(AJ34&lt;5,VLOOKUP(Info!$C$10,Rates!$A$14:$C$19,3,FALSE),VLOOKUP(Info!$C$10,Rates!$A$14:$D$19,4,FALSE)))),0)</f>
        <v/>
      </c>
      <c r="F34" s="13">
        <f>IF(AI34&lt;&gt;"",IF(Info!$C$16="بله",IF(AND(AJ34&lt;=Info!$F$20,AJ34&gt;=Info!$I$20),Info!$C$20,0)+(AG34-Y34-L34-K34-J34-I34-H34-G34),IF(AND(AJ34&lt;=Info!$F$20,AJ34&gt;=Info!$I$20),Info!$C$20,0)+(AG34-Y34-K34-J34-I34-H34-G34)),"")</f>
        <v/>
      </c>
      <c r="G34" s="106">
        <f>IF(AI34&lt;&gt;"",Rates!$AA$11*(L34),"")</f>
        <v/>
      </c>
      <c r="H34" s="106">
        <f>IF(AI34&lt;&gt;"",(Rates!$AC$11+Rates!$AB$11)*(L34),"")</f>
        <v/>
      </c>
      <c r="I34" s="13">
        <f>IF(AI34&lt;&gt;"",LOOKUP(Info!$C$8,Rates!$I$2:$I$7,Rates!$H$2:$H$7)*(J34+K34+L34+Y34),"")</f>
        <v/>
      </c>
      <c r="J34" s="13">
        <f>IF(N34="",0,N34)+IF(P34="",0,P34)+IF(Q34="",0,Q34)</f>
        <v/>
      </c>
      <c r="K34" s="13">
        <f>IF(Y34&lt;&gt;"",Info!$C$18*Y34,"")</f>
        <v/>
      </c>
      <c r="L34" s="13">
        <f>IF(R34="",0,R34)+IF(U34="",0,U34)+IF(W34="",0,W34)+IF(V34="",0,V34)+IF(T34="",0,T34)</f>
        <v/>
      </c>
      <c r="M34" s="13" t="n">
        <v>0</v>
      </c>
      <c r="N34" s="13" t="n">
        <v>0</v>
      </c>
      <c r="O34" s="12">
        <f>IF(AJ34&lt;=10,(1-Info!$C$25)*IF(OR(Info!$F$8&gt;0,Info!$F$10&gt;0),IF(0.75*$X$4&lt;=0.03*$AD$4,0.75*(X34-X33),0.03*(AD34-AD33)),0),"")</f>
        <v/>
      </c>
      <c r="P34" s="13">
        <f>IF(AJ34&lt;=5,IF(AI34&lt;&gt;"",0.002*AD34,"")*(1-Info!$I$25),0)</f>
        <v/>
      </c>
      <c r="Q34" s="13">
        <f>(1-Info!$F$25)*IF(AI34&lt;&gt;"",IF(Info!$C$16="بله",0.07*X34,0.07*AG34),"")</f>
        <v/>
      </c>
      <c r="R34" s="13">
        <f>IF(X34&lt;&gt;0,S34*X34,0)*(1-Info!$F$29)</f>
        <v/>
      </c>
      <c r="S34" s="106">
        <f>IF(Info!$I$14="خیر",0,IF(Info!$F$14="بله",IF(Info!$C$14=1,2.3,IF(Info!$C$14=2,3.3,4.3)),1))*IF(AND(AH34&lt;=Rates!$Y$8,AH34&gt;0),(1+Info!$C$18)*(1+LOOKUP(Info!$F$18,Rates!$O$2:$O$9,Rates!$L$2:$L$9)/100)*(LOOKUP(Info!$C$6,Rates!$T$2:$T$108,Rates!$R$2:$R$108)/100),0)</f>
        <v/>
      </c>
      <c r="T34" s="13">
        <f>IF(AI34&lt;71,(1-Info!$F$27)*((AB34*0.0008*(1+(LOOKUP(Info!$I$18,Rates!$O$2:$O$9,Rates!$M$2:$M$9)/100)))),0)</f>
        <v/>
      </c>
      <c r="U34" s="13">
        <f>IF(AI34&lt;71,(1-Info!$I$27)*(((AD34*0.0008*Info!$L$14))*(1+(LOOKUP(Info!$I$18,Rates!$O:$O,Rates!$N:$N)/100))),0)</f>
        <v/>
      </c>
      <c r="V34" s="13">
        <f>((Z34*0.0008))*(1+(LOOKUP(Info!$I$18,Rates!$O$2:$O$9,Rates!$M$2:$M$9)/100))*(1-Info!$C$27)</f>
        <v/>
      </c>
      <c r="W34" s="13">
        <f>IF(AND(AI34&lt;=Rates!$Y$2,AJ34&lt;=Info!$I$6,Info!$F$16="معمولی"),VLOOKUP(AI34,Rates!$T$1:$X$108,5,0),IF(AND(AI34&lt;=Rates!$Y$2,AJ34&lt;=Info!$I$6,Info!$F$16="پایه"),VLOOKUP(AI34,Rates!$T$1:$X$108,2,0),IF(AND(AI34&lt;=Rates!$Y$2,AJ34&lt;=Info!$I$6,Info!$F$16="آسایش "),VLOOKUP(AI34,Rates!$T$1:$X$108,3,0),IF(AND(AI34&lt;=Rates!$Y$2,AJ34&lt;=Info!$I$6,Info!$F$16="ممتاز"),VLOOKUP(AI34,Rates!$T$1:$X$108,4,0),0))))*AA34/1000000*(1+Info!$C$18)*(1-Info!$I$29)</f>
        <v/>
      </c>
      <c r="X34" s="113">
        <f>IF(Info!$C$16="بله",(AG34-W34-U34-V34-T34)/(1+S34),AG34)</f>
        <v/>
      </c>
      <c r="Y34" s="106">
        <f>IF(AI34&lt;&gt;0,(AD34*LOOKUP(AI34,Rates!$T$2:$T$108,Rates!$S$2:$S$108))/SQRT(1.1),0)</f>
        <v/>
      </c>
      <c r="Z34" s="106">
        <f>IF(AND(AI34&lt;=Rates!$Y$10,AI34&gt;=0),Info!$C$12*(AC34-AD34),0)</f>
        <v/>
      </c>
      <c r="AA34" s="13">
        <f>IF(AND(AI34&gt;=0,AI34&lt;=Rates!$Y$2,AG34&gt;0),MIN(AA33*(1+Info!$F$10),5000000000),0)</f>
        <v/>
      </c>
      <c r="AB34" s="106">
        <f>IF(AND(AI34&gt;=0,AI34&lt;=65),AD34*Info!$L$16,0)</f>
        <v/>
      </c>
      <c r="AC34" s="13">
        <f>IF(AND(AI34&gt;=0,AI34&lt;=Rates!$Y$3),AD34*(1+Info!$L$14),AD34)</f>
        <v/>
      </c>
      <c r="AD34" s="106">
        <f>IF(AI34&lt;&gt;0,AD33*(1+Info!$F$10),0)</f>
        <v/>
      </c>
      <c r="AE34" s="105">
        <f>IF(AI34&lt;&gt;0,AF34+AE33,0)</f>
        <v/>
      </c>
      <c r="AF34" s="13">
        <f>IF(AI34&gt;=0,IF(Info!$C$16="بله",AG34,AG34+L34),"")</f>
        <v/>
      </c>
      <c r="AG34" s="107">
        <f>IF(AI34&lt;&gt;0,AG33*(1+Info!$F$8),0)</f>
        <v/>
      </c>
      <c r="AH34" s="111">
        <f>IF(AJ34&lt;&gt;"",Info!$C$6+AJ34-1,0)</f>
        <v/>
      </c>
      <c r="AI34" s="17">
        <f>IF(AJ34&lt;&gt;"",IF(Info!$F$6+AJ34-1&lt;=Rates!$Y$11,Info!$F$6+AJ34-1,0),0)</f>
        <v/>
      </c>
      <c r="AJ34" s="18">
        <f>IF(AI33&lt;&gt;"",IF(AND(AJ33&lt;&gt;"",AI33+1&lt;=Rates!$Y$11),IF(AJ33&lt;&gt;0,IF(AJ33+1&lt;=Info!$I$6,AJ33+1,""),0),""),"")</f>
        <v/>
      </c>
    </row>
    <row r="35" ht="14.25" customFormat="1" customHeight="1" s="164">
      <c r="A35" s="11">
        <f>IF(B35&gt;0,IF(Info!$C$16="بله",AG35/B35,(AG35+L35)/B35),0)</f>
        <v/>
      </c>
      <c r="B35" s="11">
        <f>IF(AND(AI35&gt;=0,AJ35&lt;=Info!$I$6),LOOKUP(Info!$C$8,Rates!$I$2:$I$7,Rates!$F$2:$F$7),0)</f>
        <v/>
      </c>
      <c r="C35" s="12">
        <f>IF(AND(AI35&gt;=0,AJ35&lt;=Info!$I$6),F35+F35*(IF(AJ35&lt;3,VLOOKUP(Info!$C$10,Rates!$A$15:$B$19,2,FALSE),IF(AJ35&lt;5,VLOOKUP(Info!$C$10,Rates!$A$15:$C$19,3,FALSE),VLOOKUP(Info!$C$10,Rates!$A$15:$D$19,4,FALSE)))+(Info!$I$22-IF(AJ35&gt;4,LOOKUP(Info!$C$10,Rates!$D$2:$D$7,Rates!$A$2:$A$7),LOOKUP(Info!$C$10,Rates!$D$2:$D$7,Rates!$C$2:$C$7))))*LOOKUP(Info!$C$8,Rates!$I$2:$I$7,Rates!$G$2:$G$7)+C34*(1+IF(AJ35&lt;3,VLOOKUP(Info!$C$10,Rates!$A$15:$B$19,2,FALSE),IF(AJ35&lt;5,VLOOKUP(Info!$C$10,Rates!$A$15:$C$19,3,FALSE),VLOOKUP(Info!$C$10,Rates!$A$15:$D$19,4,FALSE)))+(Info!$I$22-IF(AJ35&lt;3,VLOOKUP(Info!$C$10,Rates!$A$15:$B$19,2,FALSE),IF(AJ35&lt;5,VLOOKUP(Info!$C$10,Rates!$A$15:$C$19,3,FALSE),VLOOKUP(Info!$C$10,Rates!$A$15:$D$19,4,FALSE))))),0)</f>
        <v/>
      </c>
      <c r="D35" s="12">
        <f>IF(AI35&lt;&gt;"",E35,"")</f>
        <v/>
      </c>
      <c r="E35" s="12">
        <f>IF(AI35&lt;&gt;0,F35*(1+IF(AJ35&lt;3,VLOOKUP(Info!$C$10,Rates!$A$14:$B$19,2,FALSE),IF(AJ35&lt;5,VLOOKUP(Info!$C$10,Rates!$A$14:$C$19,3,FALSE),VLOOKUP(Info!$C$10,Rates!$A$14:$D$19,4,FALSE)))*LOOKUP(Info!$C$8,Rates!$I$2:$I$8,Rates!$G$2:$G$8))+E34*(1+IF(AJ35&lt;3,VLOOKUP(Info!$C$10,Rates!$A$14:$B$19,2,FALSE),IF(AJ35&lt;5,VLOOKUP(Info!$C$10,Rates!$A$14:$C$19,3,FALSE),VLOOKUP(Info!$C$10,Rates!$A$14:$D$19,4,FALSE)))),0)</f>
        <v/>
      </c>
      <c r="F35" s="12">
        <f>IF(AI35&lt;&gt;"",IF(Info!$C$16="بله",IF(AND(AJ35&lt;=Info!$F$20,AJ35&gt;=Info!$I$20),Info!$C$20,0)+(AG35-Y35-L35-K35-J35-I35-H35-G35),IF(AND(AJ35&lt;=Info!$F$20,AJ35&gt;=Info!$I$20),Info!$C$20,0)+(AG35-Y35-K35-J35-I35-H35-G35)),"")</f>
        <v/>
      </c>
      <c r="G35" s="107">
        <f>IF(AI35&lt;&gt;"",Rates!$AA$11*(L35),"")</f>
        <v/>
      </c>
      <c r="H35" s="107">
        <f>IF(AI35&lt;&gt;"",(Rates!$AC$11+Rates!$AB$11)*(L35),"")</f>
        <v/>
      </c>
      <c r="I35" s="12">
        <f>IF(AI35&lt;&gt;"",LOOKUP(Info!$C$8,Rates!$I$2:$I$7,Rates!$H$2:$H$7)*(J35+K35+L35+Y35),"")</f>
        <v/>
      </c>
      <c r="J35" s="12">
        <f>IF(N35="",0,N35)+IF(P35="",0,P35)+IF(Q35="",0,Q35)</f>
        <v/>
      </c>
      <c r="K35" s="12">
        <f>IF(Y35&lt;&gt;"",Info!$C$18*Y35,"")</f>
        <v/>
      </c>
      <c r="L35" s="12">
        <f>IF(R35="",0,R35)+IF(U35="",0,U35)+IF(W35="",0,W35)+IF(V35="",0,V35)+IF(T35="",0,T35)</f>
        <v/>
      </c>
      <c r="M35" s="12" t="n">
        <v>0</v>
      </c>
      <c r="N35" s="12" t="n">
        <v>0</v>
      </c>
      <c r="O35" s="12">
        <f>IF(AJ35&lt;=10,(1-Info!$C$25)*IF(OR(Info!$F$8&gt;0,Info!$F$10&gt;0),IF(0.75*$X$4&lt;=0.03*$AD$4,0.75*(X35-X34),0.03*(AD35-AD34)),0),"")</f>
        <v/>
      </c>
      <c r="P35" s="12">
        <f>IF(AJ35&lt;=5,IF(AI35&lt;&gt;"",0.002*AD35,"")*(1-Info!$I$25),0)</f>
        <v/>
      </c>
      <c r="Q35" s="12">
        <f>(1-Info!$F$25)*IF(AI35&lt;&gt;"",IF(Info!$C$16="بله",0.07*X35,0.07*AG35),"")</f>
        <v/>
      </c>
      <c r="R35" s="12">
        <f>IF(X35&lt;&gt;0,S35*X35,0)*(1-Info!$F$29)</f>
        <v/>
      </c>
      <c r="S35" s="107">
        <f>IF(Info!$I$14="خیر",0,IF(Info!$F$14="بله",IF(Info!$C$14=1,2.3,IF(Info!$C$14=2,3.3,4.3)),1))*IF(AND(AH35&lt;=Rates!$Y$8,AH35&gt;0),(1+Info!$C$18)*(1+LOOKUP(Info!$F$18,Rates!$O$2:$O$9,Rates!$L$2:$L$9)/100)*(LOOKUP(Info!$C$6,Rates!$T$2:$T$108,Rates!$R$2:$R$108)/100),0)</f>
        <v/>
      </c>
      <c r="T35" s="12">
        <f>IF(AI35&lt;71,(1-Info!$F$27)*((AB35*0.0008*(1+(LOOKUP(Info!$I$18,Rates!$O$2:$O$9,Rates!$M$2:$M$9)/100)))),0)</f>
        <v/>
      </c>
      <c r="U35" s="12">
        <f>IF(AI35&lt;71,(1-Info!$I$27)*(((AD35*0.0008*Info!$L$14))*(1+(LOOKUP(Info!$I$18,Rates!$O:$O,Rates!$N:$N)/100))),0)</f>
        <v/>
      </c>
      <c r="V35" s="12">
        <f>((Z35*0.0008))*(1+(LOOKUP(Info!$I$18,Rates!$O$2:$O$9,Rates!$M$2:$M$9)/100))*(1-Info!$C$27)</f>
        <v/>
      </c>
      <c r="W35" s="12">
        <f>IF(AND(AI35&lt;=Rates!$Y$2,AJ35&lt;=Info!$I$6,Info!$F$16="معمولی"),VLOOKUP(AI35,Rates!$T$1:$X$108,5,0),IF(AND(AI35&lt;=Rates!$Y$2,AJ35&lt;=Info!$I$6,Info!$F$16="پایه"),VLOOKUP(AI35,Rates!$T$1:$X$108,2,0),IF(AND(AI35&lt;=Rates!$Y$2,AJ35&lt;=Info!$I$6,Info!$F$16="آسایش "),VLOOKUP(AI35,Rates!$T$1:$X$108,3,0),IF(AND(AI35&lt;=Rates!$Y$2,AJ35&lt;=Info!$I$6,Info!$F$16="ممتاز"),VLOOKUP(AI35,Rates!$T$1:$X$108,4,0),0))))*AA35/1000000*(1+Info!$C$18)*(1-Info!$I$29)</f>
        <v/>
      </c>
      <c r="X35" s="12">
        <f>IF(Info!$C$16="بله",(AG35-W35-U35-V35-T35)/(1+S35),AG35)</f>
        <v/>
      </c>
      <c r="Y35" s="107">
        <f>IF(AI35&lt;&gt;0,(AD35*LOOKUP(AI35,Rates!$T$2:$T$108,Rates!$S$2:$S$108))/SQRT(1.1),0)</f>
        <v/>
      </c>
      <c r="Z35" s="107">
        <f>IF(AND(AI35&lt;=Rates!$Y$10,AI35&gt;=0),Info!$C$12*(AC35-AD35),0)</f>
        <v/>
      </c>
      <c r="AA35" s="12">
        <f>IF(AND(AI35&gt;=0,AI35&lt;=Rates!$Y$2,AG35&gt;0),MIN(AA34*(1+Info!$F$10),5000000000),0)</f>
        <v/>
      </c>
      <c r="AB35" s="107">
        <f>IF(AND(AI35&gt;=0,AI35&lt;=65),AD35*Info!$L$16,0)</f>
        <v/>
      </c>
      <c r="AC35" s="12">
        <f>IF(AND(AI35&gt;=0,AI35&lt;=Rates!$Y$3),AD35*(1+Info!$L$14),AD35)</f>
        <v/>
      </c>
      <c r="AD35" s="107">
        <f>IF(AI35&lt;&gt;0,AD34*(1+Info!$F$10),0)</f>
        <v/>
      </c>
      <c r="AE35" s="104">
        <f>IF(AI35&lt;&gt;0,AF35+AE34,0)</f>
        <v/>
      </c>
      <c r="AF35" s="12">
        <f>IF(AI35&gt;=0,IF(Info!$C$16="بله",AG35,AG35+L35),"")</f>
        <v/>
      </c>
      <c r="AG35" s="107">
        <f>IF(AI35&lt;&gt;0,AG34*(1+Info!$F$8),0)</f>
        <v/>
      </c>
      <c r="AH35" s="110">
        <f>IF(AJ35&lt;&gt;"",Info!$C$6+AJ35-1,0)</f>
        <v/>
      </c>
      <c r="AI35" s="14">
        <f>IF(AJ35&lt;&gt;"",IF(Info!$F$6+AJ35-1&lt;=Rates!$Y$11,Info!$F$6+AJ35-1,0),0)</f>
        <v/>
      </c>
      <c r="AJ35" s="15">
        <f>IF(AI34&lt;&gt;"",IF(AND(AJ34&lt;&gt;"",AI34+1&lt;=Rates!$Y$11),IF(AJ34&lt;&gt;0,IF(AJ34+1&lt;=Info!$I$6,AJ34+1,""),0),""),"")</f>
        <v/>
      </c>
    </row>
    <row r="36" ht="14.25" customFormat="1" customHeight="1" s="164">
      <c r="A36" s="16">
        <f>IF(B36&gt;0,IF(Info!$C$16="بله",AG36/B36,(AG36+L36)/B36),0)</f>
        <v/>
      </c>
      <c r="B36" s="16">
        <f>IF(AND(AI36&gt;=0,AJ36&lt;=Info!$I$6),LOOKUP(Info!$C$8,Rates!$I$2:$I$7,Rates!$F$2:$F$7),0)</f>
        <v/>
      </c>
      <c r="C36" s="13">
        <f>IF(AND(AI36&gt;=0,AJ36&lt;=Info!$I$6),F36+F36*(IF(AJ36&lt;3,VLOOKUP(Info!$C$10,Rates!$A$15:$B$19,2,FALSE),IF(AJ36&lt;5,VLOOKUP(Info!$C$10,Rates!$A$15:$C$19,3,FALSE),VLOOKUP(Info!$C$10,Rates!$A$15:$D$19,4,FALSE)))+(Info!$I$22-IF(AJ36&gt;4,LOOKUP(Info!$C$10,Rates!$D$2:$D$7,Rates!$A$2:$A$7),LOOKUP(Info!$C$10,Rates!$D$2:$D$7,Rates!$C$2:$C$7))))*LOOKUP(Info!$C$8,Rates!$I$2:$I$7,Rates!$G$2:$G$7)+C35*(1+IF(AJ36&lt;3,VLOOKUP(Info!$C$10,Rates!$A$15:$B$19,2,FALSE),IF(AJ36&lt;5,VLOOKUP(Info!$C$10,Rates!$A$15:$C$19,3,FALSE),VLOOKUP(Info!$C$10,Rates!$A$15:$D$19,4,FALSE)))+(Info!$I$22-IF(AJ36&lt;3,VLOOKUP(Info!$C$10,Rates!$A$15:$B$19,2,FALSE),IF(AJ36&lt;5,VLOOKUP(Info!$C$10,Rates!$A$15:$C$19,3,FALSE),VLOOKUP(Info!$C$10,Rates!$A$15:$D$19,4,FALSE))))),0)</f>
        <v/>
      </c>
      <c r="D36" s="13">
        <f>IF(AI36&lt;&gt;"",E36,"")</f>
        <v/>
      </c>
      <c r="E36" s="12">
        <f>IF(AI36&lt;&gt;0,F36*(1+IF(AJ36&lt;3,VLOOKUP(Info!$C$10,Rates!$A$14:$B$19,2,FALSE),IF(AJ36&lt;5,VLOOKUP(Info!$C$10,Rates!$A$14:$C$19,3,FALSE),VLOOKUP(Info!$C$10,Rates!$A$14:$D$19,4,FALSE)))*LOOKUP(Info!$C$8,Rates!$I$2:$I$8,Rates!$G$2:$G$8))+E35*(1+IF(AJ36&lt;3,VLOOKUP(Info!$C$10,Rates!$A$14:$B$19,2,FALSE),IF(AJ36&lt;5,VLOOKUP(Info!$C$10,Rates!$A$14:$C$19,3,FALSE),VLOOKUP(Info!$C$10,Rates!$A$14:$D$19,4,FALSE)))),0)</f>
        <v/>
      </c>
      <c r="F36" s="13">
        <f>IF(AI36&lt;&gt;"",IF(Info!$C$16="بله",IF(AND(AJ36&lt;=Info!$F$20,AJ36&gt;=Info!$I$20),Info!$C$20,0)+(AG36-Y36-L36-K36-J36-I36-H36-G36),IF(AND(AJ36&lt;=Info!$F$20,AJ36&gt;=Info!$I$20),Info!$C$20,0)+(AG36-Y36-K36-J36-I36-H36-G36)),"")</f>
        <v/>
      </c>
      <c r="G36" s="106">
        <f>IF(AI36&lt;&gt;"",Rates!$AA$11*(L36),"")</f>
        <v/>
      </c>
      <c r="H36" s="106">
        <f>IF(AI36&lt;&gt;"",(Rates!$AC$11+Rates!$AB$11)*(L36),"")</f>
        <v/>
      </c>
      <c r="I36" s="13">
        <f>IF(AI36&lt;&gt;"",LOOKUP(Info!$C$8,Rates!$I$2:$I$7,Rates!$H$2:$H$7)*(J36+K36+L36+Y36),"")</f>
        <v/>
      </c>
      <c r="J36" s="13">
        <f>IF(N36="",0,N36)+IF(P36="",0,P36)+IF(Q36="",0,Q36)</f>
        <v/>
      </c>
      <c r="K36" s="13">
        <f>IF(Y36&lt;&gt;"",Info!$C$18*Y36,"")</f>
        <v/>
      </c>
      <c r="L36" s="13">
        <f>IF(R36="",0,R36)+IF(U36="",0,U36)+IF(W36="",0,W36)+IF(V36="",0,V36)+IF(T36="",0,T36)</f>
        <v/>
      </c>
      <c r="M36" s="13" t="n">
        <v>0</v>
      </c>
      <c r="N36" s="13" t="n">
        <v>0</v>
      </c>
      <c r="O36" s="12">
        <f>IF(AJ36&lt;=10,(1-Info!$C$25)*IF(OR(Info!$F$8&gt;0,Info!$F$10&gt;0),IF(0.75*$X$4&lt;=0.03*$AD$4,0.75*(X36-X35),0.03*(AD36-AD35)),0),"")</f>
        <v/>
      </c>
      <c r="P36" s="13">
        <f>IF(AJ36&lt;=5,IF(AI36&lt;&gt;"",0.002*AD36,"")*(1-Info!$I$25),0)</f>
        <v/>
      </c>
      <c r="Q36" s="13">
        <f>(1-Info!$F$25)*IF(AI36&lt;&gt;"",IF(Info!$C$16="بله",0.07*X36,0.07*AG36),"")</f>
        <v/>
      </c>
      <c r="R36" s="13">
        <f>IF(X36&lt;&gt;0,S36*X36,0)*(1-Info!$F$29)</f>
        <v/>
      </c>
      <c r="S36" s="106">
        <f>IF(Info!$I$14="خیر",0,IF(Info!$F$14="بله",IF(Info!$C$14=1,2.3,IF(Info!$C$14=2,3.3,4.3)),1))*IF(AND(AH36&lt;=Rates!$Y$8,AH36&gt;0),(1+Info!$C$18)*(1+LOOKUP(Info!$F$18,Rates!$O$2:$O$9,Rates!$L$2:$L$9)/100)*(LOOKUP(Info!$C$6,Rates!$T$2:$T$108,Rates!$R$2:$R$108)/100),0)</f>
        <v/>
      </c>
      <c r="T36" s="13">
        <f>IF(AI36&lt;71,(1-Info!$F$27)*((AB36*0.0008*(1+(LOOKUP(Info!$I$18,Rates!$O$2:$O$9,Rates!$M$2:$M$9)/100)))),0)</f>
        <v/>
      </c>
      <c r="U36" s="13">
        <f>IF(AI36&lt;71,(1-Info!$I$27)*(((AD36*0.0008*Info!$L$14))*(1+(LOOKUP(Info!$I$18,Rates!$O:$O,Rates!$N:$N)/100))),0)</f>
        <v/>
      </c>
      <c r="V36" s="13">
        <f>((Z36*0.0008))*(1+(LOOKUP(Info!$I$18,Rates!$O$2:$O$9,Rates!$M$2:$M$9)/100))*(1-Info!$C$27)</f>
        <v/>
      </c>
      <c r="W36" s="13">
        <f>IF(AND(AI36&lt;=Rates!$Y$2,AJ36&lt;=Info!$I$6,Info!$F$16="معمولی"),VLOOKUP(AI36,Rates!$T$1:$X$108,5,0),IF(AND(AI36&lt;=Rates!$Y$2,AJ36&lt;=Info!$I$6,Info!$F$16="پایه"),VLOOKUP(AI36,Rates!$T$1:$X$108,2,0),IF(AND(AI36&lt;=Rates!$Y$2,AJ36&lt;=Info!$I$6,Info!$F$16="آسایش "),VLOOKUP(AI36,Rates!$T$1:$X$108,3,0),IF(AND(AI36&lt;=Rates!$Y$2,AJ36&lt;=Info!$I$6,Info!$F$16="ممتاز"),VLOOKUP(AI36,Rates!$T$1:$X$108,4,0),0))))*AA36/1000000*(1+Info!$C$18)*(1-Info!$I$29)</f>
        <v/>
      </c>
      <c r="X36" s="113">
        <f>IF(Info!$C$16="بله",(AG36-W36-U36-V36-T36)/(1+S36),AG36)</f>
        <v/>
      </c>
      <c r="Y36" s="106">
        <f>IF(AI36&lt;&gt;0,(AD36*LOOKUP(AI36,Rates!$T$2:$T$108,Rates!$S$2:$S$108))/SQRT(1.1),0)</f>
        <v/>
      </c>
      <c r="Z36" s="106">
        <f>IF(AND(AI36&lt;=Rates!$Y$10,AI36&gt;=0),Info!$C$12*(AC36-AD36),0)</f>
        <v/>
      </c>
      <c r="AA36" s="13">
        <f>IF(AND(AI36&gt;=0,AI36&lt;=Rates!$Y$2,AG36&gt;0),MIN(AA35*(1+Info!$F$10),5000000000),0)</f>
        <v/>
      </c>
      <c r="AB36" s="106">
        <f>IF(AND(AI36&gt;=0,AI36&lt;=65),AD36*Info!$L$16,0)</f>
        <v/>
      </c>
      <c r="AC36" s="13">
        <f>IF(AND(AI36&gt;=0,AI36&lt;=Rates!$Y$3),AD36*(1+Info!$L$14),AD36)</f>
        <v/>
      </c>
      <c r="AD36" s="106">
        <f>IF(AI36&lt;&gt;0,AD35*(1+Info!$F$10),0)</f>
        <v/>
      </c>
      <c r="AE36" s="105">
        <f>IF(AI36&lt;&gt;0,AF36+AE35,0)</f>
        <v/>
      </c>
      <c r="AF36" s="13">
        <f>IF(AI36&gt;=0,IF(Info!$C$16="بله",AG36,AG36+L36),"")</f>
        <v/>
      </c>
      <c r="AG36" s="107">
        <f>IF(AI36&lt;&gt;0,AG35*(1+Info!$F$8),0)</f>
        <v/>
      </c>
      <c r="AH36" s="111">
        <f>IF(AJ36&lt;&gt;"",Info!$C$6+AJ36-1,0)</f>
        <v/>
      </c>
      <c r="AI36" s="17">
        <f>IF(AJ36&lt;&gt;"",IF(Info!$F$6+AJ36-1&lt;=Rates!$Y$11,Info!$F$6+AJ36-1,0),0)</f>
        <v/>
      </c>
      <c r="AJ36" s="18">
        <f>IF(AI35&lt;&gt;"",IF(AND(AJ35&lt;&gt;"",AI35+1&lt;=Rates!$Y$11),IF(AJ35&lt;&gt;0,IF(AJ35+1&lt;=Info!$I$6,AJ35+1,""),0),""),"")</f>
        <v/>
      </c>
    </row>
    <row r="37" ht="14.25" customFormat="1" customHeight="1" s="164">
      <c r="A37" s="11">
        <f>IF(B37&gt;0,IF(Info!$C$16="بله",AG37/B37,(AG37+L37)/B37),0)</f>
        <v/>
      </c>
      <c r="B37" s="11">
        <f>IF(AND(AI37&gt;=0,AJ37&lt;=Info!$I$6),LOOKUP(Info!$C$8,Rates!$I$2:$I$7,Rates!$F$2:$F$7),0)</f>
        <v/>
      </c>
      <c r="C37" s="12">
        <f>IF(AND(AI37&gt;=0,AJ37&lt;=Info!$I$6),F37+F37*(IF(AJ37&lt;3,VLOOKUP(Info!$C$10,Rates!$A$15:$B$19,2,FALSE),IF(AJ37&lt;5,VLOOKUP(Info!$C$10,Rates!$A$15:$C$19,3,FALSE),VLOOKUP(Info!$C$10,Rates!$A$15:$D$19,4,FALSE)))+(Info!$I$22-IF(AJ37&gt;4,LOOKUP(Info!$C$10,Rates!$D$2:$D$7,Rates!$A$2:$A$7),LOOKUP(Info!$C$10,Rates!$D$2:$D$7,Rates!$C$2:$C$7))))*LOOKUP(Info!$C$8,Rates!$I$2:$I$7,Rates!$G$2:$G$7)+C36*(1+IF(AJ37&lt;3,VLOOKUP(Info!$C$10,Rates!$A$15:$B$19,2,FALSE),IF(AJ37&lt;5,VLOOKUP(Info!$C$10,Rates!$A$15:$C$19,3,FALSE),VLOOKUP(Info!$C$10,Rates!$A$15:$D$19,4,FALSE)))+(Info!$I$22-IF(AJ37&lt;3,VLOOKUP(Info!$C$10,Rates!$A$15:$B$19,2,FALSE),IF(AJ37&lt;5,VLOOKUP(Info!$C$10,Rates!$A$15:$C$19,3,FALSE),VLOOKUP(Info!$C$10,Rates!$A$15:$D$19,4,FALSE))))),0)</f>
        <v/>
      </c>
      <c r="D37" s="12">
        <f>IF(AI37&lt;&gt;"",E37,"")</f>
        <v/>
      </c>
      <c r="E37" s="12">
        <f>IF(AI37&lt;&gt;0,F37*(1+IF(AJ37&lt;3,VLOOKUP(Info!$C$10,Rates!$A$14:$B$19,2,FALSE),IF(AJ37&lt;5,VLOOKUP(Info!$C$10,Rates!$A$14:$C$19,3,FALSE),VLOOKUP(Info!$C$10,Rates!$A$14:$D$19,4,FALSE)))*LOOKUP(Info!$C$8,Rates!$I$2:$I$8,Rates!$G$2:$G$8))+E36*(1+IF(AJ37&lt;3,VLOOKUP(Info!$C$10,Rates!$A$14:$B$19,2,FALSE),IF(AJ37&lt;5,VLOOKUP(Info!$C$10,Rates!$A$14:$C$19,3,FALSE),VLOOKUP(Info!$C$10,Rates!$A$14:$D$19,4,FALSE)))),0)</f>
        <v/>
      </c>
      <c r="F37" s="12">
        <f>IF(AI37&lt;&gt;"",IF(Info!$C$16="بله",IF(AND(AJ37&lt;=Info!$F$20,AJ37&gt;=Info!$I$20),Info!$C$20,0)+(AG37-Y37-L37-K37-J37-I37-H37-G37),IF(AND(AJ37&lt;=Info!$F$20,AJ37&gt;=Info!$I$20),Info!$C$20,0)+(AG37-Y37-K37-J37-I37-H37-G37)),"")</f>
        <v/>
      </c>
      <c r="G37" s="107">
        <f>IF(AI37&lt;&gt;"",Rates!$AA$11*(L37),"")</f>
        <v/>
      </c>
      <c r="H37" s="107">
        <f>IF(AI37&lt;&gt;"",(Rates!$AC$11+Rates!$AB$11)*(L37),"")</f>
        <v/>
      </c>
      <c r="I37" s="12">
        <f>IF(AI37&lt;&gt;"",LOOKUP(Info!$C$8,Rates!$I$2:$I$7,Rates!$H$2:$H$7)*(J37+K37+L37+Y37),"")</f>
        <v/>
      </c>
      <c r="J37" s="12">
        <f>IF(N37="",0,N37)+IF(P37="",0,P37)+IF(Q37="",0,Q37)</f>
        <v/>
      </c>
      <c r="K37" s="12">
        <f>IF(Y37&lt;&gt;"",Info!$C$18*Y37,"")</f>
        <v/>
      </c>
      <c r="L37" s="12">
        <f>IF(R37="",0,R37)+IF(U37="",0,U37)+IF(W37="",0,W37)+IF(V37="",0,V37)+IF(T37="",0,T37)</f>
        <v/>
      </c>
      <c r="M37" s="12" t="n">
        <v>0</v>
      </c>
      <c r="N37" s="12" t="n">
        <v>0</v>
      </c>
      <c r="O37" s="12">
        <f>IF(AJ37&lt;=10,(1-Info!$C$25)*IF(OR(Info!$F$8&gt;0,Info!$F$10&gt;0),IF(0.75*$X$4&lt;=0.03*$AD$4,0.75*(X37-X36),0.03*(AD37-AD36)),0),"")</f>
        <v/>
      </c>
      <c r="P37" s="12">
        <f>IF(AJ37&lt;=5,IF(AI37&lt;&gt;"",0.002*AD37,"")*(1-Info!$I$25),0)</f>
        <v/>
      </c>
      <c r="Q37" s="12">
        <f>(1-Info!$F$25)*IF(AI37&lt;&gt;"",IF(Info!$C$16="بله",0.07*X37,0.07*AG37),"")</f>
        <v/>
      </c>
      <c r="R37" s="12">
        <f>IF(X37&lt;&gt;0,S37*X37,0)*(1-Info!$F$29)</f>
        <v/>
      </c>
      <c r="S37" s="107">
        <f>IF(Info!$I$14="خیر",0,IF(Info!$F$14="بله",IF(Info!$C$14=1,2.3,IF(Info!$C$14=2,3.3,4.3)),1))*IF(AND(AH37&lt;=Rates!$Y$8,AH37&gt;0),(1+Info!$C$18)*(1+LOOKUP(Info!$F$18,Rates!$O$2:$O$9,Rates!$L$2:$L$9)/100)*(LOOKUP(Info!$C$6,Rates!$T$2:$T$108,Rates!$R$2:$R$108)/100),0)</f>
        <v/>
      </c>
      <c r="T37" s="12">
        <f>IF(AI37&lt;71,(1-Info!$F$27)*((AB37*0.0008*(1+(LOOKUP(Info!$I$18,Rates!$O$2:$O$9,Rates!$M$2:$M$9)/100)))),0)</f>
        <v/>
      </c>
      <c r="U37" s="12">
        <f>IF(AI37&lt;71,(1-Info!$I$27)*(((AD37*0.0008*Info!$L$14))*(1+(LOOKUP(Info!$I$18,Rates!$O:$O,Rates!$N:$N)/100))),0)</f>
        <v/>
      </c>
      <c r="V37" s="12">
        <f>((Z37*0.0008))*(1+(LOOKUP(Info!$I$18,Rates!$O$2:$O$9,Rates!$M$2:$M$9)/100))*(1-Info!$C$27)</f>
        <v/>
      </c>
      <c r="W37" s="12">
        <f>IF(AND(AI37&lt;=Rates!$Y$2,AJ37&lt;=Info!$I$6,Info!$F$16="معمولی"),VLOOKUP(AI37,Rates!$T$1:$X$108,5,0),IF(AND(AI37&lt;=Rates!$Y$2,AJ37&lt;=Info!$I$6,Info!$F$16="پایه"),VLOOKUP(AI37,Rates!$T$1:$X$108,2,0),IF(AND(AI37&lt;=Rates!$Y$2,AJ37&lt;=Info!$I$6,Info!$F$16="آسایش "),VLOOKUP(AI37,Rates!$T$1:$X$108,3,0),IF(AND(AI37&lt;=Rates!$Y$2,AJ37&lt;=Info!$I$6,Info!$F$16="ممتاز"),VLOOKUP(AI37,Rates!$T$1:$X$108,4,0),0))))*AA37/1000000*(1+Info!$C$18)*(1-Info!$I$29)</f>
        <v/>
      </c>
      <c r="X37" s="12">
        <f>IF(Info!$C$16="بله",(AG37-W37-U37-V37-T37)/(1+S37),AG37)</f>
        <v/>
      </c>
      <c r="Y37" s="107">
        <f>IF(AI37&lt;&gt;0,(AD37*LOOKUP(AI37,Rates!$T$2:$T$108,Rates!$S$2:$S$108))/SQRT(1.1),0)</f>
        <v/>
      </c>
      <c r="Z37" s="107">
        <f>IF(AND(AI37&lt;=Rates!$Y$10,AI37&gt;=0),Info!$C$12*(AC37-AD37),0)</f>
        <v/>
      </c>
      <c r="AA37" s="12">
        <f>IF(AND(AI37&gt;=0,AI37&lt;=Rates!$Y$2,AG37&gt;0),MIN(AA36*(1+Info!$F$10),5000000000),0)</f>
        <v/>
      </c>
      <c r="AB37" s="107">
        <f>IF(AND(AI37&gt;=0,AI37&lt;=65),AD37*Info!$L$16,0)</f>
        <v/>
      </c>
      <c r="AC37" s="12">
        <f>IF(AND(AI37&gt;=0,AI37&lt;=Rates!$Y$3),AD37*(1+Info!$L$14),AD37)</f>
        <v/>
      </c>
      <c r="AD37" s="107">
        <f>IF(AI37&lt;&gt;0,AD36*(1+Info!$F$10),0)</f>
        <v/>
      </c>
      <c r="AE37" s="104">
        <f>IF(AI37&lt;&gt;0,AF37+AE36,0)</f>
        <v/>
      </c>
      <c r="AF37" s="12">
        <f>IF(AI37&gt;=0,IF(Info!$C$16="بله",AG37,AG37+L37),"")</f>
        <v/>
      </c>
      <c r="AG37" s="107">
        <f>IF(AI37&lt;&gt;0,AG36*(1+Info!$F$8),0)</f>
        <v/>
      </c>
      <c r="AH37" s="110">
        <f>IF(AJ37&lt;&gt;"",Info!$C$6+AJ37-1,0)</f>
        <v/>
      </c>
      <c r="AI37" s="14">
        <f>IF(AJ37&lt;&gt;"",IF(Info!$F$6+AJ37-1&lt;=Rates!$Y$11,Info!$F$6+AJ37-1,0),0)</f>
        <v/>
      </c>
      <c r="AJ37" s="15">
        <f>IF(AI36&lt;&gt;"",IF(AND(AJ36&lt;&gt;"",AI36+1&lt;=Rates!$Y$11),IF(AJ36&lt;&gt;0,IF(AJ36+1&lt;=Info!$I$6,AJ36+1,""),0),""),"")</f>
        <v/>
      </c>
    </row>
    <row r="38" ht="14.25" customFormat="1" customHeight="1" s="164">
      <c r="A38" s="16">
        <f>IF(B38&gt;0,IF(Info!$C$16="بله",AG38/B38,(AG38+L38)/B38),0)</f>
        <v/>
      </c>
      <c r="B38" s="16">
        <f>IF(AND(AI38&gt;=0,AJ38&lt;=Info!$I$6),LOOKUP(Info!$C$8,Rates!$I$2:$I$7,Rates!$F$2:$F$7),0)</f>
        <v/>
      </c>
      <c r="C38" s="13">
        <f>IF(AND(AI38&gt;=0,AJ38&lt;=Info!$I$6),F38+F38*(IF(AJ38&lt;3,VLOOKUP(Info!$C$10,Rates!$A$15:$B$19,2,FALSE),IF(AJ38&lt;5,VLOOKUP(Info!$C$10,Rates!$A$15:$C$19,3,FALSE),VLOOKUP(Info!$C$10,Rates!$A$15:$D$19,4,FALSE)))+(Info!$I$22-IF(AJ38&gt;4,LOOKUP(Info!$C$10,Rates!$D$2:$D$7,Rates!$A$2:$A$7),LOOKUP(Info!$C$10,Rates!$D$2:$D$7,Rates!$C$2:$C$7))))*LOOKUP(Info!$C$8,Rates!$I$2:$I$7,Rates!$G$2:$G$7)+C37*(1+IF(AJ38&lt;3,VLOOKUP(Info!$C$10,Rates!$A$15:$B$19,2,FALSE),IF(AJ38&lt;5,VLOOKUP(Info!$C$10,Rates!$A$15:$C$19,3,FALSE),VLOOKUP(Info!$C$10,Rates!$A$15:$D$19,4,FALSE)))+(Info!$I$22-IF(AJ38&lt;3,VLOOKUP(Info!$C$10,Rates!$A$15:$B$19,2,FALSE),IF(AJ38&lt;5,VLOOKUP(Info!$C$10,Rates!$A$15:$C$19,3,FALSE),VLOOKUP(Info!$C$10,Rates!$A$15:$D$19,4,FALSE))))),0)</f>
        <v/>
      </c>
      <c r="D38" s="13">
        <f>IF(AI38&lt;&gt;"",E38,"")</f>
        <v/>
      </c>
      <c r="E38" s="12">
        <f>IF(AI38&lt;&gt;0,F38*(1+IF(AJ38&lt;3,VLOOKUP(Info!$C$10,Rates!$A$14:$B$19,2,FALSE),IF(AJ38&lt;5,VLOOKUP(Info!$C$10,Rates!$A$14:$C$19,3,FALSE),VLOOKUP(Info!$C$10,Rates!$A$14:$D$19,4,FALSE)))*LOOKUP(Info!$C$8,Rates!$I$2:$I$8,Rates!$G$2:$G$8))+E37*(1+IF(AJ38&lt;3,VLOOKUP(Info!$C$10,Rates!$A$14:$B$19,2,FALSE),IF(AJ38&lt;5,VLOOKUP(Info!$C$10,Rates!$A$14:$C$19,3,FALSE),VLOOKUP(Info!$C$10,Rates!$A$14:$D$19,4,FALSE)))),0)</f>
        <v/>
      </c>
      <c r="F38" s="13">
        <f>IF(AI38&lt;&gt;"",IF(Info!$C$16="بله",IF(AND(AJ38&lt;=Info!$F$20,AJ38&gt;=Info!$I$20),Info!$C$20,0)+(AG38-Y38-L38-K38-J38-I38-H38-G38),IF(AND(AJ38&lt;=Info!$F$20,AJ38&gt;=Info!$I$20),Info!$C$20,0)+(AG38-Y38-K38-J38-I38-H38-G38)),"")</f>
        <v/>
      </c>
      <c r="G38" s="106">
        <f>IF(AI38&lt;&gt;"",Rates!$AA$11*(L38),"")</f>
        <v/>
      </c>
      <c r="H38" s="106">
        <f>IF(AI38&lt;&gt;"",(Rates!$AC$11+Rates!$AB$11)*(L38),"")</f>
        <v/>
      </c>
      <c r="I38" s="13">
        <f>IF(AI38&lt;&gt;"",LOOKUP(Info!$C$8,Rates!$I$2:$I$7,Rates!$H$2:$H$7)*(J38+K38+L38+Y38),"")</f>
        <v/>
      </c>
      <c r="J38" s="13">
        <f>IF(N38="",0,N38)+IF(P38="",0,P38)+IF(Q38="",0,Q38)</f>
        <v/>
      </c>
      <c r="K38" s="13">
        <f>IF(Y38&lt;&gt;"",Info!$C$18*Y38,"")</f>
        <v/>
      </c>
      <c r="L38" s="13">
        <f>IF(R38="",0,R38)+IF(U38="",0,U38)+IF(W38="",0,W38)+IF(V38="",0,V38)+IF(T38="",0,T38)</f>
        <v/>
      </c>
      <c r="M38" s="13" t="n">
        <v>0</v>
      </c>
      <c r="N38" s="13" t="n">
        <v>0</v>
      </c>
      <c r="O38" s="12">
        <f>IF(AJ38&lt;=10,(1-Info!$C$25)*IF(OR(Info!$F$8&gt;0,Info!$F$10&gt;0),IF(0.75*$X$4&lt;=0.03*$AD$4,0.75*(X38-X37),0.03*(AD38-AD37)),0),"")</f>
        <v/>
      </c>
      <c r="P38" s="13">
        <f>IF(AJ38&lt;=5,IF(AI38&lt;&gt;"",0.002*AD38,"")*(1-Info!$I$25),0)</f>
        <v/>
      </c>
      <c r="Q38" s="13">
        <f>(1-Info!$F$25)*IF(AI38&lt;&gt;"",IF(Info!$C$16="بله",0.07*X38,0.07*AG38),"")</f>
        <v/>
      </c>
      <c r="R38" s="13">
        <f>IF(X38&lt;&gt;0,S38*X38,0)*(1-Info!$F$29)</f>
        <v/>
      </c>
      <c r="S38" s="106">
        <f>IF(Info!$I$14="خیر",0,IF(Info!$F$14="بله",IF(Info!$C$14=1,2.3,IF(Info!$C$14=2,3.3,4.3)),1))*IF(AND(AH38&lt;=Rates!$Y$8,AH38&gt;0),(1+Info!$C$18)*(1+LOOKUP(Info!$F$18,Rates!$O$2:$O$9,Rates!$L$2:$L$9)/100)*(LOOKUP(Info!$C$6,Rates!$T$2:$T$108,Rates!$R$2:$R$108)/100),0)</f>
        <v/>
      </c>
      <c r="T38" s="13">
        <f>IF(AI38&lt;71,(1-Info!$F$27)*((AB38*0.0008*(1+(LOOKUP(Info!$I$18,Rates!$O$2:$O$9,Rates!$M$2:$M$9)/100)))),0)</f>
        <v/>
      </c>
      <c r="U38" s="13">
        <f>IF(AI38&lt;71,(1-Info!$I$27)*(((AD38*0.0008*Info!$L$14))*(1+(LOOKUP(Info!$I$18,Rates!$O:$O,Rates!$N:$N)/100))),0)</f>
        <v/>
      </c>
      <c r="V38" s="13">
        <f>((Z38*0.0008))*(1+(LOOKUP(Info!$I$18,Rates!$O$2:$O$9,Rates!$M$2:$M$9)/100))*(1-Info!$C$27)</f>
        <v/>
      </c>
      <c r="W38" s="13">
        <f>IF(AND(AI38&lt;=Rates!$Y$2,AJ38&lt;=Info!$I$6,Info!$F$16="معمولی"),VLOOKUP(AI38,Rates!$T$1:$X$108,5,0),IF(AND(AI38&lt;=Rates!$Y$2,AJ38&lt;=Info!$I$6,Info!$F$16="پایه"),VLOOKUP(AI38,Rates!$T$1:$X$108,2,0),IF(AND(AI38&lt;=Rates!$Y$2,AJ38&lt;=Info!$I$6,Info!$F$16="آسایش "),VLOOKUP(AI38,Rates!$T$1:$X$108,3,0),IF(AND(AI38&lt;=Rates!$Y$2,AJ38&lt;=Info!$I$6,Info!$F$16="ممتاز"),VLOOKUP(AI38,Rates!$T$1:$X$108,4,0),0))))*AA38/1000000*(1+Info!$C$18)*(1-Info!$I$29)</f>
        <v/>
      </c>
      <c r="X38" s="113">
        <f>IF(Info!$C$16="بله",(AG38-W38-U38-V38-T38)/(1+S38),AG38)</f>
        <v/>
      </c>
      <c r="Y38" s="106">
        <f>IF(AI38&lt;&gt;0,(AD38*LOOKUP(AI38,Rates!$T$2:$T$108,Rates!$S$2:$S$108))/SQRT(1.1),0)</f>
        <v/>
      </c>
      <c r="Z38" s="106">
        <f>IF(AND(AI38&lt;=Rates!$Y$10,AI38&gt;=0),Info!$C$12*(AC38-AD38),0)</f>
        <v/>
      </c>
      <c r="AA38" s="13">
        <f>IF(AND(AI38&gt;=0,AI38&lt;=Rates!$Y$2,AG38&gt;0),MIN(AA37*(1+Info!$F$10),5000000000),0)</f>
        <v/>
      </c>
      <c r="AB38" s="106">
        <f>IF(AND(AI38&gt;=0,AI38&lt;=65),AD38*Info!$L$16,0)</f>
        <v/>
      </c>
      <c r="AC38" s="13">
        <f>IF(AND(AI38&gt;=0,AI38&lt;=Rates!$Y$3),AD38*(1+Info!$L$14),AD38)</f>
        <v/>
      </c>
      <c r="AD38" s="106">
        <f>IF(AI38&lt;&gt;0,AD37*(1+Info!$F$10),0)</f>
        <v/>
      </c>
      <c r="AE38" s="105">
        <f>IF(AI38&lt;&gt;0,AF38+AE37,0)</f>
        <v/>
      </c>
      <c r="AF38" s="13">
        <f>IF(AI38&gt;=0,IF(Info!$C$16="بله",AG38,AG38+L38),"")</f>
        <v/>
      </c>
      <c r="AG38" s="107">
        <f>IF(AI38&lt;&gt;0,AG37*(1+Info!$F$8),0)</f>
        <v/>
      </c>
      <c r="AH38" s="111">
        <f>IF(AJ38&lt;&gt;"",Info!$C$6+AJ38-1,0)</f>
        <v/>
      </c>
      <c r="AI38" s="17">
        <f>IF(AJ38&lt;&gt;"",IF(Info!$F$6+AJ38-1&lt;=Rates!$Y$11,Info!$F$6+AJ38-1,0),0)</f>
        <v/>
      </c>
      <c r="AJ38" s="18">
        <f>IF(AI37&lt;&gt;"",IF(AND(AJ37&lt;&gt;"",AI37+1&lt;=Rates!$Y$11),IF(AJ37&lt;&gt;0,IF(AJ37+1&lt;=Info!$I$6,AJ37+1,""),0),""),"")</f>
        <v/>
      </c>
    </row>
    <row r="39" ht="14.25" customFormat="1" customHeight="1" s="164">
      <c r="A39" s="11">
        <f>IF(B39&gt;0,IF(Info!$C$16="بله",AG39/B39,(AG39+L39)/B39),0)</f>
        <v/>
      </c>
      <c r="B39" s="11">
        <f>IF(AND(AI39&gt;=0,AJ39&lt;=Info!$I$6),LOOKUP(Info!$C$8,Rates!$I$2:$I$7,Rates!$F$2:$F$7),0)</f>
        <v/>
      </c>
      <c r="C39" s="12">
        <f>IF(AND(AI39&gt;=0,AJ39&lt;=Info!$I$6),F39+F39*(IF(AJ39&lt;3,VLOOKUP(Info!$C$10,Rates!$A$15:$B$19,2,FALSE),IF(AJ39&lt;5,VLOOKUP(Info!$C$10,Rates!$A$15:$C$19,3,FALSE),VLOOKUP(Info!$C$10,Rates!$A$15:$D$19,4,FALSE)))+(Info!$I$22-IF(AJ39&gt;4,LOOKUP(Info!$C$10,Rates!$D$2:$D$7,Rates!$A$2:$A$7),LOOKUP(Info!$C$10,Rates!$D$2:$D$7,Rates!$C$2:$C$7))))*LOOKUP(Info!$C$8,Rates!$I$2:$I$7,Rates!$G$2:$G$7)+C38*(1+IF(AJ39&lt;3,VLOOKUP(Info!$C$10,Rates!$A$15:$B$19,2,FALSE),IF(AJ39&lt;5,VLOOKUP(Info!$C$10,Rates!$A$15:$C$19,3,FALSE),VLOOKUP(Info!$C$10,Rates!$A$15:$D$19,4,FALSE)))+(Info!$I$22-IF(AJ39&lt;3,VLOOKUP(Info!$C$10,Rates!$A$15:$B$19,2,FALSE),IF(AJ39&lt;5,VLOOKUP(Info!$C$10,Rates!$A$15:$C$19,3,FALSE),VLOOKUP(Info!$C$10,Rates!$A$15:$D$19,4,FALSE))))),0)</f>
        <v/>
      </c>
      <c r="D39" s="12">
        <f>IF(AI39&lt;&gt;"",E39,"")</f>
        <v/>
      </c>
      <c r="E39" s="12">
        <f>IF(AI39&lt;&gt;0,F39*(1+IF(AJ39&lt;3,VLOOKUP(Info!$C$10,Rates!$A$14:$B$19,2,FALSE),IF(AJ39&lt;5,VLOOKUP(Info!$C$10,Rates!$A$14:$C$19,3,FALSE),VLOOKUP(Info!$C$10,Rates!$A$14:$D$19,4,FALSE)))*LOOKUP(Info!$C$8,Rates!$I$2:$I$8,Rates!$G$2:$G$8))+E38*(1+IF(AJ39&lt;3,VLOOKUP(Info!$C$10,Rates!$A$14:$B$19,2,FALSE),IF(AJ39&lt;5,VLOOKUP(Info!$C$10,Rates!$A$14:$C$19,3,FALSE),VLOOKUP(Info!$C$10,Rates!$A$14:$D$19,4,FALSE)))),0)</f>
        <v/>
      </c>
      <c r="F39" s="12">
        <f>IF(AI39&lt;&gt;"",IF(Info!$C$16="بله",IF(AND(AJ39&lt;=Info!$F$20,AJ39&gt;=Info!$I$20),Info!$C$20,0)+(AG39-Y39-L39-K39-J39-I39-H39-G39),IF(AND(AJ39&lt;=Info!$F$20,AJ39&gt;=Info!$I$20),Info!$C$20,0)+(AG39-Y39-K39-J39-I39-H39-G39)),"")</f>
        <v/>
      </c>
      <c r="G39" s="107">
        <f>IF(AI39&lt;&gt;"",Rates!$AA$11*(L39),"")</f>
        <v/>
      </c>
      <c r="H39" s="107">
        <f>IF(AI39&lt;&gt;"",(Rates!$AC$11+Rates!$AB$11)*(L39),"")</f>
        <v/>
      </c>
      <c r="I39" s="12">
        <f>IF(AI39&lt;&gt;"",LOOKUP(Info!$C$8,Rates!$I$2:$I$7,Rates!$H$2:$H$7)*(J39+K39+L39+Y39),"")</f>
        <v/>
      </c>
      <c r="J39" s="12">
        <f>IF(N39="",0,N39)+IF(P39="",0,P39)+IF(Q39="",0,Q39)</f>
        <v/>
      </c>
      <c r="K39" s="12">
        <f>IF(Y39&lt;&gt;"",Info!$C$18*Y39,"")</f>
        <v/>
      </c>
      <c r="L39" s="12">
        <f>IF(R39="",0,R39)+IF(U39="",0,U39)+IF(W39="",0,W39)+IF(V39="",0,V39)+IF(T39="",0,T39)</f>
        <v/>
      </c>
      <c r="M39" s="12" t="n">
        <v>0</v>
      </c>
      <c r="N39" s="12" t="n">
        <v>0</v>
      </c>
      <c r="O39" s="12">
        <f>IF(AJ39&lt;=10,(1-Info!$C$25)*IF(OR(Info!$F$8&gt;0,Info!$F$10&gt;0),IF(0.75*$X$4&lt;=0.03*$AD$4,0.75*(X39-X38),0.03*(AD39-AD38)),0),"")</f>
        <v/>
      </c>
      <c r="P39" s="12">
        <f>IF(AJ39&lt;=5,IF(AI39&lt;&gt;"",0.002*AD39,"")*(1-Info!$I$25),0)</f>
        <v/>
      </c>
      <c r="Q39" s="12">
        <f>(1-Info!$F$25)*IF(AI39&lt;&gt;"",IF(Info!$C$16="بله",0.07*X39,0.07*AG39),"")</f>
        <v/>
      </c>
      <c r="R39" s="12">
        <f>IF(X39&lt;&gt;0,S39*X39,0)*(1-Info!$F$29)</f>
        <v/>
      </c>
      <c r="S39" s="107">
        <f>IF(Info!$I$14="خیر",0,IF(Info!$F$14="بله",IF(Info!$C$14=1,2.3,IF(Info!$C$14=2,3.3,4.3)),1))*IF(AND(AH39&lt;=Rates!$Y$8,AH39&gt;0),(1+Info!$C$18)*(1+LOOKUP(Info!$F$18,Rates!$O$2:$O$9,Rates!$L$2:$L$9)/100)*(LOOKUP(Info!$C$6,Rates!$T$2:$T$108,Rates!$R$2:$R$108)/100),0)</f>
        <v/>
      </c>
      <c r="T39" s="12">
        <f>IF(AI39&lt;71,(1-Info!$F$27)*((AB39*0.0008*(1+(LOOKUP(Info!$I$18,Rates!$O$2:$O$9,Rates!$M$2:$M$9)/100)))),0)</f>
        <v/>
      </c>
      <c r="U39" s="12">
        <f>IF(AI39&lt;71,(1-Info!$I$27)*(((AD39*0.0008*Info!$L$14))*(1+(LOOKUP(Info!$I$18,Rates!$O:$O,Rates!$N:$N)/100))),0)</f>
        <v/>
      </c>
      <c r="V39" s="12">
        <f>((Z39*0.0008))*(1+(LOOKUP(Info!$I$18,Rates!$O$2:$O$9,Rates!$M$2:$M$9)/100))*(1-Info!$C$27)</f>
        <v/>
      </c>
      <c r="W39" s="12">
        <f>IF(AND(AI39&lt;=Rates!$Y$2,AJ39&lt;=Info!$I$6,Info!$F$16="معمولی"),VLOOKUP(AI39,Rates!$T$1:$X$108,5,0),IF(AND(AI39&lt;=Rates!$Y$2,AJ39&lt;=Info!$I$6,Info!$F$16="پایه"),VLOOKUP(AI39,Rates!$T$1:$X$108,2,0),IF(AND(AI39&lt;=Rates!$Y$2,AJ39&lt;=Info!$I$6,Info!$F$16="آسایش "),VLOOKUP(AI39,Rates!$T$1:$X$108,3,0),IF(AND(AI39&lt;=Rates!$Y$2,AJ39&lt;=Info!$I$6,Info!$F$16="ممتاز"),VLOOKUP(AI39,Rates!$T$1:$X$108,4,0),0))))*AA39/1000000*(1+Info!$C$18)*(1-Info!$I$29)</f>
        <v/>
      </c>
      <c r="X39" s="12">
        <f>IF(Info!$C$16="بله",(AG39-W39-U39-V39-T39)/(1+S39),AG39)</f>
        <v/>
      </c>
      <c r="Y39" s="107">
        <f>IF(AI39&lt;&gt;0,(AD39*LOOKUP(AI39,Rates!$T$2:$T$108,Rates!$S$2:$S$108))/SQRT(1.1),0)</f>
        <v/>
      </c>
      <c r="Z39" s="107">
        <f>IF(AND(AI39&lt;=Rates!$Y$10,AI39&gt;=0),Info!$C$12*(AC39-AD39),0)</f>
        <v/>
      </c>
      <c r="AA39" s="12">
        <f>IF(AND(AI39&gt;=0,AI39&lt;=Rates!$Y$2,AG39&gt;0),MIN(AA38*(1+Info!$F$10),5000000000),0)</f>
        <v/>
      </c>
      <c r="AB39" s="107">
        <f>IF(AND(AI39&gt;=0,AI39&lt;=65),AD39*Info!$L$16,0)</f>
        <v/>
      </c>
      <c r="AC39" s="12">
        <f>IF(AND(AI39&gt;=0,AI39&lt;=Rates!$Y$3),AD39*(1+Info!$L$14),AD39)</f>
        <v/>
      </c>
      <c r="AD39" s="107">
        <f>IF(AI39&lt;&gt;0,AD38*(1+Info!$F$10),0)</f>
        <v/>
      </c>
      <c r="AE39" s="104">
        <f>IF(AI39&lt;&gt;0,AF39+AE38,0)</f>
        <v/>
      </c>
      <c r="AF39" s="12">
        <f>IF(AI39&gt;=0,IF(Info!$C$16="بله",AG39,AG39+L39),"")</f>
        <v/>
      </c>
      <c r="AG39" s="107">
        <f>IF(AI39&lt;&gt;0,AG38*(1+Info!$F$8),0)</f>
        <v/>
      </c>
      <c r="AH39" s="110">
        <f>IF(AJ39&lt;&gt;"",Info!$C$6+AJ39-1,0)</f>
        <v/>
      </c>
      <c r="AI39" s="14">
        <f>IF(AJ39&lt;&gt;"",IF(Info!$F$6+AJ39-1&lt;=Rates!$Y$11,Info!$F$6+AJ39-1,0),0)</f>
        <v/>
      </c>
      <c r="AJ39" s="15">
        <f>IF(AI38&lt;&gt;"",IF(AND(AJ38&lt;&gt;"",AI38+1&lt;=Rates!$Y$11),IF(AJ38&lt;&gt;0,IF(AJ38+1&lt;=Info!$I$6,AJ38+1,""),0),""),"")</f>
        <v/>
      </c>
    </row>
    <row r="40" ht="14.25" customFormat="1" customHeight="1" s="164">
      <c r="A40" s="16">
        <f>IF(B40&gt;0,IF(Info!$C$16="بله",AG40/B40,(AG40+L40)/B40),0)</f>
        <v/>
      </c>
      <c r="B40" s="16">
        <f>IF(AND(AI40&gt;=0,AJ40&lt;=Info!$I$6),LOOKUP(Info!$C$8,Rates!$I$2:$I$7,Rates!$F$2:$F$7),0)</f>
        <v/>
      </c>
      <c r="C40" s="13">
        <f>IF(AND(AI40&gt;=0,AJ40&lt;=Info!$I$6),F40+F40*(IF(AJ40&lt;3,VLOOKUP(Info!$C$10,Rates!$A$15:$B$19,2,FALSE),IF(AJ40&lt;5,VLOOKUP(Info!$C$10,Rates!$A$15:$C$19,3,FALSE),VLOOKUP(Info!$C$10,Rates!$A$15:$D$19,4,FALSE)))+(Info!$I$22-IF(AJ40&gt;4,LOOKUP(Info!$C$10,Rates!$D$2:$D$7,Rates!$A$2:$A$7),LOOKUP(Info!$C$10,Rates!$D$2:$D$7,Rates!$C$2:$C$7))))*LOOKUP(Info!$C$8,Rates!$I$2:$I$7,Rates!$G$2:$G$7)+C39*(1+IF(AJ40&lt;3,VLOOKUP(Info!$C$10,Rates!$A$15:$B$19,2,FALSE),IF(AJ40&lt;5,VLOOKUP(Info!$C$10,Rates!$A$15:$C$19,3,FALSE),VLOOKUP(Info!$C$10,Rates!$A$15:$D$19,4,FALSE)))+(Info!$I$22-IF(AJ40&lt;3,VLOOKUP(Info!$C$10,Rates!$A$15:$B$19,2,FALSE),IF(AJ40&lt;5,VLOOKUP(Info!$C$10,Rates!$A$15:$C$19,3,FALSE),VLOOKUP(Info!$C$10,Rates!$A$15:$D$19,4,FALSE))))),0)</f>
        <v/>
      </c>
      <c r="D40" s="13">
        <f>IF(AI40&lt;&gt;"",E40,"")</f>
        <v/>
      </c>
      <c r="E40" s="12">
        <f>IF(AI40&lt;&gt;0,F40*(1+IF(AJ40&lt;3,VLOOKUP(Info!$C$10,Rates!$A$14:$B$19,2,FALSE),IF(AJ40&lt;5,VLOOKUP(Info!$C$10,Rates!$A$14:$C$19,3,FALSE),VLOOKUP(Info!$C$10,Rates!$A$14:$D$19,4,FALSE)))*LOOKUP(Info!$C$8,Rates!$I$2:$I$8,Rates!$G$2:$G$8))+E39*(1+IF(AJ40&lt;3,VLOOKUP(Info!$C$10,Rates!$A$14:$B$19,2,FALSE),IF(AJ40&lt;5,VLOOKUP(Info!$C$10,Rates!$A$14:$C$19,3,FALSE),VLOOKUP(Info!$C$10,Rates!$A$14:$D$19,4,FALSE)))),0)</f>
        <v/>
      </c>
      <c r="F40" s="13">
        <f>IF(AI40&lt;&gt;"",IF(Info!$C$16="بله",IF(AND(AJ40&lt;=Info!$F$20,AJ40&gt;=Info!$I$20),Info!$C$20,0)+(AG40-Y40-L40-K40-J40-I40-H40-G40),IF(AND(AJ40&lt;=Info!$F$20,AJ40&gt;=Info!$I$20),Info!$C$20,0)+(AG40-Y40-K40-J40-I40-H40-G40)),"")</f>
        <v/>
      </c>
      <c r="G40" s="106">
        <f>IF(AI40&lt;&gt;"",Rates!$AA$11*(L40),"")</f>
        <v/>
      </c>
      <c r="H40" s="106">
        <f>IF(AI40&lt;&gt;"",(Rates!$AC$11+Rates!$AB$11)*(L40),"")</f>
        <v/>
      </c>
      <c r="I40" s="13">
        <f>IF(AI40&lt;&gt;"",LOOKUP(Info!$C$8,Rates!$I$2:$I$7,Rates!$H$2:$H$7)*(J40+K40+L40+Y40),"")</f>
        <v/>
      </c>
      <c r="J40" s="13">
        <f>IF(N40="",0,N40)+IF(P40="",0,P40)+IF(Q40="",0,Q40)</f>
        <v/>
      </c>
      <c r="K40" s="13">
        <f>IF(Y40&lt;&gt;"",Info!$C$18*Y40,"")</f>
        <v/>
      </c>
      <c r="L40" s="13">
        <f>IF(R40="",0,R40)+IF(U40="",0,U40)+IF(W40="",0,W40)+IF(V40="",0,V40)+IF(T40="",0,T40)</f>
        <v/>
      </c>
      <c r="M40" s="13" t="n">
        <v>0</v>
      </c>
      <c r="N40" s="13" t="n">
        <v>0</v>
      </c>
      <c r="O40" s="12">
        <f>IF(AJ40&lt;=10,(1-Info!$C$25)*IF(OR(Info!$F$8&gt;0,Info!$F$10&gt;0),IF(0.75*$X$4&lt;=0.03*$AD$4,0.75*(X40-X39),0.03*(AD40-AD39)),0),"")</f>
        <v/>
      </c>
      <c r="P40" s="13">
        <f>IF(AJ40&lt;=5,IF(AI40&lt;&gt;"",0.002*AD40,"")*(1-Info!$I$25),0)</f>
        <v/>
      </c>
      <c r="Q40" s="13">
        <f>(1-Info!$F$25)*IF(AI40&lt;&gt;"",IF(Info!$C$16="بله",0.07*X40,0.07*AG40),"")</f>
        <v/>
      </c>
      <c r="R40" s="13">
        <f>IF(X40&lt;&gt;0,S40*X40,0)*(1-Info!$F$29)</f>
        <v/>
      </c>
      <c r="S40" s="106">
        <f>IF(Info!$I$14="خیر",0,IF(Info!$F$14="بله",IF(Info!$C$14=1,2.3,IF(Info!$C$14=2,3.3,4.3)),1))*IF(AND(AH40&lt;=Rates!$Y$8,AH40&gt;0),(1+Info!$C$18)*(1+LOOKUP(Info!$F$18,Rates!$O$2:$O$9,Rates!$L$2:$L$9)/100)*(LOOKUP(Info!$C$6,Rates!$T$2:$T$108,Rates!$R$2:$R$108)/100),0)</f>
        <v/>
      </c>
      <c r="T40" s="13">
        <f>IF(AI40&lt;71,(1-Info!$F$27)*((AB40*0.0008*(1+(LOOKUP(Info!$I$18,Rates!$O$2:$O$9,Rates!$M$2:$M$9)/100)))),0)</f>
        <v/>
      </c>
      <c r="U40" s="13">
        <f>IF(AI40&lt;71,(1-Info!$I$27)*(((AD40*0.0008*Info!$L$14))*(1+(LOOKUP(Info!$I$18,Rates!$O:$O,Rates!$N:$N)/100))),0)</f>
        <v/>
      </c>
      <c r="V40" s="13">
        <f>((Z40*0.0008))*(1+(LOOKUP(Info!$I$18,Rates!$O$2:$O$9,Rates!$M$2:$M$9)/100))*(1-Info!$C$27)</f>
        <v/>
      </c>
      <c r="W40" s="13">
        <f>IF(AND(AI40&lt;=Rates!$Y$2,AJ40&lt;=Info!$I$6,Info!$F$16="معمولی"),VLOOKUP(AI40,Rates!$T$1:$X$108,5,0),IF(AND(AI40&lt;=Rates!$Y$2,AJ40&lt;=Info!$I$6,Info!$F$16="پایه"),VLOOKUP(AI40,Rates!$T$1:$X$108,2,0),IF(AND(AI40&lt;=Rates!$Y$2,AJ40&lt;=Info!$I$6,Info!$F$16="آسایش "),VLOOKUP(AI40,Rates!$T$1:$X$108,3,0),IF(AND(AI40&lt;=Rates!$Y$2,AJ40&lt;=Info!$I$6,Info!$F$16="ممتاز"),VLOOKUP(AI40,Rates!$T$1:$X$108,4,0),0))))*AA40/1000000*(1+Info!$C$18)*(1-Info!$I$29)</f>
        <v/>
      </c>
      <c r="X40" s="113">
        <f>IF(Info!$C$16="بله",(AG40-W40-U40-V40-T40)/(1+S40),AG40)</f>
        <v/>
      </c>
      <c r="Y40" s="106">
        <f>IF(AI40&lt;&gt;0,(AD40*LOOKUP(AI40,Rates!$T$2:$T$108,Rates!$S$2:$S$108))/SQRT(1.1),0)</f>
        <v/>
      </c>
      <c r="Z40" s="106">
        <f>IF(AND(AI40&lt;=Rates!$Y$10,AI40&gt;=0),Info!$C$12*(AC40-AD40),0)</f>
        <v/>
      </c>
      <c r="AA40" s="13">
        <f>IF(AND(AI40&gt;=0,AI40&lt;=Rates!$Y$2,AG40&gt;0),MIN(AA39*(1+Info!$F$10),5000000000),0)</f>
        <v/>
      </c>
      <c r="AB40" s="106">
        <f>IF(AND(AI40&gt;=0,AI40&lt;=65),AD40*Info!$L$16,0)</f>
        <v/>
      </c>
      <c r="AC40" s="13">
        <f>IF(AND(AI40&gt;=0,AI40&lt;=Rates!$Y$3),AD40*(1+Info!$L$14),AD40)</f>
        <v/>
      </c>
      <c r="AD40" s="106">
        <f>IF(AI40&lt;&gt;0,AD39*(1+Info!$F$10),0)</f>
        <v/>
      </c>
      <c r="AE40" s="105">
        <f>IF(AI40&lt;&gt;0,AF40+AE39,0)</f>
        <v/>
      </c>
      <c r="AF40" s="13">
        <f>IF(AI40&gt;=0,IF(Info!$C$16="بله",AG40,AG40+L40),"")</f>
        <v/>
      </c>
      <c r="AG40" s="107">
        <f>IF(AI40&lt;&gt;0,AG39*(1+Info!$F$8),0)</f>
        <v/>
      </c>
      <c r="AH40" s="111">
        <f>IF(AJ40&lt;&gt;"",Info!$C$6+AJ40-1,0)</f>
        <v/>
      </c>
      <c r="AI40" s="17">
        <f>IF(AJ40&lt;&gt;"",IF(Info!$F$6+AJ40-1&lt;=Rates!$Y$11,Info!$F$6+AJ40-1,0),0)</f>
        <v/>
      </c>
      <c r="AJ40" s="18">
        <f>IF(AI39&lt;&gt;"",IF(AND(AJ39&lt;&gt;"",AI39+1&lt;=Rates!$Y$11),IF(AJ39&lt;&gt;0,IF(AJ39+1&lt;=Info!$I$6,AJ39+1,""),0),""),"")</f>
        <v/>
      </c>
    </row>
    <row r="41" ht="14.25" customFormat="1" customHeight="1" s="164">
      <c r="A41" s="11">
        <f>IF(B41&gt;0,IF(Info!$C$16="بله",AG41/B41,(AG41+L41)/B41),0)</f>
        <v/>
      </c>
      <c r="B41" s="11">
        <f>IF(AND(AI41&gt;=0,AJ41&lt;=Info!$I$6),LOOKUP(Info!$C$8,Rates!$I$2:$I$7,Rates!$F$2:$F$7),0)</f>
        <v/>
      </c>
      <c r="C41" s="12">
        <f>IF(AND(AI41&gt;=0,AJ41&lt;=Info!$I$6),F41+F41*(IF(AJ41&lt;3,VLOOKUP(Info!$C$10,Rates!$A$15:$B$19,2,FALSE),IF(AJ41&lt;5,VLOOKUP(Info!$C$10,Rates!$A$15:$C$19,3,FALSE),VLOOKUP(Info!$C$10,Rates!$A$15:$D$19,4,FALSE)))+(Info!$I$22-IF(AJ41&gt;4,LOOKUP(Info!$C$10,Rates!$D$2:$D$7,Rates!$A$2:$A$7),LOOKUP(Info!$C$10,Rates!$D$2:$D$7,Rates!$C$2:$C$7))))*LOOKUP(Info!$C$8,Rates!$I$2:$I$7,Rates!$G$2:$G$7)+C40*(1+IF(AJ41&lt;3,VLOOKUP(Info!$C$10,Rates!$A$15:$B$19,2,FALSE),IF(AJ41&lt;5,VLOOKUP(Info!$C$10,Rates!$A$15:$C$19,3,FALSE),VLOOKUP(Info!$C$10,Rates!$A$15:$D$19,4,FALSE)))+(Info!$I$22-IF(AJ41&lt;3,VLOOKUP(Info!$C$10,Rates!$A$15:$B$19,2,FALSE),IF(AJ41&lt;5,VLOOKUP(Info!$C$10,Rates!$A$15:$C$19,3,FALSE),VLOOKUP(Info!$C$10,Rates!$A$15:$D$19,4,FALSE))))),0)</f>
        <v/>
      </c>
      <c r="D41" s="12">
        <f>IF(AI41&lt;&gt;"",E41,"")</f>
        <v/>
      </c>
      <c r="E41" s="12">
        <f>IF(AI41&lt;&gt;0,F41*(1+IF(AJ41&lt;3,VLOOKUP(Info!$C$10,Rates!$A$14:$B$19,2,FALSE),IF(AJ41&lt;5,VLOOKUP(Info!$C$10,Rates!$A$14:$C$19,3,FALSE),VLOOKUP(Info!$C$10,Rates!$A$14:$D$19,4,FALSE)))*LOOKUP(Info!$C$8,Rates!$I$2:$I$8,Rates!$G$2:$G$8))+E40*(1+IF(AJ41&lt;3,VLOOKUP(Info!$C$10,Rates!$A$14:$B$19,2,FALSE),IF(AJ41&lt;5,VLOOKUP(Info!$C$10,Rates!$A$14:$C$19,3,FALSE),VLOOKUP(Info!$C$10,Rates!$A$14:$D$19,4,FALSE)))),0)</f>
        <v/>
      </c>
      <c r="F41" s="12">
        <f>IF(AI41&lt;&gt;"",IF(Info!$C$16="بله",IF(AND(AJ41&lt;=Info!$F$20,AJ41&gt;=Info!$I$20),Info!$C$20,0)+(AG41-Y41-L41-K41-J41-I41-H41-G41),IF(AND(AJ41&lt;=Info!$F$20,AJ41&gt;=Info!$I$20),Info!$C$20,0)+(AG41-Y41-K41-J41-I41-H41-G41)),"")</f>
        <v/>
      </c>
      <c r="G41" s="107">
        <f>IF(AI41&lt;&gt;"",Rates!$AA$11*(L41),"")</f>
        <v/>
      </c>
      <c r="H41" s="107">
        <f>IF(AI41&lt;&gt;"",(Rates!$AC$11+Rates!$AB$11)*(L41),"")</f>
        <v/>
      </c>
      <c r="I41" s="12">
        <f>IF(AI41&lt;&gt;"",LOOKUP(Info!$C$8,Rates!$I$2:$I$7,Rates!$H$2:$H$7)*(J41+K41+L41+Y41),"")</f>
        <v/>
      </c>
      <c r="J41" s="12">
        <f>IF(N41="",0,N41)+IF(P41="",0,P41)+IF(Q41="",0,Q41)</f>
        <v/>
      </c>
      <c r="K41" s="12">
        <f>IF(Y41&lt;&gt;"",Info!$C$18*Y41,"")</f>
        <v/>
      </c>
      <c r="L41" s="12">
        <f>IF(R41="",0,R41)+IF(U41="",0,U41)+IF(W41="",0,W41)+IF(V41="",0,V41)+IF(T41="",0,T41)</f>
        <v/>
      </c>
      <c r="M41" s="12" t="n">
        <v>0</v>
      </c>
      <c r="N41" s="12" t="n">
        <v>0</v>
      </c>
      <c r="O41" s="12">
        <f>IF(AJ41&lt;=10,(1-Info!$C$25)*IF(OR(Info!$F$8&gt;0,Info!$F$10&gt;0),IF(0.75*$X$4&lt;=0.03*$AD$4,0.75*(X41-X40),0.03*(AD41-AD40)),0),"")</f>
        <v/>
      </c>
      <c r="P41" s="12">
        <f>IF(AJ41&lt;=5,IF(AI41&lt;&gt;"",0.002*AD41,"")*(1-Info!$I$25),0)</f>
        <v/>
      </c>
      <c r="Q41" s="12">
        <f>(1-Info!$F$25)*IF(AI41&lt;&gt;"",IF(Info!$C$16="بله",0.07*X41,0.07*AG41),"")</f>
        <v/>
      </c>
      <c r="R41" s="12">
        <f>IF(X41&lt;&gt;0,S41*X41,0)*(1-Info!$F$29)</f>
        <v/>
      </c>
      <c r="S41" s="107">
        <f>IF(Info!$I$14="خیر",0,IF(Info!$F$14="بله",IF(Info!$C$14=1,2.3,IF(Info!$C$14=2,3.3,4.3)),1))*IF(AND(AH41&lt;=Rates!$Y$8,AH41&gt;0),(1+Info!$C$18)*(1+LOOKUP(Info!$F$18,Rates!$O$2:$O$9,Rates!$L$2:$L$9)/100)*(LOOKUP(Info!$C$6,Rates!$T$2:$T$108,Rates!$R$2:$R$108)/100),0)</f>
        <v/>
      </c>
      <c r="T41" s="12">
        <f>IF(AI41&lt;71,(1-Info!$F$27)*((AB41*0.0008*(1+(LOOKUP(Info!$I$18,Rates!$O$2:$O$9,Rates!$M$2:$M$9)/100)))),0)</f>
        <v/>
      </c>
      <c r="U41" s="12">
        <f>IF(AI41&lt;71,(1-Info!$I$27)*(((AD41*0.0008*Info!$L$14))*(1+(LOOKUP(Info!$I$18,Rates!$O:$O,Rates!$N:$N)/100))),0)</f>
        <v/>
      </c>
      <c r="V41" s="12">
        <f>((Z41*0.0008))*(1+(LOOKUP(Info!$I$18,Rates!$O$2:$O$9,Rates!$M$2:$M$9)/100))*(1-Info!$C$27)</f>
        <v/>
      </c>
      <c r="W41" s="12">
        <f>IF(AND(AI41&lt;=Rates!$Y$2,AJ41&lt;=Info!$I$6,Info!$F$16="معمولی"),VLOOKUP(AI41,Rates!$T$1:$X$108,5,0),IF(AND(AI41&lt;=Rates!$Y$2,AJ41&lt;=Info!$I$6,Info!$F$16="پایه"),VLOOKUP(AI41,Rates!$T$1:$X$108,2,0),IF(AND(AI41&lt;=Rates!$Y$2,AJ41&lt;=Info!$I$6,Info!$F$16="آسایش "),VLOOKUP(AI41,Rates!$T$1:$X$108,3,0),IF(AND(AI41&lt;=Rates!$Y$2,AJ41&lt;=Info!$I$6,Info!$F$16="ممتاز"),VLOOKUP(AI41,Rates!$T$1:$X$108,4,0),0))))*AA41/1000000*(1+Info!$C$18)*(1-Info!$I$29)</f>
        <v/>
      </c>
      <c r="X41" s="12">
        <f>IF(Info!$C$16="بله",(AG41-W41-U41-V41-T41)/(1+S41),AG41)</f>
        <v/>
      </c>
      <c r="Y41" s="107">
        <f>IF(AI41&lt;&gt;0,(AD41*LOOKUP(AI41,Rates!$T$2:$T$108,Rates!$S$2:$S$108))/SQRT(1.1),0)</f>
        <v/>
      </c>
      <c r="Z41" s="107">
        <f>IF(AND(AI41&lt;=Rates!$Y$10,AI41&gt;=0),Info!$C$12*(AC41-AD41),0)</f>
        <v/>
      </c>
      <c r="AA41" s="12">
        <f>IF(AND(AI41&gt;=0,AI41&lt;=Rates!$Y$2,AG41&gt;0),MIN(AA40*(1+Info!$F$10),5000000000),0)</f>
        <v/>
      </c>
      <c r="AB41" s="107">
        <f>IF(AND(AI41&gt;=0,AI41&lt;=65),AD41*Info!$L$16,0)</f>
        <v/>
      </c>
      <c r="AC41" s="12">
        <f>IF(AND(AI41&gt;=0,AI41&lt;=Rates!$Y$3),AD41*(1+Info!$L$14),AD41)</f>
        <v/>
      </c>
      <c r="AD41" s="107">
        <f>IF(AI41&lt;&gt;0,AD40*(1+Info!$F$10),0)</f>
        <v/>
      </c>
      <c r="AE41" s="104">
        <f>IF(AI41&lt;&gt;0,AF41+AE40,0)</f>
        <v/>
      </c>
      <c r="AF41" s="12">
        <f>IF(AI41&gt;=0,IF(Info!$C$16="بله",AG41,AG41+L41),"")</f>
        <v/>
      </c>
      <c r="AG41" s="107">
        <f>IF(AI41&lt;&gt;0,AG40*(1+Info!$F$8),0)</f>
        <v/>
      </c>
      <c r="AH41" s="110">
        <f>IF(AJ41&lt;&gt;"",Info!$C$6+AJ41-1,0)</f>
        <v/>
      </c>
      <c r="AI41" s="14">
        <f>IF(AJ41&lt;&gt;"",IF(Info!$F$6+AJ41-1&lt;=Rates!$Y$11,Info!$F$6+AJ41-1,0),0)</f>
        <v/>
      </c>
      <c r="AJ41" s="15">
        <f>IF(AI40&lt;&gt;"",IF(AND(AJ40&lt;&gt;"",AI40+1&lt;=Rates!$Y$11),IF(AJ40&lt;&gt;0,IF(AJ40+1&lt;=Info!$I$6,AJ40+1,""),0),""),"")</f>
        <v/>
      </c>
    </row>
    <row r="42" ht="14.25" customFormat="1" customHeight="1" s="164">
      <c r="A42" s="16">
        <f>IF(B42&gt;0,IF(Info!$C$16="بله",AG42/B42,(AG42+L42)/B42),0)</f>
        <v/>
      </c>
      <c r="B42" s="16">
        <f>IF(AND(AI42&gt;=0,AJ42&lt;=Info!$I$6),LOOKUP(Info!$C$8,Rates!$I$2:$I$7,Rates!$F$2:$F$7),0)</f>
        <v/>
      </c>
      <c r="C42" s="13">
        <f>IF(AND(AI42&gt;=0,AJ42&lt;=Info!$I$6),F42+F42*(IF(AJ42&lt;3,VLOOKUP(Info!$C$10,Rates!$A$15:$B$19,2,FALSE),IF(AJ42&lt;5,VLOOKUP(Info!$C$10,Rates!$A$15:$C$19,3,FALSE),VLOOKUP(Info!$C$10,Rates!$A$15:$D$19,4,FALSE)))+(Info!$I$22-IF(AJ42&gt;4,LOOKUP(Info!$C$10,Rates!$D$2:$D$7,Rates!$A$2:$A$7),LOOKUP(Info!$C$10,Rates!$D$2:$D$7,Rates!$C$2:$C$7))))*LOOKUP(Info!$C$8,Rates!$I$2:$I$7,Rates!$G$2:$G$7)+C41*(1+IF(AJ42&lt;3,VLOOKUP(Info!$C$10,Rates!$A$15:$B$19,2,FALSE),IF(AJ42&lt;5,VLOOKUP(Info!$C$10,Rates!$A$15:$C$19,3,FALSE),VLOOKUP(Info!$C$10,Rates!$A$15:$D$19,4,FALSE)))+(Info!$I$22-IF(AJ42&lt;3,VLOOKUP(Info!$C$10,Rates!$A$15:$B$19,2,FALSE),IF(AJ42&lt;5,VLOOKUP(Info!$C$10,Rates!$A$15:$C$19,3,FALSE),VLOOKUP(Info!$C$10,Rates!$A$15:$D$19,4,FALSE))))),0)</f>
        <v/>
      </c>
      <c r="D42" s="13">
        <f>IF(AI42&lt;&gt;"",E42,"")</f>
        <v/>
      </c>
      <c r="E42" s="12">
        <f>IF(AI42&lt;&gt;0,F42*(1+IF(AJ42&lt;3,VLOOKUP(Info!$C$10,Rates!$A$14:$B$19,2,FALSE),IF(AJ42&lt;5,VLOOKUP(Info!$C$10,Rates!$A$14:$C$19,3,FALSE),VLOOKUP(Info!$C$10,Rates!$A$14:$D$19,4,FALSE)))*LOOKUP(Info!$C$8,Rates!$I$2:$I$8,Rates!$G$2:$G$8))+E41*(1+IF(AJ42&lt;3,VLOOKUP(Info!$C$10,Rates!$A$14:$B$19,2,FALSE),IF(AJ42&lt;5,VLOOKUP(Info!$C$10,Rates!$A$14:$C$19,3,FALSE),VLOOKUP(Info!$C$10,Rates!$A$14:$D$19,4,FALSE)))),0)</f>
        <v/>
      </c>
      <c r="F42" s="13">
        <f>IF(AI42&lt;&gt;"",IF(Info!$C$16="بله",IF(AND(AJ42&lt;=Info!$F$20,AJ42&gt;=Info!$I$20),Info!$C$20,0)+(AG42-Y42-L42-K42-J42-I42-H42-G42),IF(AND(AJ42&lt;=Info!$F$20,AJ42&gt;=Info!$I$20),Info!$C$20,0)+(AG42-Y42-K42-J42-I42-H42-G42)),"")</f>
        <v/>
      </c>
      <c r="G42" s="106">
        <f>IF(AI42&lt;&gt;"",Rates!$AA$11*(L42),"")</f>
        <v/>
      </c>
      <c r="H42" s="106">
        <f>IF(AI42&lt;&gt;"",(Rates!$AC$11+Rates!$AB$11)*(L42),"")</f>
        <v/>
      </c>
      <c r="I42" s="13">
        <f>IF(AI42&lt;&gt;"",LOOKUP(Info!$C$8,Rates!$I$2:$I$7,Rates!$H$2:$H$7)*(J42+K42+L42+Y42),"")</f>
        <v/>
      </c>
      <c r="J42" s="13">
        <f>IF(N42="",0,N42)+IF(P42="",0,P42)+IF(Q42="",0,Q42)</f>
        <v/>
      </c>
      <c r="K42" s="13">
        <f>IF(Y42&lt;&gt;"",Info!$C$18*Y42,"")</f>
        <v/>
      </c>
      <c r="L42" s="13">
        <f>IF(R42="",0,R42)+IF(U42="",0,U42)+IF(W42="",0,W42)+IF(V42="",0,V42)+IF(T42="",0,T42)</f>
        <v/>
      </c>
      <c r="M42" s="13" t="n">
        <v>0</v>
      </c>
      <c r="N42" s="13" t="n">
        <v>0</v>
      </c>
      <c r="O42" s="12">
        <f>IF(AJ42&lt;=10,(1-Info!$C$25)*IF(OR(Info!$F$8&gt;0,Info!$F$10&gt;0),IF(0.75*$X$4&lt;=0.03*$AD$4,0.75*(X42-X41),0.03*(AD42-AD41)),0),"")</f>
        <v/>
      </c>
      <c r="P42" s="13">
        <f>IF(AJ42&lt;=5,IF(AI42&lt;&gt;"",0.002*AD42,"")*(1-Info!$I$25),0)</f>
        <v/>
      </c>
      <c r="Q42" s="13">
        <f>(1-Info!$F$25)*IF(AI42&lt;&gt;"",IF(Info!$C$16="بله",0.07*X42,0.07*AG42),"")</f>
        <v/>
      </c>
      <c r="R42" s="13">
        <f>IF(X42&lt;&gt;0,S42*X42,0)*(1-Info!$F$29)</f>
        <v/>
      </c>
      <c r="S42" s="106">
        <f>IF(Info!$I$14="خیر",0,IF(Info!$F$14="بله",IF(Info!$C$14=1,2.3,IF(Info!$C$14=2,3.3,4.3)),1))*IF(AND(AH42&lt;=Rates!$Y$8,AH42&gt;0),(1+Info!$C$18)*(1+LOOKUP(Info!$F$18,Rates!$O$2:$O$9,Rates!$L$2:$L$9)/100)*(LOOKUP(Info!$C$6,Rates!$T$2:$T$108,Rates!$R$2:$R$108)/100),0)</f>
        <v/>
      </c>
      <c r="T42" s="13">
        <f>IF(AI42&lt;71,(1-Info!$F$27)*((AB42*0.0008*(1+(LOOKUP(Info!$I$18,Rates!$O$2:$O$9,Rates!$M$2:$M$9)/100)))),0)</f>
        <v/>
      </c>
      <c r="U42" s="13">
        <f>IF(AI42&lt;71,(1-Info!$I$27)*(((AD42*0.0008*Info!$L$14))*(1+(LOOKUP(Info!$I$18,Rates!$O:$O,Rates!$N:$N)/100))),0)</f>
        <v/>
      </c>
      <c r="V42" s="13">
        <f>((Z42*0.0008))*(1+(LOOKUP(Info!$I$18,Rates!$O$2:$O$9,Rates!$M$2:$M$9)/100))*(1-Info!$C$27)</f>
        <v/>
      </c>
      <c r="W42" s="13">
        <f>IF(AND(AI42&lt;=Rates!$Y$2,AJ42&lt;=Info!$I$6,Info!$F$16="معمولی"),VLOOKUP(AI42,Rates!$T$1:$X$108,5,0),IF(AND(AI42&lt;=Rates!$Y$2,AJ42&lt;=Info!$I$6,Info!$F$16="پایه"),VLOOKUP(AI42,Rates!$T$1:$X$108,2,0),IF(AND(AI42&lt;=Rates!$Y$2,AJ42&lt;=Info!$I$6,Info!$F$16="آسایش "),VLOOKUP(AI42,Rates!$T$1:$X$108,3,0),IF(AND(AI42&lt;=Rates!$Y$2,AJ42&lt;=Info!$I$6,Info!$F$16="ممتاز"),VLOOKUP(AI42,Rates!$T$1:$X$108,4,0),0))))*AA42/1000000*(1+Info!$C$18)*(1-Info!$I$29)</f>
        <v/>
      </c>
      <c r="X42" s="113">
        <f>IF(Info!$C$16="بله",(AG42-W42-U42-V42-T42)/(1+S42),AG42)</f>
        <v/>
      </c>
      <c r="Y42" s="106">
        <f>IF(AI42&lt;&gt;0,(AD42*LOOKUP(AI42,Rates!$T$2:$T$108,Rates!$S$2:$S$108))/SQRT(1.1),0)</f>
        <v/>
      </c>
      <c r="Z42" s="106">
        <f>IF(AND(AI42&lt;=Rates!$Y$10,AI42&gt;=0),Info!$C$12*(AC42-AD42),0)</f>
        <v/>
      </c>
      <c r="AA42" s="13">
        <f>IF(AND(AI42&gt;=0,AI42&lt;=Rates!$Y$2,AG42&gt;0),MIN(AA41*(1+Info!$F$10),5000000000),0)</f>
        <v/>
      </c>
      <c r="AB42" s="106">
        <f>IF(AND(AI42&gt;=0,AI42&lt;=65),AD42*Info!$L$16,0)</f>
        <v/>
      </c>
      <c r="AC42" s="13">
        <f>IF(AND(AI42&gt;=0,AI42&lt;=Rates!$Y$3),AD42*(1+Info!$L$14),AD42)</f>
        <v/>
      </c>
      <c r="AD42" s="106">
        <f>IF(AI42&lt;&gt;0,AD41*(1+Info!$F$10),0)</f>
        <v/>
      </c>
      <c r="AE42" s="105">
        <f>IF(AI42&lt;&gt;0,AF42+AE41,0)</f>
        <v/>
      </c>
      <c r="AF42" s="13">
        <f>IF(AI42&gt;=0,IF(Info!$C$16="بله",AG42,AG42+L42),"")</f>
        <v/>
      </c>
      <c r="AG42" s="107">
        <f>IF(AI42&lt;&gt;0,AG41*(1+Info!$F$8),0)</f>
        <v/>
      </c>
      <c r="AH42" s="111">
        <f>IF(AJ42&lt;&gt;"",Info!$C$6+AJ42-1,0)</f>
        <v/>
      </c>
      <c r="AI42" s="17">
        <f>IF(AJ42&lt;&gt;"",IF(Info!$F$6+AJ42-1&lt;=Rates!$Y$11,Info!$F$6+AJ42-1,0),0)</f>
        <v/>
      </c>
      <c r="AJ42" s="18">
        <f>IF(AI41&lt;&gt;"",IF(AND(AJ41&lt;&gt;"",AI41+1&lt;=Rates!$Y$11),IF(AJ41&lt;&gt;0,IF(AJ41+1&lt;=Info!$I$6,AJ41+1,""),0),""),"")</f>
        <v/>
      </c>
    </row>
    <row r="43" ht="14.25" customFormat="1" customHeight="1" s="164">
      <c r="A43" s="11">
        <f>IF(B43&gt;0,IF(Info!$C$16="بله",AG43/B43,(AG43+L43)/B43),0)</f>
        <v/>
      </c>
      <c r="B43" s="11">
        <f>IF(AND(AI43&gt;=0,AJ43&lt;=Info!$I$6),LOOKUP(Info!$C$8,Rates!$I$2:$I$7,Rates!$F$2:$F$7),0)</f>
        <v/>
      </c>
      <c r="C43" s="12">
        <f>IF(AND(AI43&gt;=0,AJ43&lt;=Info!$I$6),F43+F43*(IF(AJ43&lt;3,VLOOKUP(Info!$C$10,Rates!$A$15:$B$19,2,FALSE),IF(AJ43&lt;5,VLOOKUP(Info!$C$10,Rates!$A$15:$C$19,3,FALSE),VLOOKUP(Info!$C$10,Rates!$A$15:$D$19,4,FALSE)))+(Info!$I$22-IF(AJ43&gt;4,LOOKUP(Info!$C$10,Rates!$D$2:$D$7,Rates!$A$2:$A$7),LOOKUP(Info!$C$10,Rates!$D$2:$D$7,Rates!$C$2:$C$7))))*LOOKUP(Info!$C$8,Rates!$I$2:$I$7,Rates!$G$2:$G$7)+C42*(1+IF(AJ43&lt;3,VLOOKUP(Info!$C$10,Rates!$A$15:$B$19,2,FALSE),IF(AJ43&lt;5,VLOOKUP(Info!$C$10,Rates!$A$15:$C$19,3,FALSE),VLOOKUP(Info!$C$10,Rates!$A$15:$D$19,4,FALSE)))+(Info!$I$22-IF(AJ43&lt;3,VLOOKUP(Info!$C$10,Rates!$A$15:$B$19,2,FALSE),IF(AJ43&lt;5,VLOOKUP(Info!$C$10,Rates!$A$15:$C$19,3,FALSE),VLOOKUP(Info!$C$10,Rates!$A$15:$D$19,4,FALSE))))),0)</f>
        <v/>
      </c>
      <c r="D43" s="12">
        <f>IF(AI43&lt;&gt;"",E43,"")</f>
        <v/>
      </c>
      <c r="E43" s="12">
        <f>IF(AI43&lt;&gt;0,F43*(1+IF(AJ43&lt;3,VLOOKUP(Info!$C$10,Rates!$A$14:$B$19,2,FALSE),IF(AJ43&lt;5,VLOOKUP(Info!$C$10,Rates!$A$14:$C$19,3,FALSE),VLOOKUP(Info!$C$10,Rates!$A$14:$D$19,4,FALSE)))*LOOKUP(Info!$C$8,Rates!$I$2:$I$8,Rates!$G$2:$G$8))+E42*(1+IF(AJ43&lt;3,VLOOKUP(Info!$C$10,Rates!$A$14:$B$19,2,FALSE),IF(AJ43&lt;5,VLOOKUP(Info!$C$10,Rates!$A$14:$C$19,3,FALSE),VLOOKUP(Info!$C$10,Rates!$A$14:$D$19,4,FALSE)))),0)</f>
        <v/>
      </c>
      <c r="F43" s="12">
        <f>IF(AI43&lt;&gt;"",IF(Info!$C$16="بله",IF(AND(AJ43&lt;=Info!$F$20,AJ43&gt;=Info!$I$20),Info!$C$20,0)+(AG43-Y43-L43-K43-J43-I43-H43-G43),IF(AND(AJ43&lt;=Info!$F$20,AJ43&gt;=Info!$I$20),Info!$C$20,0)+(AG43-Y43-K43-J43-I43-H43-G43)),"")</f>
        <v/>
      </c>
      <c r="G43" s="107">
        <f>IF(AI43&lt;&gt;"",Rates!$AA$11*(L43),"")</f>
        <v/>
      </c>
      <c r="H43" s="107">
        <f>IF(AI43&lt;&gt;"",(Rates!$AC$11+Rates!$AB$11)*(L43),"")</f>
        <v/>
      </c>
      <c r="I43" s="12">
        <f>IF(AI43&lt;&gt;"",LOOKUP(Info!$C$8,Rates!$I$2:$I$7,Rates!$H$2:$H$7)*(J43+K43+L43+Y43),"")</f>
        <v/>
      </c>
      <c r="J43" s="12">
        <f>IF(N43="",0,N43)+IF(P43="",0,P43)+IF(Q43="",0,Q43)</f>
        <v/>
      </c>
      <c r="K43" s="12">
        <f>IF(Y43&lt;&gt;"",Info!$C$18*Y43,"")</f>
        <v/>
      </c>
      <c r="L43" s="12">
        <f>IF(R43="",0,R43)+IF(U43="",0,U43)+IF(W43="",0,W43)+IF(V43="",0,V43)+IF(T43="",0,T43)</f>
        <v/>
      </c>
      <c r="M43" s="12" t="n">
        <v>0</v>
      </c>
      <c r="N43" s="12" t="n">
        <v>0</v>
      </c>
      <c r="O43" s="12">
        <f>IF(AJ43&lt;=10,(1-Info!$C$25)*IF(OR(Info!$F$8&gt;0,Info!$F$10&gt;0),IF(0.75*$X$4&lt;=0.03*$AD$4,0.75*(X43-X42),0.03*(AD43-AD42)),0),"")</f>
        <v/>
      </c>
      <c r="P43" s="12">
        <f>IF(AJ43&lt;=5,IF(AI43&lt;&gt;"",0.002*AD43,"")*(1-Info!$I$25),0)</f>
        <v/>
      </c>
      <c r="Q43" s="12">
        <f>(1-Info!$F$25)*IF(AI43&lt;&gt;"",IF(Info!$C$16="بله",0.07*X43,0.07*AG43),"")</f>
        <v/>
      </c>
      <c r="R43" s="12">
        <f>IF(X43&lt;&gt;0,S43*X43,0)*(1-Info!$F$29)</f>
        <v/>
      </c>
      <c r="S43" s="107">
        <f>IF(Info!$I$14="خیر",0,IF(Info!$F$14="بله",IF(Info!$C$14=1,2.3,IF(Info!$C$14=2,3.3,4.3)),1))*IF(AND(AH43&lt;=Rates!$Y$8,AH43&gt;0),(1+Info!$C$18)*(1+LOOKUP(Info!$F$18,Rates!$O$2:$O$9,Rates!$L$2:$L$9)/100)*(LOOKUP(Info!$C$6,Rates!$T$2:$T$108,Rates!$R$2:$R$108)/100),0)</f>
        <v/>
      </c>
      <c r="T43" s="12">
        <f>IF(AI43&lt;71,(1-Info!$F$27)*((AB43*0.0008*(1+(LOOKUP(Info!$I$18,Rates!$O$2:$O$9,Rates!$M$2:$M$9)/100)))),0)</f>
        <v/>
      </c>
      <c r="U43" s="12">
        <f>IF(AI43&lt;71,(1-Info!$I$27)*(((AD43*0.0008*Info!$L$14))*(1+(LOOKUP(Info!$I$18,Rates!$O:$O,Rates!$N:$N)/100))),0)</f>
        <v/>
      </c>
      <c r="V43" s="12">
        <f>((Z43*0.0008))*(1+(LOOKUP(Info!$I$18,Rates!$O$2:$O$9,Rates!$M$2:$M$9)/100))*(1-Info!$C$27)</f>
        <v/>
      </c>
      <c r="W43" s="12">
        <f>IF(AND(AI43&lt;=Rates!$Y$2,AJ43&lt;=Info!$I$6,Info!$F$16="معمولی"),VLOOKUP(AI43,Rates!$T$1:$X$108,5,0),IF(AND(AI43&lt;=Rates!$Y$2,AJ43&lt;=Info!$I$6,Info!$F$16="پایه"),VLOOKUP(AI43,Rates!$T$1:$X$108,2,0),IF(AND(AI43&lt;=Rates!$Y$2,AJ43&lt;=Info!$I$6,Info!$F$16="آسایش "),VLOOKUP(AI43,Rates!$T$1:$X$108,3,0),IF(AND(AI43&lt;=Rates!$Y$2,AJ43&lt;=Info!$I$6,Info!$F$16="ممتاز"),VLOOKUP(AI43,Rates!$T$1:$X$108,4,0),0))))*AA43/1000000*(1+Info!$C$18)*(1-Info!$I$29)</f>
        <v/>
      </c>
      <c r="X43" s="12">
        <f>IF(Info!$C$16="بله",(AG43-W43-U43-V43-T43)/(1+S43),AG43)</f>
        <v/>
      </c>
      <c r="Y43" s="107">
        <f>IF(AI43&lt;&gt;0,(AD43*LOOKUP(AI43,Rates!$T$2:$T$108,Rates!$S$2:$S$108))/SQRT(1.1),0)</f>
        <v/>
      </c>
      <c r="Z43" s="107">
        <f>IF(AND(AI43&lt;=Rates!$Y$10,AI43&gt;=0),Info!$C$12*(AC43-AD43),0)</f>
        <v/>
      </c>
      <c r="AA43" s="12">
        <f>IF(AND(AI43&gt;=0,AI43&lt;=Rates!$Y$2,AG43&gt;0),MIN(AA42*(1+Info!$F$10),5000000000),0)</f>
        <v/>
      </c>
      <c r="AB43" s="107">
        <f>IF(AND(AI43&gt;=0,AI43&lt;=65),AD43*Info!$L$16,0)</f>
        <v/>
      </c>
      <c r="AC43" s="12">
        <f>IF(AND(AI43&gt;=0,AI43&lt;=Rates!$Y$3),AD43*(1+Info!$L$14),AD43)</f>
        <v/>
      </c>
      <c r="AD43" s="107">
        <f>IF(AI43&lt;&gt;0,AD42*(1+Info!$F$10),0)</f>
        <v/>
      </c>
      <c r="AE43" s="104">
        <f>IF(AI43&lt;&gt;0,AF43+AE42,0)</f>
        <v/>
      </c>
      <c r="AF43" s="12">
        <f>IF(AI43&gt;=0,IF(Info!$C$16="بله",AG43,AG43+L43),"")</f>
        <v/>
      </c>
      <c r="AG43" s="107">
        <f>IF(AI43&lt;&gt;0,AG42*(1+Info!$F$8),0)</f>
        <v/>
      </c>
      <c r="AH43" s="110">
        <f>IF(AJ43&lt;&gt;"",Info!$C$6+AJ43-1,0)</f>
        <v/>
      </c>
      <c r="AI43" s="14">
        <f>IF(AJ43&lt;&gt;"",IF(Info!$F$6+AJ43-1&lt;=Rates!$Y$11,Info!$F$6+AJ43-1,0),0)</f>
        <v/>
      </c>
      <c r="AJ43" s="15">
        <f>IF(AI42&lt;&gt;"",IF(AND(AJ42&lt;&gt;"",AI42+1&lt;=Rates!$Y$11),IF(AJ42&lt;&gt;0,IF(AJ42+1&lt;=Info!$I$6,AJ42+1,""),0),""),"")</f>
        <v/>
      </c>
    </row>
    <row r="44" ht="14.25" customFormat="1" customHeight="1" s="164">
      <c r="A44" s="16">
        <f>IF(B44&gt;0,IF(Info!$C$16="بله",AG44/B44,(AG44+L44)/B44),0)</f>
        <v/>
      </c>
      <c r="B44" s="16">
        <f>IF(AND(AI44&gt;=0,AJ44&lt;=Info!$I$6),LOOKUP(Info!$C$8,Rates!$I$2:$I$7,Rates!$F$2:$F$7),0)</f>
        <v/>
      </c>
      <c r="C44" s="13">
        <f>IF(AND(AI44&gt;=0,AJ44&lt;=Info!$I$6),F44+F44*(IF(AJ44&lt;3,VLOOKUP(Info!$C$10,Rates!$A$15:$B$19,2,FALSE),IF(AJ44&lt;5,VLOOKUP(Info!$C$10,Rates!$A$15:$C$19,3,FALSE),VLOOKUP(Info!$C$10,Rates!$A$15:$D$19,4,FALSE)))+(Info!$I$22-IF(AJ44&gt;4,LOOKUP(Info!$C$10,Rates!$D$2:$D$7,Rates!$A$2:$A$7),LOOKUP(Info!$C$10,Rates!$D$2:$D$7,Rates!$C$2:$C$7))))*LOOKUP(Info!$C$8,Rates!$I$2:$I$7,Rates!$G$2:$G$7)+C43*(1+IF(AJ44&lt;3,VLOOKUP(Info!$C$10,Rates!$A$15:$B$19,2,FALSE),IF(AJ44&lt;5,VLOOKUP(Info!$C$10,Rates!$A$15:$C$19,3,FALSE),VLOOKUP(Info!$C$10,Rates!$A$15:$D$19,4,FALSE)))+(Info!$I$22-IF(AJ44&lt;3,VLOOKUP(Info!$C$10,Rates!$A$15:$B$19,2,FALSE),IF(AJ44&lt;5,VLOOKUP(Info!$C$10,Rates!$A$15:$C$19,3,FALSE),VLOOKUP(Info!$C$10,Rates!$A$15:$D$19,4,FALSE))))),0)</f>
        <v/>
      </c>
      <c r="D44" s="13">
        <f>IF(AI44&lt;&gt;"",E44,"")</f>
        <v/>
      </c>
      <c r="E44" s="12">
        <f>IF(AI44&lt;&gt;0,F44*(1+IF(AJ44&lt;3,VLOOKUP(Info!$C$10,Rates!$A$14:$B$19,2,FALSE),IF(AJ44&lt;5,VLOOKUP(Info!$C$10,Rates!$A$14:$C$19,3,FALSE),VLOOKUP(Info!$C$10,Rates!$A$14:$D$19,4,FALSE)))*LOOKUP(Info!$C$8,Rates!$I$2:$I$8,Rates!$G$2:$G$8))+E43*(1+IF(AJ44&lt;3,VLOOKUP(Info!$C$10,Rates!$A$14:$B$19,2,FALSE),IF(AJ44&lt;5,VLOOKUP(Info!$C$10,Rates!$A$14:$C$19,3,FALSE),VLOOKUP(Info!$C$10,Rates!$A$14:$D$19,4,FALSE)))),0)</f>
        <v/>
      </c>
      <c r="F44" s="13">
        <f>IF(AI44&lt;&gt;"",IF(Info!$C$16="بله",IF(AND(AJ44&lt;=Info!$F$20,AJ44&gt;=Info!$I$20),Info!$C$20,0)+(AG44-Y44-L44-K44-J44-I44-H44-G44),IF(AND(AJ44&lt;=Info!$F$20,AJ44&gt;=Info!$I$20),Info!$C$20,0)+(AG44-Y44-K44-J44-I44-H44-G44)),"")</f>
        <v/>
      </c>
      <c r="G44" s="106">
        <f>IF(AI44&lt;&gt;"",Rates!$AA$11*(L44),"")</f>
        <v/>
      </c>
      <c r="H44" s="106">
        <f>IF(AI44&lt;&gt;"",(Rates!$AC$11+Rates!$AB$11)*(L44),"")</f>
        <v/>
      </c>
      <c r="I44" s="13">
        <f>IF(AI44&lt;&gt;"",LOOKUP(Info!$C$8,Rates!$I$2:$I$7,Rates!$H$2:$H$7)*(J44+K44+L44+Y44),"")</f>
        <v/>
      </c>
      <c r="J44" s="13">
        <f>IF(N44="",0,N44)+IF(P44="",0,P44)+IF(Q44="",0,Q44)</f>
        <v/>
      </c>
      <c r="K44" s="13">
        <f>IF(Y44&lt;&gt;"",Info!$C$18*Y44,"")</f>
        <v/>
      </c>
      <c r="L44" s="13">
        <f>IF(R44="",0,R44)+IF(U44="",0,U44)+IF(W44="",0,W44)+IF(V44="",0,V44)+IF(T44="",0,T44)</f>
        <v/>
      </c>
      <c r="M44" s="13" t="n">
        <v>0</v>
      </c>
      <c r="N44" s="13" t="n">
        <v>0</v>
      </c>
      <c r="O44" s="12">
        <f>IF(AJ44&lt;=10,(1-Info!$C$25)*IF(OR(Info!$F$8&gt;0,Info!$F$10&gt;0),IF(0.75*$X$4&lt;=0.03*$AD$4,0.75*(X44-X43),0.03*(AD44-AD43)),0),"")</f>
        <v/>
      </c>
      <c r="P44" s="13">
        <f>IF(AJ44&lt;=5,IF(AI44&lt;&gt;"",0.002*AD44,"")*(1-Info!$I$25),0)</f>
        <v/>
      </c>
      <c r="Q44" s="13">
        <f>(1-Info!$F$25)*IF(AI44&lt;&gt;"",IF(Info!$C$16="بله",0.07*X44,0.07*AG44),"")</f>
        <v/>
      </c>
      <c r="R44" s="13">
        <f>IF(X44&lt;&gt;0,S44*X44,0)*(1-Info!$F$29)</f>
        <v/>
      </c>
      <c r="S44" s="106">
        <f>IF(Info!$I$14="خیر",0,IF(Info!$F$14="بله",IF(Info!$C$14=1,2.3,IF(Info!$C$14=2,3.3,4.3)),1))*IF(AND(AH44&lt;=Rates!$Y$8,AH44&gt;0),(1+Info!$C$18)*(1+LOOKUP(Info!$F$18,Rates!$O$2:$O$9,Rates!$L$2:$L$9)/100)*(LOOKUP(Info!$C$6,Rates!$T$2:$T$108,Rates!$R$2:$R$108)/100),0)</f>
        <v/>
      </c>
      <c r="T44" s="13">
        <f>IF(AI44&lt;71,(1-Info!$F$27)*((AB44*0.0008*(1+(LOOKUP(Info!$I$18,Rates!$O$2:$O$9,Rates!$M$2:$M$9)/100)))),0)</f>
        <v/>
      </c>
      <c r="U44" s="13">
        <f>IF(AI44&lt;71,(1-Info!$I$27)*(((AD44*0.0008*Info!$L$14))*(1+(LOOKUP(Info!$I$18,Rates!$O:$O,Rates!$N:$N)/100))),0)</f>
        <v/>
      </c>
      <c r="V44" s="13">
        <f>((Z44*0.0008))*(1+(LOOKUP(Info!$I$18,Rates!$O$2:$O$9,Rates!$M$2:$M$9)/100))*(1-Info!$C$27)</f>
        <v/>
      </c>
      <c r="W44" s="13">
        <f>IF(AND(AI44&lt;=Rates!$Y$2,AJ44&lt;=Info!$I$6,Info!$F$16="معمولی"),VLOOKUP(AI44,Rates!$T$1:$X$108,5,0),IF(AND(AI44&lt;=Rates!$Y$2,AJ44&lt;=Info!$I$6,Info!$F$16="پایه"),VLOOKUP(AI44,Rates!$T$1:$X$108,2,0),IF(AND(AI44&lt;=Rates!$Y$2,AJ44&lt;=Info!$I$6,Info!$F$16="آسایش "),VLOOKUP(AI44,Rates!$T$1:$X$108,3,0),IF(AND(AI44&lt;=Rates!$Y$2,AJ44&lt;=Info!$I$6,Info!$F$16="ممتاز"),VLOOKUP(AI44,Rates!$T$1:$X$108,4,0),0))))*AA44/1000000*(1+Info!$C$18)*(1-Info!$I$29)</f>
        <v/>
      </c>
      <c r="X44" s="113">
        <f>IF(Info!$C$16="بله",(AG44-W44-U44-V44-T44)/(1+S44),AG44)</f>
        <v/>
      </c>
      <c r="Y44" s="106">
        <f>IF(AI44&lt;&gt;0,(AD44*LOOKUP(AI44,Rates!$T$2:$T$108,Rates!$S$2:$S$108))/SQRT(1.1),0)</f>
        <v/>
      </c>
      <c r="Z44" s="106">
        <f>IF(AND(AI44&lt;=Rates!$Y$10,AI44&gt;=0),Info!$C$12*(AC44-AD44),0)</f>
        <v/>
      </c>
      <c r="AA44" s="13">
        <f>IF(AND(AI44&gt;=0,AI44&lt;=Rates!$Y$2,AG44&gt;0),MIN(AA43*(1+Info!$F$10),5000000000),0)</f>
        <v/>
      </c>
      <c r="AB44" s="106">
        <f>IF(AND(AI44&gt;=0,AI44&lt;=65),AD44*Info!$L$16,0)</f>
        <v/>
      </c>
      <c r="AC44" s="13">
        <f>IF(AND(AI44&gt;=0,AI44&lt;=Rates!$Y$3),AD44*(1+Info!$L$14),AD44)</f>
        <v/>
      </c>
      <c r="AD44" s="106">
        <f>IF(AI44&lt;&gt;0,AD43*(1+Info!$F$10),0)</f>
        <v/>
      </c>
      <c r="AE44" s="105">
        <f>IF(AI44&lt;&gt;0,AF44+AE43,0)</f>
        <v/>
      </c>
      <c r="AF44" s="13">
        <f>IF(AI44&gt;=0,IF(Info!$C$16="بله",AG44,AG44+L44),"")</f>
        <v/>
      </c>
      <c r="AG44" s="107">
        <f>IF(AI44&lt;&gt;0,AG43*(1+Info!$F$8),0)</f>
        <v/>
      </c>
      <c r="AH44" s="111">
        <f>IF(AJ44&lt;&gt;"",Info!$C$6+AJ44-1,0)</f>
        <v/>
      </c>
      <c r="AI44" s="17">
        <f>IF(AJ44&lt;&gt;"",IF(Info!$F$6+AJ44-1&lt;=Rates!$Y$11,Info!$F$6+AJ44-1,0),0)</f>
        <v/>
      </c>
      <c r="AJ44" s="18">
        <f>IF(AI43&lt;&gt;"",IF(AND(AJ43&lt;&gt;"",AI43+1&lt;=Rates!$Y$11),IF(AJ43&lt;&gt;0,IF(AJ43+1&lt;=Info!$I$6,AJ43+1,""),0),""),"")</f>
        <v/>
      </c>
    </row>
    <row r="45" ht="14.25" customFormat="1" customHeight="1" s="164">
      <c r="A45" s="11">
        <f>IF(B45&gt;0,IF(Info!$C$16="بله",AG45/B45,(AG45+L45)/B45),0)</f>
        <v/>
      </c>
      <c r="B45" s="11">
        <f>IF(AND(AI45&gt;=0,AJ45&lt;=Info!$I$6),LOOKUP(Info!$C$8,Rates!$I$2:$I$7,Rates!$F$2:$F$7),0)</f>
        <v/>
      </c>
      <c r="C45" s="12">
        <f>IF(AND(AI45&gt;=0,AJ45&lt;=Info!$I$6),F45+F45*(IF(AJ45&lt;3,VLOOKUP(Info!$C$10,Rates!$A$15:$B$19,2,FALSE),IF(AJ45&lt;5,VLOOKUP(Info!$C$10,Rates!$A$15:$C$19,3,FALSE),VLOOKUP(Info!$C$10,Rates!$A$15:$D$19,4,FALSE)))+(Info!$I$22-IF(AJ45&gt;4,LOOKUP(Info!$C$10,Rates!$D$2:$D$7,Rates!$A$2:$A$7),LOOKUP(Info!$C$10,Rates!$D$2:$D$7,Rates!$C$2:$C$7))))*LOOKUP(Info!$C$8,Rates!$I$2:$I$7,Rates!$G$2:$G$7)+C44*(1+IF(AJ45&lt;3,VLOOKUP(Info!$C$10,Rates!$A$15:$B$19,2,FALSE),IF(AJ45&lt;5,VLOOKUP(Info!$C$10,Rates!$A$15:$C$19,3,FALSE),VLOOKUP(Info!$C$10,Rates!$A$15:$D$19,4,FALSE)))+(Info!$I$22-IF(AJ45&lt;3,VLOOKUP(Info!$C$10,Rates!$A$15:$B$19,2,FALSE),IF(AJ45&lt;5,VLOOKUP(Info!$C$10,Rates!$A$15:$C$19,3,FALSE),VLOOKUP(Info!$C$10,Rates!$A$15:$D$19,4,FALSE))))),0)</f>
        <v/>
      </c>
      <c r="D45" s="12">
        <f>IF(AI45&lt;&gt;"",E45,"")</f>
        <v/>
      </c>
      <c r="E45" s="12">
        <f>IF(AI45&lt;&gt;0,F45*(1+IF(AJ45&lt;3,VLOOKUP(Info!$C$10,Rates!$A$14:$B$19,2,FALSE),IF(AJ45&lt;5,VLOOKUP(Info!$C$10,Rates!$A$14:$C$19,3,FALSE),VLOOKUP(Info!$C$10,Rates!$A$14:$D$19,4,FALSE)))*LOOKUP(Info!$C$8,Rates!$I$2:$I$8,Rates!$G$2:$G$8))+E44*(1+IF(AJ45&lt;3,VLOOKUP(Info!$C$10,Rates!$A$14:$B$19,2,FALSE),IF(AJ45&lt;5,VLOOKUP(Info!$C$10,Rates!$A$14:$C$19,3,FALSE),VLOOKUP(Info!$C$10,Rates!$A$14:$D$19,4,FALSE)))),0)</f>
        <v/>
      </c>
      <c r="F45" s="12">
        <f>IF(AI45&lt;&gt;"",IF(Info!$C$16="بله",IF(AND(AJ45&lt;=Info!$F$20,AJ45&gt;=Info!$I$20),Info!$C$20,0)+(AG45-Y45-L45-K45-J45-I45-H45-G45),IF(AND(AJ45&lt;=Info!$F$20,AJ45&gt;=Info!$I$20),Info!$C$20,0)+(AG45-Y45-K45-J45-I45-H45-G45)),"")</f>
        <v/>
      </c>
      <c r="G45" s="107">
        <f>IF(AI45&lt;&gt;"",Rates!$AA$11*(L45),"")</f>
        <v/>
      </c>
      <c r="H45" s="107">
        <f>IF(AI45&lt;&gt;"",(Rates!$AC$11+Rates!$AB$11)*(L45),"")</f>
        <v/>
      </c>
      <c r="I45" s="12">
        <f>IF(AI45&lt;&gt;"",LOOKUP(Info!$C$8,Rates!$I$2:$I$7,Rates!$H$2:$H$7)*(J45+K45+L45+Y45),"")</f>
        <v/>
      </c>
      <c r="J45" s="12">
        <f>IF(N45="",0,N45)+IF(P45="",0,P45)+IF(Q45="",0,Q45)</f>
        <v/>
      </c>
      <c r="K45" s="12">
        <f>IF(Y45&lt;&gt;"",Info!$C$18*Y45,"")</f>
        <v/>
      </c>
      <c r="L45" s="12">
        <f>IF(R45="",0,R45)+IF(U45="",0,U45)+IF(W45="",0,W45)+IF(V45="",0,V45)+IF(T45="",0,T45)</f>
        <v/>
      </c>
      <c r="M45" s="12" t="n">
        <v>0</v>
      </c>
      <c r="N45" s="12" t="n">
        <v>0</v>
      </c>
      <c r="O45" s="12">
        <f>IF(AJ45&lt;=10,(1-Info!$C$25)*IF(OR(Info!$F$8&gt;0,Info!$F$10&gt;0),IF(0.75*$X$4&lt;=0.03*$AD$4,0.75*(X45-X44),0.03*(AD45-AD44)),0),"")</f>
        <v/>
      </c>
      <c r="P45" s="12">
        <f>IF(AJ45&lt;=5,IF(AI45&lt;&gt;"",0.002*AD45,"")*(1-Info!$I$25),0)</f>
        <v/>
      </c>
      <c r="Q45" s="12">
        <f>(1-Info!$F$25)*IF(AI45&lt;&gt;"",IF(Info!$C$16="بله",0.07*X45,0.07*AG45),"")</f>
        <v/>
      </c>
      <c r="R45" s="12">
        <f>IF(X45&lt;&gt;0,S45*X45,0)*(1-Info!$F$29)</f>
        <v/>
      </c>
      <c r="S45" s="107">
        <f>IF(Info!$I$14="خیر",0,IF(Info!$F$14="بله",IF(Info!$C$14=1,2.3,IF(Info!$C$14=2,3.3,4.3)),1))*IF(AND(AH45&lt;=Rates!$Y$8,AH45&gt;0),(1+Info!$C$18)*(1+LOOKUP(Info!$F$18,Rates!$O$2:$O$9,Rates!$L$2:$L$9)/100)*(LOOKUP(Info!$C$6,Rates!$T$2:$T$108,Rates!$R$2:$R$108)/100),0)</f>
        <v/>
      </c>
      <c r="T45" s="12">
        <f>IF(AI45&lt;71,(1-Info!$F$27)*((AB45*0.0008*(1+(LOOKUP(Info!$I$18,Rates!$O$2:$O$9,Rates!$M$2:$M$9)/100)))),0)</f>
        <v/>
      </c>
      <c r="U45" s="12">
        <f>IF(AI45&lt;71,(1-Info!$I$27)*(((AD45*0.0008*Info!$L$14))*(1+(LOOKUP(Info!$I$18,Rates!$O:$O,Rates!$N:$N)/100))),0)</f>
        <v/>
      </c>
      <c r="V45" s="12">
        <f>((Z45*0.0008))*(1+(LOOKUP(Info!$I$18,Rates!$O$2:$O$9,Rates!$M$2:$M$9)/100))*(1-Info!$C$27)</f>
        <v/>
      </c>
      <c r="W45" s="12">
        <f>IF(AND(AI45&lt;=Rates!$Y$2,AJ45&lt;=Info!$I$6,Info!$F$16="معمولی"),VLOOKUP(AI45,Rates!$T$1:$X$108,5,0),IF(AND(AI45&lt;=Rates!$Y$2,AJ45&lt;=Info!$I$6,Info!$F$16="پایه"),VLOOKUP(AI45,Rates!$T$1:$X$108,2,0),IF(AND(AI45&lt;=Rates!$Y$2,AJ45&lt;=Info!$I$6,Info!$F$16="آسایش "),VLOOKUP(AI45,Rates!$T$1:$X$108,3,0),IF(AND(AI45&lt;=Rates!$Y$2,AJ45&lt;=Info!$I$6,Info!$F$16="ممتاز"),VLOOKUP(AI45,Rates!$T$1:$X$108,4,0),0))))*AA45/1000000*(1+Info!$C$18)*(1-Info!$I$29)</f>
        <v/>
      </c>
      <c r="X45" s="12">
        <f>IF(Info!$C$16="بله",(AG45-W45-U45-V45-T45)/(1+S45),AG45)</f>
        <v/>
      </c>
      <c r="Y45" s="107">
        <f>IF(AI45&lt;&gt;0,(AD45*LOOKUP(AI45,Rates!$T$2:$T$108,Rates!$S$2:$S$108))/SQRT(1.1),0)</f>
        <v/>
      </c>
      <c r="Z45" s="107">
        <f>IF(AND(AI45&lt;=Rates!$Y$10,AI45&gt;=0),Info!$C$12*(AC45-AD45),0)</f>
        <v/>
      </c>
      <c r="AA45" s="12">
        <f>IF(AND(AI45&gt;=0,AI45&lt;=Rates!$Y$2,AG45&gt;0),MIN(AA44*(1+Info!$F$10),5000000000),0)</f>
        <v/>
      </c>
      <c r="AB45" s="107">
        <f>IF(AND(AI45&gt;=0,AI45&lt;=65),AD45*Info!$L$16,0)</f>
        <v/>
      </c>
      <c r="AC45" s="12">
        <f>IF(AND(AI45&gt;=0,AI45&lt;=Rates!$Y$3),AD45*(1+Info!$L$14),AD45)</f>
        <v/>
      </c>
      <c r="AD45" s="107">
        <f>IF(AI45&lt;&gt;0,AD44*(1+Info!$F$10),0)</f>
        <v/>
      </c>
      <c r="AE45" s="104">
        <f>IF(AI45&lt;&gt;0,AF45+AE44,0)</f>
        <v/>
      </c>
      <c r="AF45" s="12">
        <f>IF(AI45&gt;=0,IF(Info!$C$16="بله",AG45,AG45+L45),"")</f>
        <v/>
      </c>
      <c r="AG45" s="107">
        <f>IF(AI45&lt;&gt;0,AG44*(1+Info!$F$8),0)</f>
        <v/>
      </c>
      <c r="AH45" s="110">
        <f>IF(AJ45&lt;&gt;"",Info!$C$6+AJ45-1,0)</f>
        <v/>
      </c>
      <c r="AI45" s="14">
        <f>IF(AJ45&lt;&gt;"",IF(Info!$F$6+AJ45-1&lt;=Rates!$Y$11,Info!$F$6+AJ45-1,0),0)</f>
        <v/>
      </c>
      <c r="AJ45" s="15">
        <f>IF(AI44&lt;&gt;"",IF(AND(AJ44&lt;&gt;"",AI44+1&lt;=Rates!$Y$11),IF(AJ44&lt;&gt;0,IF(AJ44+1&lt;=Info!$I$6,AJ44+1,""),0),""),"")</f>
        <v/>
      </c>
    </row>
    <row r="46" ht="14.25" customFormat="1" customHeight="1" s="164">
      <c r="A46" s="16">
        <f>IF(B46&gt;0,IF(Info!$C$16="بله",AG46/B46,(AG46+L46)/B46),0)</f>
        <v/>
      </c>
      <c r="B46" s="16">
        <f>IF(AND(AI46&gt;=0,AJ46&lt;=Info!$I$6),LOOKUP(Info!$C$8,Rates!$I$2:$I$7,Rates!$F$2:$F$7),0)</f>
        <v/>
      </c>
      <c r="C46" s="13">
        <f>IF(AND(AI46&gt;=0,AJ46&lt;=Info!$I$6),F46+F46*(IF(AJ46&lt;3,VLOOKUP(Info!$C$10,Rates!$A$15:$B$19,2,FALSE),IF(AJ46&lt;5,VLOOKUP(Info!$C$10,Rates!$A$15:$C$19,3,FALSE),VLOOKUP(Info!$C$10,Rates!$A$15:$D$19,4,FALSE)))+(Info!$I$22-IF(AJ46&gt;4,LOOKUP(Info!$C$10,Rates!$D$2:$D$7,Rates!$A$2:$A$7),LOOKUP(Info!$C$10,Rates!$D$2:$D$7,Rates!$C$2:$C$7))))*LOOKUP(Info!$C$8,Rates!$I$2:$I$7,Rates!$G$2:$G$7)+C45*(1+IF(AJ46&lt;3,VLOOKUP(Info!$C$10,Rates!$A$15:$B$19,2,FALSE),IF(AJ46&lt;5,VLOOKUP(Info!$C$10,Rates!$A$15:$C$19,3,FALSE),VLOOKUP(Info!$C$10,Rates!$A$15:$D$19,4,FALSE)))+(Info!$I$22-IF(AJ46&lt;3,VLOOKUP(Info!$C$10,Rates!$A$15:$B$19,2,FALSE),IF(AJ46&lt;5,VLOOKUP(Info!$C$10,Rates!$A$15:$C$19,3,FALSE),VLOOKUP(Info!$C$10,Rates!$A$15:$D$19,4,FALSE))))),0)</f>
        <v/>
      </c>
      <c r="D46" s="13">
        <f>IF(AI46&lt;&gt;"",E46,"")</f>
        <v/>
      </c>
      <c r="E46" s="12">
        <f>IF(AI46&lt;&gt;0,F46*(1+IF(AJ46&lt;3,VLOOKUP(Info!$C$10,Rates!$A$14:$B$19,2,FALSE),IF(AJ46&lt;5,VLOOKUP(Info!$C$10,Rates!$A$14:$C$19,3,FALSE),VLOOKUP(Info!$C$10,Rates!$A$14:$D$19,4,FALSE)))*LOOKUP(Info!$C$8,Rates!$I$2:$I$8,Rates!$G$2:$G$8))+E45*(1+IF(AJ46&lt;3,VLOOKUP(Info!$C$10,Rates!$A$14:$B$19,2,FALSE),IF(AJ46&lt;5,VLOOKUP(Info!$C$10,Rates!$A$14:$C$19,3,FALSE),VLOOKUP(Info!$C$10,Rates!$A$14:$D$19,4,FALSE)))),0)</f>
        <v/>
      </c>
      <c r="F46" s="13">
        <f>IF(AI46&lt;&gt;"",IF(Info!$C$16="بله",IF(AND(AJ46&lt;=Info!$F$20,AJ46&gt;=Info!$I$20),Info!$C$20,0)+(AG46-Y46-L46-K46-J46-I46-H46-G46),IF(AND(AJ46&lt;=Info!$F$20,AJ46&gt;=Info!$I$20),Info!$C$20,0)+(AG46-Y46-K46-J46-I46-H46-G46)),"")</f>
        <v/>
      </c>
      <c r="G46" s="106">
        <f>IF(AI46&lt;&gt;"",Rates!$AA$11*(L46),"")</f>
        <v/>
      </c>
      <c r="H46" s="106">
        <f>IF(AI46&lt;&gt;"",(Rates!$AC$11+Rates!$AB$11)*(L46),"")</f>
        <v/>
      </c>
      <c r="I46" s="13">
        <f>IF(AI46&lt;&gt;"",LOOKUP(Info!$C$8,Rates!$I$2:$I$7,Rates!$H$2:$H$7)*(J46+K46+L46+Y46),"")</f>
        <v/>
      </c>
      <c r="J46" s="13">
        <f>IF(N46="",0,N46)+IF(P46="",0,P46)+IF(Q46="",0,Q46)</f>
        <v/>
      </c>
      <c r="K46" s="13">
        <f>IF(Y46&lt;&gt;"",Info!$C$18*Y46,"")</f>
        <v/>
      </c>
      <c r="L46" s="13">
        <f>IF(R46="",0,R46)+IF(U46="",0,U46)+IF(W46="",0,W46)+IF(V46="",0,V46)+IF(T46="",0,T46)</f>
        <v/>
      </c>
      <c r="M46" s="13" t="n">
        <v>0</v>
      </c>
      <c r="N46" s="13" t="n">
        <v>0</v>
      </c>
      <c r="O46" s="12">
        <f>IF(AJ46&lt;=10,(1-Info!$C$25)*IF(OR(Info!$F$8&gt;0,Info!$F$10&gt;0),IF(0.75*$X$4&lt;=0.03*$AD$4,0.75*(X46-X45),0.03*(AD46-AD45)),0),"")</f>
        <v/>
      </c>
      <c r="P46" s="13">
        <f>IF(AJ46&lt;=5,IF(AI46&lt;&gt;"",0.002*AD46,"")*(1-Info!$I$25),0)</f>
        <v/>
      </c>
      <c r="Q46" s="13">
        <f>(1-Info!$F$25)*IF(AI46&lt;&gt;"",IF(Info!$C$16="بله",0.07*X46,0.07*AG46),"")</f>
        <v/>
      </c>
      <c r="R46" s="13">
        <f>IF(X46&lt;&gt;0,S46*X46,0)*(1-Info!$F$29)</f>
        <v/>
      </c>
      <c r="S46" s="106">
        <f>IF(Info!$I$14="خیر",0,IF(Info!$F$14="بله",IF(Info!$C$14=1,2.3,IF(Info!$C$14=2,3.3,4.3)),1))*IF(AND(AH46&lt;=Rates!$Y$8,AH46&gt;0),(1+Info!$C$18)*(1+LOOKUP(Info!$F$18,Rates!$O$2:$O$9,Rates!$L$2:$L$9)/100)*(LOOKUP(Info!$C$6,Rates!$T$2:$T$108,Rates!$R$2:$R$108)/100),0)</f>
        <v/>
      </c>
      <c r="T46" s="13">
        <f>IF(AI46&lt;71,(1-Info!$F$27)*((AB46*0.0008*(1+(LOOKUP(Info!$I$18,Rates!$O$2:$O$9,Rates!$M$2:$M$9)/100)))),0)</f>
        <v/>
      </c>
      <c r="U46" s="13">
        <f>IF(AI46&lt;71,(1-Info!$I$27)*(((AD46*0.0008*Info!$L$14))*(1+(LOOKUP(Info!$I$18,Rates!$O:$O,Rates!$N:$N)/100))),0)</f>
        <v/>
      </c>
      <c r="V46" s="13">
        <f>((Z46*0.0008))*(1+(LOOKUP(Info!$I$18,Rates!$O$2:$O$9,Rates!$M$2:$M$9)/100))*(1-Info!$C$27)</f>
        <v/>
      </c>
      <c r="W46" s="13">
        <f>IF(AND(AI46&lt;=Rates!$Y$2,AJ46&lt;=Info!$I$6,Info!$F$16="معمولی"),VLOOKUP(AI46,Rates!$T$1:$X$108,5,0),IF(AND(AI46&lt;=Rates!$Y$2,AJ46&lt;=Info!$I$6,Info!$F$16="پایه"),VLOOKUP(AI46,Rates!$T$1:$X$108,2,0),IF(AND(AI46&lt;=Rates!$Y$2,AJ46&lt;=Info!$I$6,Info!$F$16="آسایش "),VLOOKUP(AI46,Rates!$T$1:$X$108,3,0),IF(AND(AI46&lt;=Rates!$Y$2,AJ46&lt;=Info!$I$6,Info!$F$16="ممتاز"),VLOOKUP(AI46,Rates!$T$1:$X$108,4,0),0))))*AA46/1000000*(1+Info!$C$18)*(1-Info!$I$29)</f>
        <v/>
      </c>
      <c r="X46" s="113">
        <f>IF(Info!$C$16="بله",(AG46-W46-U46-V46-T46)/(1+S46),AG46)</f>
        <v/>
      </c>
      <c r="Y46" s="106">
        <f>IF(AI46&lt;&gt;0,(AD46*LOOKUP(AI46,Rates!$T$2:$T$108,Rates!$S$2:$S$108))/SQRT(1.1),0)</f>
        <v/>
      </c>
      <c r="Z46" s="106">
        <f>IF(AND(AI46&lt;=Rates!$Y$10,AI46&gt;=0),Info!$C$12*(AC46-AD46),0)</f>
        <v/>
      </c>
      <c r="AA46" s="13">
        <f>IF(AND(AI46&gt;=0,AI46&lt;=Rates!$Y$2,AG46&gt;0),MIN(AA45*(1+Info!$F$10),5000000000),0)</f>
        <v/>
      </c>
      <c r="AB46" s="106">
        <f>IF(AND(AI46&gt;=0,AI46&lt;=65),AD46*Info!$L$16,0)</f>
        <v/>
      </c>
      <c r="AC46" s="13">
        <f>IF(AND(AI46&gt;=0,AI46&lt;=Rates!$Y$3),AD46*(1+Info!$L$14),AD46)</f>
        <v/>
      </c>
      <c r="AD46" s="106">
        <f>IF(AI46&lt;&gt;0,AD45*(1+Info!$F$10),0)</f>
        <v/>
      </c>
      <c r="AE46" s="105">
        <f>IF(AI46&lt;&gt;0,AF46+AE45,0)</f>
        <v/>
      </c>
      <c r="AF46" s="13">
        <f>IF(AI46&gt;=0,IF(Info!$C$16="بله",AG46,AG46+L46),"")</f>
        <v/>
      </c>
      <c r="AG46" s="107">
        <f>IF(AI46&lt;&gt;0,AG45*(1+Info!$F$8),0)</f>
        <v/>
      </c>
      <c r="AH46" s="111">
        <f>IF(AJ46&lt;&gt;"",Info!$C$6+AJ46-1,0)</f>
        <v/>
      </c>
      <c r="AI46" s="17">
        <f>IF(AJ46&lt;&gt;"",IF(Info!$F$6+AJ46-1&lt;=Rates!$Y$11,Info!$F$6+AJ46-1,0),0)</f>
        <v/>
      </c>
      <c r="AJ46" s="18">
        <f>IF(AI45&lt;&gt;"",IF(AND(AJ45&lt;&gt;"",AI45+1&lt;=Rates!$Y$11),IF(AJ45&lt;&gt;0,IF(AJ45+1&lt;=Info!$I$6,AJ45+1,""),0),""),"")</f>
        <v/>
      </c>
    </row>
    <row r="47" ht="14.25" customFormat="1" customHeight="1" s="164">
      <c r="A47" s="11">
        <f>IF(B47&gt;0,IF(Info!$C$16="بله",AG47/B47,(AG47+L47)/B47),0)</f>
        <v/>
      </c>
      <c r="B47" s="11">
        <f>IF(AND(AI47&gt;=0,AJ47&lt;=Info!$I$6),LOOKUP(Info!$C$8,Rates!$I$2:$I$7,Rates!$F$2:$F$7),0)</f>
        <v/>
      </c>
      <c r="C47" s="12">
        <f>IF(AND(AI47&gt;=0,AJ47&lt;=Info!$I$6),F47+F47*(IF(AJ47&lt;3,VLOOKUP(Info!$C$10,Rates!$A$15:$B$19,2,FALSE),IF(AJ47&lt;5,VLOOKUP(Info!$C$10,Rates!$A$15:$C$19,3,FALSE),VLOOKUP(Info!$C$10,Rates!$A$15:$D$19,4,FALSE)))+(Info!$I$22-IF(AJ47&gt;4,LOOKUP(Info!$C$10,Rates!$D$2:$D$7,Rates!$A$2:$A$7),LOOKUP(Info!$C$10,Rates!$D$2:$D$7,Rates!$C$2:$C$7))))*LOOKUP(Info!$C$8,Rates!$I$2:$I$7,Rates!$G$2:$G$7)+C46*(1+IF(AJ47&lt;3,VLOOKUP(Info!$C$10,Rates!$A$15:$B$19,2,FALSE),IF(AJ47&lt;5,VLOOKUP(Info!$C$10,Rates!$A$15:$C$19,3,FALSE),VLOOKUP(Info!$C$10,Rates!$A$15:$D$19,4,FALSE)))+(Info!$I$22-IF(AJ47&lt;3,VLOOKUP(Info!$C$10,Rates!$A$15:$B$19,2,FALSE),IF(AJ47&lt;5,VLOOKUP(Info!$C$10,Rates!$A$15:$C$19,3,FALSE),VLOOKUP(Info!$C$10,Rates!$A$15:$D$19,4,FALSE))))),0)</f>
        <v/>
      </c>
      <c r="D47" s="12">
        <f>IF(AI47&lt;&gt;"",E47,"")</f>
        <v/>
      </c>
      <c r="E47" s="12">
        <f>IF(AI47&lt;&gt;0,F47*(1+IF(AJ47&lt;3,VLOOKUP(Info!$C$10,Rates!$A$14:$B$19,2,FALSE),IF(AJ47&lt;5,VLOOKUP(Info!$C$10,Rates!$A$14:$C$19,3,FALSE),VLOOKUP(Info!$C$10,Rates!$A$14:$D$19,4,FALSE)))*LOOKUP(Info!$C$8,Rates!$I$2:$I$8,Rates!$G$2:$G$8))+E46*(1+IF(AJ47&lt;3,VLOOKUP(Info!$C$10,Rates!$A$14:$B$19,2,FALSE),IF(AJ47&lt;5,VLOOKUP(Info!$C$10,Rates!$A$14:$C$19,3,FALSE),VLOOKUP(Info!$C$10,Rates!$A$14:$D$19,4,FALSE)))),0)</f>
        <v/>
      </c>
      <c r="F47" s="12">
        <f>IF(AI47&lt;&gt;"",IF(Info!$C$16="بله",IF(AND(AJ47&lt;=Info!$F$20,AJ47&gt;=Info!$I$20),Info!$C$20,0)+(AG47-Y47-L47-K47-J47-I47-H47-G47),IF(AND(AJ47&lt;=Info!$F$20,AJ47&gt;=Info!$I$20),Info!$C$20,0)+(AG47-Y47-K47-J47-I47-H47-G47)),"")</f>
        <v/>
      </c>
      <c r="G47" s="107">
        <f>IF(AI47&lt;&gt;"",Rates!$AA$11*(L47),"")</f>
        <v/>
      </c>
      <c r="H47" s="107">
        <f>IF(AI47&lt;&gt;"",(Rates!$AC$11+Rates!$AB$11)*(L47),"")</f>
        <v/>
      </c>
      <c r="I47" s="12">
        <f>IF(AI47&lt;&gt;"",LOOKUP(Info!$C$8,Rates!$I$2:$I$7,Rates!$H$2:$H$7)*(J47+K47+L47+Y47),"")</f>
        <v/>
      </c>
      <c r="J47" s="12">
        <f>IF(N47="",0,N47)+IF(P47="",0,P47)+IF(Q47="",0,Q47)</f>
        <v/>
      </c>
      <c r="K47" s="12">
        <f>IF(Y47&lt;&gt;"",Info!$C$18*Y47,"")</f>
        <v/>
      </c>
      <c r="L47" s="12">
        <f>IF(R47="",0,R47)+IF(U47="",0,U47)+IF(W47="",0,W47)+IF(V47="",0,V47)+IF(T47="",0,T47)</f>
        <v/>
      </c>
      <c r="M47" s="12" t="n">
        <v>0</v>
      </c>
      <c r="N47" s="12" t="n">
        <v>0</v>
      </c>
      <c r="O47" s="12">
        <f>IF(AJ47&lt;=10,(1-Info!$C$25)*IF(OR(Info!$F$8&gt;0,Info!$F$10&gt;0),IF(0.75*$X$4&lt;=0.03*$AD$4,0.75*(X47-X46),0.03*(AD47-AD46)),0),"")</f>
        <v/>
      </c>
      <c r="P47" s="12">
        <f>IF(AJ47&lt;=5,IF(AI47&lt;&gt;"",0.002*AD47,"")*(1-Info!$I$25),0)</f>
        <v/>
      </c>
      <c r="Q47" s="12">
        <f>(1-Info!$F$25)*IF(AI47&lt;&gt;"",IF(Info!$C$16="بله",0.07*X47,0.07*AG47),"")</f>
        <v/>
      </c>
      <c r="R47" s="12">
        <f>IF(X47&lt;&gt;0,S47*X47,0)*(1-Info!$F$29)</f>
        <v/>
      </c>
      <c r="S47" s="107">
        <f>IF(Info!$I$14="خیر",0,IF(Info!$F$14="بله",IF(Info!$C$14=1,2.3,IF(Info!$C$14=2,3.3,4.3)),1))*IF(AND(AH47&lt;=Rates!$Y$8,AH47&gt;0),(1+Info!$C$18)*(1+LOOKUP(Info!$F$18,Rates!$O$2:$O$9,Rates!$L$2:$L$9)/100)*(LOOKUP(Info!$C$6,Rates!$T$2:$T$108,Rates!$R$2:$R$108)/100),0)</f>
        <v/>
      </c>
      <c r="T47" s="12">
        <f>IF(AI47&lt;71,(1-Info!$F$27)*((AB47*0.0008*(1+(LOOKUP(Info!$I$18,Rates!$O$2:$O$9,Rates!$M$2:$M$9)/100)))),0)</f>
        <v/>
      </c>
      <c r="U47" s="12">
        <f>IF(AI47&lt;71,(1-Info!$I$27)*(((AD47*0.0008*Info!$L$14))*(1+(LOOKUP(Info!$I$18,Rates!$O:$O,Rates!$N:$N)/100))),0)</f>
        <v/>
      </c>
      <c r="V47" s="12">
        <f>((Z47*0.0008))*(1+(LOOKUP(Info!$I$18,Rates!$O$2:$O$9,Rates!$M$2:$M$9)/100))*(1-Info!$C$27)</f>
        <v/>
      </c>
      <c r="W47" s="12">
        <f>IF(AND(AI47&lt;=Rates!$Y$2,AJ47&lt;=Info!$I$6,Info!$F$16="معمولی"),VLOOKUP(AI47,Rates!$T$1:$X$108,5,0),IF(AND(AI47&lt;=Rates!$Y$2,AJ47&lt;=Info!$I$6,Info!$F$16="پایه"),VLOOKUP(AI47,Rates!$T$1:$X$108,2,0),IF(AND(AI47&lt;=Rates!$Y$2,AJ47&lt;=Info!$I$6,Info!$F$16="آسایش "),VLOOKUP(AI47,Rates!$T$1:$X$108,3,0),IF(AND(AI47&lt;=Rates!$Y$2,AJ47&lt;=Info!$I$6,Info!$F$16="ممتاز"),VLOOKUP(AI47,Rates!$T$1:$X$108,4,0),0))))*AA47/1000000*(1+Info!$C$18)*(1-Info!$I$29)</f>
        <v/>
      </c>
      <c r="X47" s="12">
        <f>IF(Info!$C$16="بله",(AG47-W47-U47-V47-T47)/(1+S47),AG47)</f>
        <v/>
      </c>
      <c r="Y47" s="107">
        <f>IF(AI47&lt;&gt;0,(AD47*LOOKUP(AI47,Rates!$T$2:$T$108,Rates!$S$2:$S$108))/SQRT(1.1),0)</f>
        <v/>
      </c>
      <c r="Z47" s="107">
        <f>IF(AND(AI47&lt;=Rates!$Y$10,AI47&gt;=0),Info!$C$12*(AC47-AD47),0)</f>
        <v/>
      </c>
      <c r="AA47" s="12">
        <f>IF(AND(AI47&gt;=0,AI47&lt;=Rates!$Y$2,AG47&gt;0),MIN(AA46*(1+Info!$F$10),5000000000),0)</f>
        <v/>
      </c>
      <c r="AB47" s="107">
        <f>IF(AND(AI47&gt;=0,AI47&lt;=65),AD47*Info!$L$16,0)</f>
        <v/>
      </c>
      <c r="AC47" s="12">
        <f>IF(AND(AI47&gt;=0,AI47&lt;=Rates!$Y$3),AD47*(1+Info!$L$14),AD47)</f>
        <v/>
      </c>
      <c r="AD47" s="107">
        <f>IF(AI47&lt;&gt;0,AD46*(1+Info!$F$10),0)</f>
        <v/>
      </c>
      <c r="AE47" s="104">
        <f>IF(AI47&lt;&gt;0,AF47+AE46,0)</f>
        <v/>
      </c>
      <c r="AF47" s="12">
        <f>IF(AI47&gt;=0,IF(Info!$C$16="بله",AG47,AG47+L47),"")</f>
        <v/>
      </c>
      <c r="AG47" s="107">
        <f>IF(AI47&lt;&gt;0,AG46*(1+Info!$F$8),0)</f>
        <v/>
      </c>
      <c r="AH47" s="110">
        <f>IF(AJ47&lt;&gt;"",Info!$C$6+AJ47-1,0)</f>
        <v/>
      </c>
      <c r="AI47" s="14">
        <f>IF(AJ47&lt;&gt;"",IF(Info!$F$6+AJ47-1&lt;=Rates!$Y$11,Info!$F$6+AJ47-1,0),0)</f>
        <v/>
      </c>
      <c r="AJ47" s="15">
        <f>IF(AI46&lt;&gt;"",IF(AND(AJ46&lt;&gt;"",AI46+1&lt;=Rates!$Y$11),IF(AJ46&lt;&gt;0,IF(AJ46+1&lt;=Info!$I$6,AJ46+1,""),0),""),"")</f>
        <v/>
      </c>
    </row>
    <row r="48" ht="14.25" customFormat="1" customHeight="1" s="164">
      <c r="A48" s="16">
        <f>IF(B48&gt;0,IF(Info!$C$16="بله",AG48/B48,(AG48+L48)/B48),0)</f>
        <v/>
      </c>
      <c r="B48" s="16">
        <f>IF(AND(AI48&gt;=0,AJ48&lt;=Info!$I$6),LOOKUP(Info!$C$8,Rates!$I$2:$I$7,Rates!$F$2:$F$7),0)</f>
        <v/>
      </c>
      <c r="C48" s="13">
        <f>IF(AND(AI48&gt;=0,AJ48&lt;=Info!$I$6),F48+F48*(IF(AJ48&lt;3,VLOOKUP(Info!$C$10,Rates!$A$15:$B$19,2,FALSE),IF(AJ48&lt;5,VLOOKUP(Info!$C$10,Rates!$A$15:$C$19,3,FALSE),VLOOKUP(Info!$C$10,Rates!$A$15:$D$19,4,FALSE)))+(Info!$I$22-IF(AJ48&gt;4,LOOKUP(Info!$C$10,Rates!$D$2:$D$7,Rates!$A$2:$A$7),LOOKUP(Info!$C$10,Rates!$D$2:$D$7,Rates!$C$2:$C$7))))*LOOKUP(Info!$C$8,Rates!$I$2:$I$7,Rates!$G$2:$G$7)+C47*(1+IF(AJ48&lt;3,VLOOKUP(Info!$C$10,Rates!$A$15:$B$19,2,FALSE),IF(AJ48&lt;5,VLOOKUP(Info!$C$10,Rates!$A$15:$C$19,3,FALSE),VLOOKUP(Info!$C$10,Rates!$A$15:$D$19,4,FALSE)))+(Info!$I$22-IF(AJ48&lt;3,VLOOKUP(Info!$C$10,Rates!$A$15:$B$19,2,FALSE),IF(AJ48&lt;5,VLOOKUP(Info!$C$10,Rates!$A$15:$C$19,3,FALSE),VLOOKUP(Info!$C$10,Rates!$A$15:$D$19,4,FALSE))))),0)</f>
        <v/>
      </c>
      <c r="D48" s="13">
        <f>IF(AI48&lt;&gt;"",E48,"")</f>
        <v/>
      </c>
      <c r="E48" s="12">
        <f>IF(AI48&lt;&gt;0,F48*(1+IF(AJ48&lt;3,VLOOKUP(Info!$C$10,Rates!$A$14:$B$19,2,FALSE),IF(AJ48&lt;5,VLOOKUP(Info!$C$10,Rates!$A$14:$C$19,3,FALSE),VLOOKUP(Info!$C$10,Rates!$A$14:$D$19,4,FALSE)))*LOOKUP(Info!$C$8,Rates!$I$2:$I$8,Rates!$G$2:$G$8))+E47*(1+IF(AJ48&lt;3,VLOOKUP(Info!$C$10,Rates!$A$14:$B$19,2,FALSE),IF(AJ48&lt;5,VLOOKUP(Info!$C$10,Rates!$A$14:$C$19,3,FALSE),VLOOKUP(Info!$C$10,Rates!$A$14:$D$19,4,FALSE)))),0)</f>
        <v/>
      </c>
      <c r="F48" s="13">
        <f>IF(AI48&lt;&gt;"",IF(Info!$C$16="بله",IF(AND(AJ48&lt;=Info!$F$20,AJ48&gt;=Info!$I$20),Info!$C$20,0)+(AG48-Y48-L48-K48-J48-I48-H48-G48),IF(AND(AJ48&lt;=Info!$F$20,AJ48&gt;=Info!$I$20),Info!$C$20,0)+(AG48-Y48-K48-J48-I48-H48-G48)),"")</f>
        <v/>
      </c>
      <c r="G48" s="106">
        <f>IF(AI48&lt;&gt;"",Rates!$AA$11*(L48),"")</f>
        <v/>
      </c>
      <c r="H48" s="106">
        <f>IF(AI48&lt;&gt;"",(Rates!$AC$11+Rates!$AB$11)*(L48),"")</f>
        <v/>
      </c>
      <c r="I48" s="13">
        <f>IF(AI48&lt;&gt;"",LOOKUP(Info!$C$8,Rates!$I$2:$I$7,Rates!$H$2:$H$7)*(J48+K48+L48+Y48),"")</f>
        <v/>
      </c>
      <c r="J48" s="13">
        <f>IF(N48="",0,N48)+IF(P48="",0,P48)+IF(Q48="",0,Q48)</f>
        <v/>
      </c>
      <c r="K48" s="13">
        <f>IF(Y48&lt;&gt;"",Info!$C$18*Y48,"")</f>
        <v/>
      </c>
      <c r="L48" s="13">
        <f>IF(R48="",0,R48)+IF(U48="",0,U48)+IF(W48="",0,W48)+IF(V48="",0,V48)+IF(T48="",0,T48)</f>
        <v/>
      </c>
      <c r="M48" s="13" t="n">
        <v>0</v>
      </c>
      <c r="N48" s="13" t="n">
        <v>0</v>
      </c>
      <c r="O48" s="12">
        <f>IF(AJ48&lt;=10,(1-Info!$C$25)*IF(OR(Info!$F$8&gt;0,Info!$F$10&gt;0),IF(0.75*$X$4&lt;=0.03*$AD$4,0.75*(X48-X47),0.03*(AD48-AD47)),0),"")</f>
        <v/>
      </c>
      <c r="P48" s="13">
        <f>IF(AJ48&lt;=5,IF(AI48&lt;&gt;"",0.002*AD48,"")*(1-Info!$I$25),0)</f>
        <v/>
      </c>
      <c r="Q48" s="13">
        <f>(1-Info!$F$25)*IF(AI48&lt;&gt;"",IF(Info!$C$16="بله",0.07*X48,0.07*AG48),"")</f>
        <v/>
      </c>
      <c r="R48" s="13">
        <f>IF(X48&lt;&gt;0,S48*X48,0)*(1-Info!$F$29)</f>
        <v/>
      </c>
      <c r="S48" s="106">
        <f>IF(Info!$I$14="خیر",0,IF(Info!$F$14="بله",IF(Info!$C$14=1,2.3,IF(Info!$C$14=2,3.3,4.3)),1))*IF(AND(AH48&lt;=Rates!$Y$8,AH48&gt;0),(1+Info!$C$18)*(1+LOOKUP(Info!$F$18,Rates!$O$2:$O$9,Rates!$L$2:$L$9)/100)*(LOOKUP(Info!$C$6,Rates!$T$2:$T$108,Rates!$R$2:$R$108)/100),0)</f>
        <v/>
      </c>
      <c r="T48" s="13">
        <f>IF(AI48&lt;71,(1-Info!$F$27)*((AB48*0.0008*(1+(LOOKUP(Info!$I$18,Rates!$O$2:$O$9,Rates!$M$2:$M$9)/100)))),0)</f>
        <v/>
      </c>
      <c r="U48" s="13">
        <f>IF(AI48&lt;71,(1-Info!$I$27)*(((AD48*0.0008*Info!$L$14))*(1+(LOOKUP(Info!$I$18,Rates!$O:$O,Rates!$N:$N)/100))),0)</f>
        <v/>
      </c>
      <c r="V48" s="13">
        <f>((Z48*0.0008))*(1+(LOOKUP(Info!$I$18,Rates!$O$2:$O$9,Rates!$M$2:$M$9)/100))*(1-Info!$C$27)</f>
        <v/>
      </c>
      <c r="W48" s="13">
        <f>IF(AND(AI48&lt;=Rates!$Y$2,AJ48&lt;=Info!$I$6,Info!$F$16="معمولی"),VLOOKUP(AI48,Rates!$T$1:$X$108,5,0),IF(AND(AI48&lt;=Rates!$Y$2,AJ48&lt;=Info!$I$6,Info!$F$16="پایه"),VLOOKUP(AI48,Rates!$T$1:$X$108,2,0),IF(AND(AI48&lt;=Rates!$Y$2,AJ48&lt;=Info!$I$6,Info!$F$16="آسایش "),VLOOKUP(AI48,Rates!$T$1:$X$108,3,0),IF(AND(AI48&lt;=Rates!$Y$2,AJ48&lt;=Info!$I$6,Info!$F$16="ممتاز"),VLOOKUP(AI48,Rates!$T$1:$X$108,4,0),0))))*AA48/1000000*(1+Info!$C$18)*(1-Info!$I$29)</f>
        <v/>
      </c>
      <c r="X48" s="113">
        <f>IF(Info!$C$16="بله",(AG48-W48-U48-V48-T48)/(1+S48),AG48)</f>
        <v/>
      </c>
      <c r="Y48" s="106">
        <f>IF(AI48&lt;&gt;0,(AD48*LOOKUP(AI48,Rates!$T$2:$T$108,Rates!$S$2:$S$108))/SQRT(1.1),0)</f>
        <v/>
      </c>
      <c r="Z48" s="106">
        <f>IF(AND(AI48&lt;=Rates!$Y$10,AI48&gt;=0),Info!$C$12*(AC48-AD48),0)</f>
        <v/>
      </c>
      <c r="AA48" s="13">
        <f>IF(AND(AI48&gt;=0,AI48&lt;=Rates!$Y$2,AG48&gt;0),MIN(AA47*(1+Info!$F$10),5000000000),0)</f>
        <v/>
      </c>
      <c r="AB48" s="106">
        <f>IF(AND(AI48&gt;=0,AI48&lt;=65),AD48*Info!$L$16,0)</f>
        <v/>
      </c>
      <c r="AC48" s="13">
        <f>IF(AND(AI48&gt;=0,AI48&lt;=Rates!$Y$3),AD48*(1+Info!$L$14),AD48)</f>
        <v/>
      </c>
      <c r="AD48" s="106">
        <f>IF(AI48&lt;&gt;0,AD47*(1+Info!$F$10),0)</f>
        <v/>
      </c>
      <c r="AE48" s="105">
        <f>IF(AI48&lt;&gt;0,AF48+AE47,0)</f>
        <v/>
      </c>
      <c r="AF48" s="13">
        <f>IF(AI48&gt;=0,IF(Info!$C$16="بله",AG48,AG48+L48),"")</f>
        <v/>
      </c>
      <c r="AG48" s="107">
        <f>IF(AI48&lt;&gt;0,AG47*(1+Info!$F$8),0)</f>
        <v/>
      </c>
      <c r="AH48" s="111">
        <f>IF(AJ48&lt;&gt;"",Info!$C$6+AJ48-1,0)</f>
        <v/>
      </c>
      <c r="AI48" s="17">
        <f>IF(AJ48&lt;&gt;"",IF(Info!$F$6+AJ48-1&lt;=Rates!$Y$11,Info!$F$6+AJ48-1,0),0)</f>
        <v/>
      </c>
      <c r="AJ48" s="18">
        <f>IF(AI47&lt;&gt;"",IF(AND(AJ47&lt;&gt;"",AI47+1&lt;=Rates!$Y$11),IF(AJ47&lt;&gt;0,IF(AJ47+1&lt;=Info!$I$6,AJ47+1,""),0),""),"")</f>
        <v/>
      </c>
    </row>
    <row r="49" ht="14.25" customFormat="1" customHeight="1" s="164">
      <c r="A49" s="11">
        <f>IF(B49&gt;0,IF(Info!$C$16="بله",AG49/B49,(AG49+L49)/B49),0)</f>
        <v/>
      </c>
      <c r="B49" s="11">
        <f>IF(AND(AI49&gt;=0,AJ49&lt;=Info!$I$6),LOOKUP(Info!$C$8,Rates!$I$2:$I$7,Rates!$F$2:$F$7),0)</f>
        <v/>
      </c>
      <c r="C49" s="12">
        <f>IF(AND(AI49&gt;=0,AJ49&lt;=Info!$I$6),F49+F49*(IF(AJ49&lt;3,VLOOKUP(Info!$C$10,Rates!$A$15:$B$19,2,FALSE),IF(AJ49&lt;5,VLOOKUP(Info!$C$10,Rates!$A$15:$C$19,3,FALSE),VLOOKUP(Info!$C$10,Rates!$A$15:$D$19,4,FALSE)))+(Info!$I$22-IF(AJ49&gt;4,LOOKUP(Info!$C$10,Rates!$D$2:$D$7,Rates!$A$2:$A$7),LOOKUP(Info!$C$10,Rates!$D$2:$D$7,Rates!$C$2:$C$7))))*LOOKUP(Info!$C$8,Rates!$I$2:$I$7,Rates!$G$2:$G$7)+C48*(1+IF(AJ49&lt;3,VLOOKUP(Info!$C$10,Rates!$A$15:$B$19,2,FALSE),IF(AJ49&lt;5,VLOOKUP(Info!$C$10,Rates!$A$15:$C$19,3,FALSE),VLOOKUP(Info!$C$10,Rates!$A$15:$D$19,4,FALSE)))+(Info!$I$22-IF(AJ49&lt;3,VLOOKUP(Info!$C$10,Rates!$A$15:$B$19,2,FALSE),IF(AJ49&lt;5,VLOOKUP(Info!$C$10,Rates!$A$15:$C$19,3,FALSE),VLOOKUP(Info!$C$10,Rates!$A$15:$D$19,4,FALSE))))),0)</f>
        <v/>
      </c>
      <c r="D49" s="12">
        <f>IF(AI49&lt;&gt;"",E49,"")</f>
        <v/>
      </c>
      <c r="E49" s="12">
        <f>IF(AI49&lt;&gt;0,F49*(1+IF(AJ49&lt;3,VLOOKUP(Info!$C$10,Rates!$A$14:$B$19,2,FALSE),IF(AJ49&lt;5,VLOOKUP(Info!$C$10,Rates!$A$14:$C$19,3,FALSE),VLOOKUP(Info!$C$10,Rates!$A$14:$D$19,4,FALSE)))*LOOKUP(Info!$C$8,Rates!$I$2:$I$8,Rates!$G$2:$G$8))+E48*(1+IF(AJ49&lt;3,VLOOKUP(Info!$C$10,Rates!$A$14:$B$19,2,FALSE),IF(AJ49&lt;5,VLOOKUP(Info!$C$10,Rates!$A$14:$C$19,3,FALSE),VLOOKUP(Info!$C$10,Rates!$A$14:$D$19,4,FALSE)))),0)</f>
        <v/>
      </c>
      <c r="F49" s="12">
        <f>IF(AI49&lt;&gt;"",IF(Info!$C$16="بله",IF(AND(AJ49&lt;=Info!$F$20,AJ49&gt;=Info!$I$20),Info!$C$20,0)+(AG49-Y49-L49-K49-J49-I49-H49-G49),IF(AND(AJ49&lt;=Info!$F$20,AJ49&gt;=Info!$I$20),Info!$C$20,0)+(AG49-Y49-K49-J49-I49-H49-G49)),"")</f>
        <v/>
      </c>
      <c r="G49" s="107">
        <f>IF(AI49&lt;&gt;"",Rates!$AA$11*(L49),"")</f>
        <v/>
      </c>
      <c r="H49" s="107">
        <f>IF(AI49&lt;&gt;"",(Rates!$AC$11+Rates!$AB$11)*(L49),"")</f>
        <v/>
      </c>
      <c r="I49" s="12">
        <f>IF(AI49&lt;&gt;"",LOOKUP(Info!$C$8,Rates!$I$2:$I$7,Rates!$H$2:$H$7)*(J49+K49+L49+Y49),"")</f>
        <v/>
      </c>
      <c r="J49" s="12">
        <f>IF(N49="",0,N49)+IF(P49="",0,P49)+IF(Q49="",0,Q49)</f>
        <v/>
      </c>
      <c r="K49" s="12">
        <f>IF(Y49&lt;&gt;"",Info!$C$18*Y49,"")</f>
        <v/>
      </c>
      <c r="L49" s="12">
        <f>IF(R49="",0,R49)+IF(U49="",0,U49)+IF(W49="",0,W49)+IF(V49="",0,V49)+IF(T49="",0,T49)</f>
        <v/>
      </c>
      <c r="M49" s="12" t="n">
        <v>0</v>
      </c>
      <c r="N49" s="12" t="n">
        <v>0</v>
      </c>
      <c r="O49" s="12">
        <f>IF(AJ49&lt;=10,(1-Info!$C$25)*IF(OR(Info!$F$8&gt;0,Info!$F$10&gt;0),IF(0.75*$X$4&lt;=0.03*$AD$4,0.75*(X49-X48),0.03*(AD49-AD48)),0),"")</f>
        <v/>
      </c>
      <c r="P49" s="12">
        <f>IF(AJ49&lt;=5,IF(AI49&lt;&gt;"",0.002*AD49,"")*(1-Info!$I$25),0)</f>
        <v/>
      </c>
      <c r="Q49" s="12">
        <f>(1-Info!$F$25)*IF(AI49&lt;&gt;"",IF(Info!$C$16="بله",0.07*X49,0.07*AG49),"")</f>
        <v/>
      </c>
      <c r="R49" s="12">
        <f>IF(X49&lt;&gt;0,S49*X49,0)*(1-Info!$F$29)</f>
        <v/>
      </c>
      <c r="S49" s="107">
        <f>IF(Info!$I$14="خیر",0,IF(Info!$F$14="بله",IF(Info!$C$14=1,2.3,IF(Info!$C$14=2,3.3,4.3)),1))*IF(AND(AH49&lt;=Rates!$Y$8,AH49&gt;0),(1+Info!$C$18)*(1+LOOKUP(Info!$F$18,Rates!$O$2:$O$9,Rates!$L$2:$L$9)/100)*(LOOKUP(Info!$C$6,Rates!$T$2:$T$108,Rates!$R$2:$R$108)/100),0)</f>
        <v/>
      </c>
      <c r="T49" s="12">
        <f>IF(AI49&lt;71,(1-Info!$F$27)*((AB49*0.0008*(1+(LOOKUP(Info!$I$18,Rates!$O$2:$O$9,Rates!$M$2:$M$9)/100)))),0)</f>
        <v/>
      </c>
      <c r="U49" s="12">
        <f>IF(AI49&lt;71,(1-Info!$I$27)*(((AD49*0.0008*Info!$L$14))*(1+(LOOKUP(Info!$I$18,Rates!$O:$O,Rates!$N:$N)/100))),0)</f>
        <v/>
      </c>
      <c r="V49" s="12">
        <f>((Z49*0.0008))*(1+(LOOKUP(Info!$I$18,Rates!$O$2:$O$9,Rates!$M$2:$M$9)/100))*(1-Info!$C$27)</f>
        <v/>
      </c>
      <c r="W49" s="12">
        <f>IF(AND(AI49&lt;=Rates!$Y$2,AJ49&lt;=Info!$I$6,Info!$F$16="معمولی"),VLOOKUP(AI49,Rates!$T$1:$X$108,5,0),IF(AND(AI49&lt;=Rates!$Y$2,AJ49&lt;=Info!$I$6,Info!$F$16="پایه"),VLOOKUP(AI49,Rates!$T$1:$X$108,2,0),IF(AND(AI49&lt;=Rates!$Y$2,AJ49&lt;=Info!$I$6,Info!$F$16="آسایش "),VLOOKUP(AI49,Rates!$T$1:$X$108,3,0),IF(AND(AI49&lt;=Rates!$Y$2,AJ49&lt;=Info!$I$6,Info!$F$16="ممتاز"),VLOOKUP(AI49,Rates!$T$1:$X$108,4,0),0))))*AA49/1000000*(1+Info!$C$18)*(1-Info!$I$29)</f>
        <v/>
      </c>
      <c r="X49" s="12">
        <f>IF(Info!$C$16="بله",(AG49-W49-U49-V49-T49)/(1+S49),AG49)</f>
        <v/>
      </c>
      <c r="Y49" s="107">
        <f>IF(AI49&lt;&gt;0,(AD49*LOOKUP(AI49,Rates!$T$2:$T$108,Rates!$S$2:$S$108))/SQRT(1.1),0)</f>
        <v/>
      </c>
      <c r="Z49" s="107">
        <f>IF(AND(AI49&lt;=Rates!$Y$10,AI49&gt;=0),Info!$C$12*(AC49-AD49),0)</f>
        <v/>
      </c>
      <c r="AA49" s="12">
        <f>IF(AND(AI49&gt;=0,AI49&lt;=Rates!$Y$2,AG49&gt;0),MIN(AA48*(1+Info!$F$10),5000000000),0)</f>
        <v/>
      </c>
      <c r="AB49" s="107">
        <f>IF(AND(AI49&gt;=0,AI49&lt;=65),AD49*Info!$L$16,0)</f>
        <v/>
      </c>
      <c r="AC49" s="12">
        <f>IF(AND(AI49&gt;=0,AI49&lt;=Rates!$Y$3),AD49*(1+Info!$L$14),AD49)</f>
        <v/>
      </c>
      <c r="AD49" s="107">
        <f>IF(AI49&lt;&gt;0,AD48*(1+Info!$F$10),0)</f>
        <v/>
      </c>
      <c r="AE49" s="104">
        <f>IF(AI49&lt;&gt;0,AF49+AE48,0)</f>
        <v/>
      </c>
      <c r="AF49" s="12">
        <f>IF(AI49&gt;=0,IF(Info!$C$16="بله",AG49,AG49+L49),"")</f>
        <v/>
      </c>
      <c r="AG49" s="107">
        <f>IF(AI49&lt;&gt;0,AG48*(1+Info!$F$8),0)</f>
        <v/>
      </c>
      <c r="AH49" s="110">
        <f>IF(AJ49&lt;&gt;"",Info!$C$6+AJ49-1,0)</f>
        <v/>
      </c>
      <c r="AI49" s="14">
        <f>IF(AJ49&lt;&gt;"",IF(Info!$F$6+AJ49-1&lt;=Rates!$Y$11,Info!$F$6+AJ49-1,0),0)</f>
        <v/>
      </c>
      <c r="AJ49" s="15">
        <f>IF(AI48&lt;&gt;"",IF(AND(AJ48&lt;&gt;"",AI48+1&lt;=Rates!$Y$11),IF(AJ48&lt;&gt;0,IF(AJ48+1&lt;=Info!$I$6,AJ48+1,""),0),""),"")</f>
        <v/>
      </c>
    </row>
    <row r="50" ht="14.25" customFormat="1" customHeight="1" s="164">
      <c r="A50" s="16">
        <f>IF(B50&gt;0,IF(Info!$C$16="بله",AG50/B50,(AG50+L50)/B50),0)</f>
        <v/>
      </c>
      <c r="B50" s="16">
        <f>IF(AND(AI50&gt;=0,AJ50&lt;=Info!$I$6),LOOKUP(Info!$C$8,Rates!$I$2:$I$7,Rates!$F$2:$F$7),0)</f>
        <v/>
      </c>
      <c r="C50" s="13">
        <f>IF(AND(AI50&gt;=0,AJ50&lt;=Info!$I$6),F50+F50*(IF(AJ50&lt;3,VLOOKUP(Info!$C$10,Rates!$A$15:$B$19,2,FALSE),IF(AJ50&lt;5,VLOOKUP(Info!$C$10,Rates!$A$15:$C$19,3,FALSE),VLOOKUP(Info!$C$10,Rates!$A$15:$D$19,4,FALSE)))+(Info!$I$22-IF(AJ50&gt;4,LOOKUP(Info!$C$10,Rates!$D$2:$D$7,Rates!$A$2:$A$7),LOOKUP(Info!$C$10,Rates!$D$2:$D$7,Rates!$C$2:$C$7))))*LOOKUP(Info!$C$8,Rates!$I$2:$I$7,Rates!$G$2:$G$7)+C49*(1+IF(AJ50&lt;3,VLOOKUP(Info!$C$10,Rates!$A$15:$B$19,2,FALSE),IF(AJ50&lt;5,VLOOKUP(Info!$C$10,Rates!$A$15:$C$19,3,FALSE),VLOOKUP(Info!$C$10,Rates!$A$15:$D$19,4,FALSE)))+(Info!$I$22-IF(AJ50&lt;3,VLOOKUP(Info!$C$10,Rates!$A$15:$B$19,2,FALSE),IF(AJ50&lt;5,VLOOKUP(Info!$C$10,Rates!$A$15:$C$19,3,FALSE),VLOOKUP(Info!$C$10,Rates!$A$15:$D$19,4,FALSE))))),0)</f>
        <v/>
      </c>
      <c r="D50" s="13">
        <f>IF(AI50&lt;&gt;"",E50,"")</f>
        <v/>
      </c>
      <c r="E50" s="12">
        <f>IF(AI50&lt;&gt;0,F50*(1+IF(AJ50&lt;3,VLOOKUP(Info!$C$10,Rates!$A$14:$B$19,2,FALSE),IF(AJ50&lt;5,VLOOKUP(Info!$C$10,Rates!$A$14:$C$19,3,FALSE),VLOOKUP(Info!$C$10,Rates!$A$14:$D$19,4,FALSE)))*LOOKUP(Info!$C$8,Rates!$I$2:$I$8,Rates!$G$2:$G$8))+E49*(1+IF(AJ50&lt;3,VLOOKUP(Info!$C$10,Rates!$A$14:$B$19,2,FALSE),IF(AJ50&lt;5,VLOOKUP(Info!$C$10,Rates!$A$14:$C$19,3,FALSE),VLOOKUP(Info!$C$10,Rates!$A$14:$D$19,4,FALSE)))),0)</f>
        <v/>
      </c>
      <c r="F50" s="13">
        <f>IF(AI50&lt;&gt;"",IF(Info!$C$16="بله",IF(AND(AJ50&lt;=Info!$F$20,AJ50&gt;=Info!$I$20),Info!$C$20,0)+(AG50-Y50-L50-K50-J50-I50-H50-G50),IF(AND(AJ50&lt;=Info!$F$20,AJ50&gt;=Info!$I$20),Info!$C$20,0)+(AG50-Y50-K50-J50-I50-H50-G50)),"")</f>
        <v/>
      </c>
      <c r="G50" s="106">
        <f>IF(AI50&lt;&gt;"",Rates!$AA$11*(L50),"")</f>
        <v/>
      </c>
      <c r="H50" s="106">
        <f>IF(AI50&lt;&gt;"",(Rates!$AC$11+Rates!$AB$11)*(L50),"")</f>
        <v/>
      </c>
      <c r="I50" s="13">
        <f>IF(AI50&lt;&gt;"",LOOKUP(Info!$C$8,Rates!$I$2:$I$7,Rates!$H$2:$H$7)*(J50+K50+L50+Y50),"")</f>
        <v/>
      </c>
      <c r="J50" s="13">
        <f>IF(N50="",0,N50)+IF(P50="",0,P50)+IF(Q50="",0,Q50)</f>
        <v/>
      </c>
      <c r="K50" s="13">
        <f>IF(Y50&lt;&gt;"",Info!$C$18*Y50,"")</f>
        <v/>
      </c>
      <c r="L50" s="13">
        <f>IF(R50="",0,R50)+IF(U50="",0,U50)+IF(W50="",0,W50)+IF(V50="",0,V50)+IF(T50="",0,T50)</f>
        <v/>
      </c>
      <c r="M50" s="13" t="n">
        <v>0</v>
      </c>
      <c r="N50" s="13" t="n">
        <v>0</v>
      </c>
      <c r="O50" s="12">
        <f>IF(AJ50&lt;=10,(1-Info!$C$25)*IF(OR(Info!$F$8&gt;0,Info!$F$10&gt;0),IF(0.75*$X$4&lt;=0.03*$AD$4,0.75*(X50-X49),0.03*(AD50-AD49)),0),"")</f>
        <v/>
      </c>
      <c r="P50" s="13">
        <f>IF(AJ50&lt;=5,IF(AI50&lt;&gt;"",0.002*AD50,"")*(1-Info!$I$25),0)</f>
        <v/>
      </c>
      <c r="Q50" s="13">
        <f>(1-Info!$F$25)*IF(AI50&lt;&gt;"",IF(Info!$C$16="بله",0.07*X50,0.07*AG50),"")</f>
        <v/>
      </c>
      <c r="R50" s="13">
        <f>IF(X50&lt;&gt;0,S50*X50,0)*(1-Info!$F$29)</f>
        <v/>
      </c>
      <c r="S50" s="106">
        <f>IF(Info!$I$14="خیر",0,IF(Info!$F$14="بله",IF(Info!$C$14=1,2.3,IF(Info!$C$14=2,3.3,4.3)),1))*IF(AND(AH50&lt;=Rates!$Y$8,AH50&gt;0),(1+Info!$C$18)*(1+LOOKUP(Info!$F$18,Rates!$O$2:$O$9,Rates!$L$2:$L$9)/100)*(LOOKUP(Info!$C$6,Rates!$T$2:$T$108,Rates!$R$2:$R$108)/100),0)</f>
        <v/>
      </c>
      <c r="T50" s="13">
        <f>IF(AI50&lt;71,(1-Info!$F$27)*((AB50*0.0008*(1+(LOOKUP(Info!$I$18,Rates!$O$2:$O$9,Rates!$M$2:$M$9)/100)))),0)</f>
        <v/>
      </c>
      <c r="U50" s="13">
        <f>IF(AI50&lt;71,(1-Info!$I$27)*(((AD50*0.0008*Info!$L$14))*(1+(LOOKUP(Info!$I$18,Rates!$O:$O,Rates!$N:$N)/100))),0)</f>
        <v/>
      </c>
      <c r="V50" s="13">
        <f>((Z50*0.0008))*(1+(LOOKUP(Info!$I$18,Rates!$O$2:$O$9,Rates!$M$2:$M$9)/100))*(1-Info!$C$27)</f>
        <v/>
      </c>
      <c r="W50" s="13">
        <f>IF(AND(AI50&lt;=Rates!$Y$2,AJ50&lt;=Info!$I$6,Info!$F$16="معمولی"),VLOOKUP(AI50,Rates!$T$1:$X$108,5,0),IF(AND(AI50&lt;=Rates!$Y$2,AJ50&lt;=Info!$I$6,Info!$F$16="پایه"),VLOOKUP(AI50,Rates!$T$1:$X$108,2,0),IF(AND(AI50&lt;=Rates!$Y$2,AJ50&lt;=Info!$I$6,Info!$F$16="آسایش "),VLOOKUP(AI50,Rates!$T$1:$X$108,3,0),IF(AND(AI50&lt;=Rates!$Y$2,AJ50&lt;=Info!$I$6,Info!$F$16="ممتاز"),VLOOKUP(AI50,Rates!$T$1:$X$108,4,0),0))))*AA50/1000000*(1+Info!$C$18)*(1-Info!$I$29)</f>
        <v/>
      </c>
      <c r="X50" s="113">
        <f>IF(Info!$C$16="بله",(AG50-W50-U50-V50-T50)/(1+S50),AG50)</f>
        <v/>
      </c>
      <c r="Y50" s="106">
        <f>IF(AI50&lt;&gt;0,(AD50*LOOKUP(AI50,Rates!$T$2:$T$108,Rates!$S$2:$S$108))/SQRT(1.1),0)</f>
        <v/>
      </c>
      <c r="Z50" s="106">
        <f>IF(AND(AI50&lt;=Rates!$Y$10,AI50&gt;=0),Info!$C$12*(AC50-AD50),0)</f>
        <v/>
      </c>
      <c r="AA50" s="13">
        <f>IF(AND(AI50&gt;=0,AI50&lt;=Rates!$Y$2,AG50&gt;0),MIN(AA49*(1+Info!$F$10),5000000000),0)</f>
        <v/>
      </c>
      <c r="AB50" s="106">
        <f>IF(AND(AI50&gt;=0,AI50&lt;=65),AD50*Info!$L$16,0)</f>
        <v/>
      </c>
      <c r="AC50" s="13">
        <f>IF(AND(AI50&gt;=0,AI50&lt;=Rates!$Y$3),AD50*(1+Info!$L$14),AD50)</f>
        <v/>
      </c>
      <c r="AD50" s="106">
        <f>IF(AI50&lt;&gt;0,AD49*(1+Info!$F$10),0)</f>
        <v/>
      </c>
      <c r="AE50" s="105">
        <f>IF(AI50&lt;&gt;0,AF50+AE49,0)</f>
        <v/>
      </c>
      <c r="AF50" s="13">
        <f>IF(AI50&gt;=0,IF(Info!$C$16="بله",AG50,AG50+L50),"")</f>
        <v/>
      </c>
      <c r="AG50" s="107">
        <f>IF(AI50&lt;&gt;0,AG49*(1+Info!$F$8),0)</f>
        <v/>
      </c>
      <c r="AH50" s="111">
        <f>IF(AJ50&lt;&gt;"",Info!$C$6+AJ50-1,0)</f>
        <v/>
      </c>
      <c r="AI50" s="17">
        <f>IF(AJ50&lt;&gt;"",IF(Info!$F$6+AJ50-1&lt;=Rates!$Y$11,Info!$F$6+AJ50-1,0),0)</f>
        <v/>
      </c>
      <c r="AJ50" s="18">
        <f>IF(AI49&lt;&gt;"",IF(AND(AJ49&lt;&gt;"",AI49+1&lt;=Rates!$Y$11),IF(AJ49&lt;&gt;0,IF(AJ49+1&lt;=Info!$I$6,AJ49+1,""),0),""),"")</f>
        <v/>
      </c>
    </row>
    <row r="51" ht="14.25" customFormat="1" customHeight="1" s="164">
      <c r="A51" s="11">
        <f>IF(B51&gt;0,IF(Info!$C$16="بله",AG51/B51,(AG51+L51)/B51),0)</f>
        <v/>
      </c>
      <c r="B51" s="11">
        <f>IF(AND(AI51&gt;=0,AJ51&lt;=Info!$I$6),LOOKUP(Info!$C$8,Rates!$I$2:$I$7,Rates!$F$2:$F$7),0)</f>
        <v/>
      </c>
      <c r="C51" s="12">
        <f>IF(AND(AI51&gt;=0,AJ51&lt;=Info!$I$6),F51+F51*(IF(AJ51&lt;3,VLOOKUP(Info!$C$10,Rates!$A$15:$B$19,2,FALSE),IF(AJ51&lt;5,VLOOKUP(Info!$C$10,Rates!$A$15:$C$19,3,FALSE),VLOOKUP(Info!$C$10,Rates!$A$15:$D$19,4,FALSE)))+(Info!$I$22-IF(AJ51&gt;4,LOOKUP(Info!$C$10,Rates!$D$2:$D$7,Rates!$A$2:$A$7),LOOKUP(Info!$C$10,Rates!$D$2:$D$7,Rates!$C$2:$C$7))))*LOOKUP(Info!$C$8,Rates!$I$2:$I$7,Rates!$G$2:$G$7)+C50*(1+IF(AJ51&lt;3,VLOOKUP(Info!$C$10,Rates!$A$15:$B$19,2,FALSE),IF(AJ51&lt;5,VLOOKUP(Info!$C$10,Rates!$A$15:$C$19,3,FALSE),VLOOKUP(Info!$C$10,Rates!$A$15:$D$19,4,FALSE)))+(Info!$I$22-IF(AJ51&lt;3,VLOOKUP(Info!$C$10,Rates!$A$15:$B$19,2,FALSE),IF(AJ51&lt;5,VLOOKUP(Info!$C$10,Rates!$A$15:$C$19,3,FALSE),VLOOKUP(Info!$C$10,Rates!$A$15:$D$19,4,FALSE))))),0)</f>
        <v/>
      </c>
      <c r="D51" s="12">
        <f>IF(AI51&lt;&gt;"",E51,"")</f>
        <v/>
      </c>
      <c r="E51" s="12">
        <f>IF(AI51&lt;&gt;0,F51*(1+IF(AJ51&lt;3,VLOOKUP(Info!$C$10,Rates!$A$14:$B$19,2,FALSE),IF(AJ51&lt;5,VLOOKUP(Info!$C$10,Rates!$A$14:$C$19,3,FALSE),VLOOKUP(Info!$C$10,Rates!$A$14:$D$19,4,FALSE)))*LOOKUP(Info!$C$8,Rates!$I$2:$I$8,Rates!$G$2:$G$8))+E50*(1+IF(AJ51&lt;3,VLOOKUP(Info!$C$10,Rates!$A$14:$B$19,2,FALSE),IF(AJ51&lt;5,VLOOKUP(Info!$C$10,Rates!$A$14:$C$19,3,FALSE),VLOOKUP(Info!$C$10,Rates!$A$14:$D$19,4,FALSE)))),0)</f>
        <v/>
      </c>
      <c r="F51" s="12">
        <f>IF(AI51&lt;&gt;"",IF(Info!$C$16="بله",IF(AND(AJ51&lt;=Info!$F$20,AJ51&gt;=Info!$I$20),Info!$C$20,0)+(AG51-Y51-L51-K51-J51-I51-H51-G51),IF(AND(AJ51&lt;=Info!$F$20,AJ51&gt;=Info!$I$20),Info!$C$20,0)+(AG51-Y51-K51-J51-I51-H51-G51)),"")</f>
        <v/>
      </c>
      <c r="G51" s="107">
        <f>IF(AI51&lt;&gt;"",Rates!$AA$11*(L51),"")</f>
        <v/>
      </c>
      <c r="H51" s="107">
        <f>IF(AI51&lt;&gt;"",(Rates!$AC$11+Rates!$AB$11)*(L51),"")</f>
        <v/>
      </c>
      <c r="I51" s="12">
        <f>IF(AI51&lt;&gt;"",LOOKUP(Info!$C$8,Rates!$I$2:$I$7,Rates!$H$2:$H$7)*(J51+K51+L51+Y51),"")</f>
        <v/>
      </c>
      <c r="J51" s="12">
        <f>IF(N51="",0,N51)+IF(P51="",0,P51)+IF(Q51="",0,Q51)</f>
        <v/>
      </c>
      <c r="K51" s="12">
        <f>IF(Y51&lt;&gt;"",Info!$C$18*Y51,"")</f>
        <v/>
      </c>
      <c r="L51" s="12">
        <f>IF(R51="",0,R51)+IF(U51="",0,U51)+IF(W51="",0,W51)+IF(V51="",0,V51)+IF(T51="",0,T51)</f>
        <v/>
      </c>
      <c r="M51" s="12" t="n">
        <v>0</v>
      </c>
      <c r="N51" s="12" t="n">
        <v>0</v>
      </c>
      <c r="O51" s="12">
        <f>IF(AJ51&lt;=10,(1-Info!$C$25)*IF(OR(Info!$F$8&gt;0,Info!$F$10&gt;0),IF(0.75*$X$4&lt;=0.03*$AD$4,0.75*(X51-X50),0.03*(AD51-AD50)),0),"")</f>
        <v/>
      </c>
      <c r="P51" s="12">
        <f>IF(AJ51&lt;=5,IF(AI51&lt;&gt;"",0.002*AD51,"")*(1-Info!$I$25),0)</f>
        <v/>
      </c>
      <c r="Q51" s="12">
        <f>(1-Info!$F$25)*IF(AI51&lt;&gt;"",IF(Info!$C$16="بله",0.07*X51,0.07*AG51),"")</f>
        <v/>
      </c>
      <c r="R51" s="12">
        <f>IF(X51&lt;&gt;0,S51*X51,0)*(1-Info!$F$29)</f>
        <v/>
      </c>
      <c r="S51" s="107">
        <f>IF(Info!$I$14="خیر",0,IF(Info!$F$14="بله",IF(Info!$C$14=1,2.3,IF(Info!$C$14=2,3.3,4.3)),1))*IF(AND(AH51&lt;=Rates!$Y$8,AH51&gt;0),(1+Info!$C$18)*(1+LOOKUP(Info!$F$18,Rates!$O$2:$O$9,Rates!$L$2:$L$9)/100)*(LOOKUP(Info!$C$6,Rates!$T$2:$T$108,Rates!$R$2:$R$108)/100),0)</f>
        <v/>
      </c>
      <c r="T51" s="12">
        <f>IF(AI51&lt;71,(1-Info!$F$27)*((AB51*0.0008*(1+(LOOKUP(Info!$I$18,Rates!$O$2:$O$9,Rates!$M$2:$M$9)/100)))),0)</f>
        <v/>
      </c>
      <c r="U51" s="12">
        <f>IF(AI51&lt;71,(1-Info!$I$27)*(((AD51*0.0008*Info!$L$14))*(1+(LOOKUP(Info!$I$18,Rates!$O:$O,Rates!$N:$N)/100))),0)</f>
        <v/>
      </c>
      <c r="V51" s="12">
        <f>((Z51*0.0008))*(1+(LOOKUP(Info!$I$18,Rates!$O$2:$O$9,Rates!$M$2:$M$9)/100))*(1-Info!$C$27)</f>
        <v/>
      </c>
      <c r="W51" s="12">
        <f>IF(AND(AI51&lt;=Rates!$Y$2,AJ51&lt;=Info!$I$6,Info!$F$16="معمولی"),VLOOKUP(AI51,Rates!$T$1:$X$108,5,0),IF(AND(AI51&lt;=Rates!$Y$2,AJ51&lt;=Info!$I$6,Info!$F$16="پایه"),VLOOKUP(AI51,Rates!$T$1:$X$108,2,0),IF(AND(AI51&lt;=Rates!$Y$2,AJ51&lt;=Info!$I$6,Info!$F$16="آسایش "),VLOOKUP(AI51,Rates!$T$1:$X$108,3,0),IF(AND(AI51&lt;=Rates!$Y$2,AJ51&lt;=Info!$I$6,Info!$F$16="ممتاز"),VLOOKUP(AI51,Rates!$T$1:$X$108,4,0),0))))*AA51/1000000*(1+Info!$C$18)*(1-Info!$I$29)</f>
        <v/>
      </c>
      <c r="X51" s="12">
        <f>IF(Info!$C$16="بله",(AG51-W51-U51-V51-T51)/(1+S51),AG51)</f>
        <v/>
      </c>
      <c r="Y51" s="107">
        <f>IF(AI51&lt;&gt;0,(AD51*LOOKUP(AI51,Rates!$T$2:$T$108,Rates!$S$2:$S$108))/SQRT(1.1),0)</f>
        <v/>
      </c>
      <c r="Z51" s="107">
        <f>IF(AND(AI51&lt;=Rates!$Y$10,AI51&gt;=0),Info!$C$12*(AC51-AD51),0)</f>
        <v/>
      </c>
      <c r="AA51" s="12">
        <f>IF(AND(AI51&gt;=0,AI51&lt;=Rates!$Y$2,AG51&gt;0),MIN(AA50*(1+Info!$F$10),5000000000),0)</f>
        <v/>
      </c>
      <c r="AB51" s="107">
        <f>IF(AND(AI51&gt;=0,AI51&lt;=65),AD51*Info!$L$16,0)</f>
        <v/>
      </c>
      <c r="AC51" s="12">
        <f>IF(AND(AI51&gt;=0,AI51&lt;=Rates!$Y$3),AD51*(1+Info!$L$14),AD51)</f>
        <v/>
      </c>
      <c r="AD51" s="107">
        <f>IF(AI51&lt;&gt;0,AD50*(1+Info!$F$10),0)</f>
        <v/>
      </c>
      <c r="AE51" s="104">
        <f>IF(AI51&lt;&gt;0,AF51+AE50,0)</f>
        <v/>
      </c>
      <c r="AF51" s="12">
        <f>IF(AI51&gt;=0,IF(Info!$C$16="بله",AG51,AG51+L51),"")</f>
        <v/>
      </c>
      <c r="AG51" s="107">
        <f>IF(AI51&lt;&gt;0,AG50*(1+Info!$F$8),0)</f>
        <v/>
      </c>
      <c r="AH51" s="110">
        <f>IF(AJ51&lt;&gt;"",Info!$C$6+AJ51-1,0)</f>
        <v/>
      </c>
      <c r="AI51" s="14">
        <f>IF(AJ51&lt;&gt;"",IF(Info!$F$6+AJ51-1&lt;=Rates!$Y$11,Info!$F$6+AJ51-1,0),0)</f>
        <v/>
      </c>
      <c r="AJ51" s="15">
        <f>IF(AI50&lt;&gt;"",IF(AND(AJ50&lt;&gt;"",AI50+1&lt;=Rates!$Y$11),IF(AJ50&lt;&gt;0,IF(AJ50+1&lt;=Info!$I$6,AJ50+1,""),0),""),"")</f>
        <v/>
      </c>
    </row>
    <row r="52" ht="14.25" customFormat="1" customHeight="1" s="164">
      <c r="A52" s="16">
        <f>IF(B52&gt;0,IF(Info!$C$16="بله",AG52/B52,(AG52+L52)/B52),0)</f>
        <v/>
      </c>
      <c r="B52" s="16">
        <f>IF(AND(AI52&gt;=0,AJ52&lt;=Info!$I$6),LOOKUP(Info!$C$8,Rates!$I$2:$I$7,Rates!$F$2:$F$7),0)</f>
        <v/>
      </c>
      <c r="C52" s="13">
        <f>IF(AND(AI52&gt;=0,AJ52&lt;=Info!$I$6),F52+F52*(IF(AJ52&lt;3,VLOOKUP(Info!$C$10,Rates!$A$15:$B$19,2,FALSE),IF(AJ52&lt;5,VLOOKUP(Info!$C$10,Rates!$A$15:$C$19,3,FALSE),VLOOKUP(Info!$C$10,Rates!$A$15:$D$19,4,FALSE)))+(Info!$I$22-IF(AJ52&gt;4,LOOKUP(Info!$C$10,Rates!$D$2:$D$7,Rates!$A$2:$A$7),LOOKUP(Info!$C$10,Rates!$D$2:$D$7,Rates!$C$2:$C$7))))*LOOKUP(Info!$C$8,Rates!$I$2:$I$7,Rates!$G$2:$G$7)+C51*(1+IF(AJ52&lt;3,VLOOKUP(Info!$C$10,Rates!$A$15:$B$19,2,FALSE),IF(AJ52&lt;5,VLOOKUP(Info!$C$10,Rates!$A$15:$C$19,3,FALSE),VLOOKUP(Info!$C$10,Rates!$A$15:$D$19,4,FALSE)))+(Info!$I$22-IF(AJ52&lt;3,VLOOKUP(Info!$C$10,Rates!$A$15:$B$19,2,FALSE),IF(AJ52&lt;5,VLOOKUP(Info!$C$10,Rates!$A$15:$C$19,3,FALSE),VLOOKUP(Info!$C$10,Rates!$A$15:$D$19,4,FALSE))))),0)</f>
        <v/>
      </c>
      <c r="D52" s="13">
        <f>IF(AI52&lt;&gt;"",E52,"")</f>
        <v/>
      </c>
      <c r="E52" s="12">
        <f>IF(AI52&lt;&gt;0,F52*(1+IF(AJ52&lt;3,VLOOKUP(Info!$C$10,Rates!$A$14:$B$19,2,FALSE),IF(AJ52&lt;5,VLOOKUP(Info!$C$10,Rates!$A$14:$C$19,3,FALSE),VLOOKUP(Info!$C$10,Rates!$A$14:$D$19,4,FALSE)))*LOOKUP(Info!$C$8,Rates!$I$2:$I$8,Rates!$G$2:$G$8))+E51*(1+IF(AJ52&lt;3,VLOOKUP(Info!$C$10,Rates!$A$14:$B$19,2,FALSE),IF(AJ52&lt;5,VLOOKUP(Info!$C$10,Rates!$A$14:$C$19,3,FALSE),VLOOKUP(Info!$C$10,Rates!$A$14:$D$19,4,FALSE)))),0)</f>
        <v/>
      </c>
      <c r="F52" s="13">
        <f>IF(AI52&lt;&gt;"",IF(Info!$C$16="بله",IF(AND(AJ52&lt;=Info!$F$20,AJ52&gt;=Info!$I$20),Info!$C$20,0)+(AG52-Y52-L52-K52-J52-I52-H52-G52),IF(AND(AJ52&lt;=Info!$F$20,AJ52&gt;=Info!$I$20),Info!$C$20,0)+(AG52-Y52-K52-J52-I52-H52-G52)),"")</f>
        <v/>
      </c>
      <c r="G52" s="106">
        <f>IF(AI52&lt;&gt;"",Rates!$AA$11*(L52),"")</f>
        <v/>
      </c>
      <c r="H52" s="106">
        <f>IF(AI52&lt;&gt;"",(Rates!$AC$11+Rates!$AB$11)*(L52),"")</f>
        <v/>
      </c>
      <c r="I52" s="13">
        <f>IF(AI52&lt;&gt;"",LOOKUP(Info!$C$8,Rates!$I$2:$I$7,Rates!$H$2:$H$7)*(J52+K52+L52+Y52),"")</f>
        <v/>
      </c>
      <c r="J52" s="13">
        <f>IF(N52="",0,N52)+IF(P52="",0,P52)+IF(Q52="",0,Q52)</f>
        <v/>
      </c>
      <c r="K52" s="13">
        <f>IF(Y52&lt;&gt;"",Info!$C$18*Y52,"")</f>
        <v/>
      </c>
      <c r="L52" s="13">
        <f>IF(R52="",0,R52)+IF(U52="",0,U52)+IF(W52="",0,W52)+IF(V52="",0,V52)+IF(T52="",0,T52)</f>
        <v/>
      </c>
      <c r="M52" s="13" t="n">
        <v>0</v>
      </c>
      <c r="N52" s="13" t="n">
        <v>0</v>
      </c>
      <c r="O52" s="12">
        <f>IF(AJ52&lt;=10,(1-Info!$C$25)*IF(OR(Info!$F$8&gt;0,Info!$F$10&gt;0),IF(0.75*$X$4&lt;=0.03*$AD$4,0.75*(X52-X51),0.03*(AD52-AD51)),0),"")</f>
        <v/>
      </c>
      <c r="P52" s="13">
        <f>IF(AJ52&lt;=5,IF(AI52&lt;&gt;"",0.002*AD52,"")*(1-Info!$I$25),0)</f>
        <v/>
      </c>
      <c r="Q52" s="13">
        <f>(1-Info!$F$25)*IF(AI52&lt;&gt;"",IF(Info!$C$16="بله",0.07*X52,0.07*AG52),"")</f>
        <v/>
      </c>
      <c r="R52" s="13">
        <f>IF(X52&lt;&gt;0,S52*X52,0)*(1-Info!$F$29)</f>
        <v/>
      </c>
      <c r="S52" s="106">
        <f>IF(Info!$I$14="خیر",0,IF(Info!$F$14="بله",IF(Info!$C$14=1,2.3,IF(Info!$C$14=2,3.3,4.3)),1))*IF(AND(AH52&lt;=Rates!$Y$8,AH52&gt;0),(1+Info!$C$18)*(1+LOOKUP(Info!$F$18,Rates!$O$2:$O$9,Rates!$L$2:$L$9)/100)*(LOOKUP(Info!$C$6,Rates!$T$2:$T$108,Rates!$R$2:$R$108)/100),0)</f>
        <v/>
      </c>
      <c r="T52" s="13">
        <f>IF(AI52&lt;71,(1-Info!$F$27)*((AB52*0.0008*(1+(LOOKUP(Info!$I$18,Rates!$O$2:$O$9,Rates!$M$2:$M$9)/100)))),0)</f>
        <v/>
      </c>
      <c r="U52" s="13">
        <f>IF(AI52&lt;71,(1-Info!$I$27)*(((AD52*0.0008*Info!$L$14))*(1+(LOOKUP(Info!$I$18,Rates!$O:$O,Rates!$N:$N)/100))),0)</f>
        <v/>
      </c>
      <c r="V52" s="13">
        <f>((Z52*0.0008))*(1+(LOOKUP(Info!$I$18,Rates!$O$2:$O$9,Rates!$M$2:$M$9)/100))*(1-Info!$C$27)</f>
        <v/>
      </c>
      <c r="W52" s="13">
        <f>IF(AND(AI52&lt;=Rates!$Y$2,AJ52&lt;=Info!$I$6,Info!$F$16="معمولی"),VLOOKUP(AI52,Rates!$T$1:$X$108,5,0),IF(AND(AI52&lt;=Rates!$Y$2,AJ52&lt;=Info!$I$6,Info!$F$16="پایه"),VLOOKUP(AI52,Rates!$T$1:$X$108,2,0),IF(AND(AI52&lt;=Rates!$Y$2,AJ52&lt;=Info!$I$6,Info!$F$16="آسایش "),VLOOKUP(AI52,Rates!$T$1:$X$108,3,0),IF(AND(AI52&lt;=Rates!$Y$2,AJ52&lt;=Info!$I$6,Info!$F$16="ممتاز"),VLOOKUP(AI52,Rates!$T$1:$X$108,4,0),0))))*AA52/1000000*(1+Info!$C$18)*(1-Info!$I$29)</f>
        <v/>
      </c>
      <c r="X52" s="113">
        <f>IF(Info!$C$16="بله",(AG52-W52-U52-V52-T52)/(1+S52),AG52)</f>
        <v/>
      </c>
      <c r="Y52" s="106">
        <f>IF(AI52&lt;&gt;0,(AD52*LOOKUP(AI52,Rates!$T$2:$T$108,Rates!$S$2:$S$108))/SQRT(1.1),0)</f>
        <v/>
      </c>
      <c r="Z52" s="106">
        <f>IF(AND(AI52&lt;=Rates!$Y$10,AI52&gt;=0),Info!$C$12*(AC52-AD52),0)</f>
        <v/>
      </c>
      <c r="AA52" s="13">
        <f>IF(AND(AI52&gt;=0,AI52&lt;=Rates!$Y$2,AG52&gt;0),MIN(AA51*(1+Info!$F$10),5000000000),0)</f>
        <v/>
      </c>
      <c r="AB52" s="106">
        <f>IF(AND(AI52&gt;=0,AI52&lt;=65),AD52*Info!$L$16,0)</f>
        <v/>
      </c>
      <c r="AC52" s="13">
        <f>IF(AND(AI52&gt;=0,AI52&lt;=Rates!$Y$3),AD52*(1+Info!$L$14),AD52)</f>
        <v/>
      </c>
      <c r="AD52" s="106">
        <f>IF(AI52&lt;&gt;0,AD51*(1+Info!$F$10),0)</f>
        <v/>
      </c>
      <c r="AE52" s="105">
        <f>IF(AI52&lt;&gt;0,AF52+AE51,0)</f>
        <v/>
      </c>
      <c r="AF52" s="13">
        <f>IF(AI52&gt;=0,IF(Info!$C$16="بله",AG52,AG52+L52),"")</f>
        <v/>
      </c>
      <c r="AG52" s="107">
        <f>IF(AI52&lt;&gt;0,AG51*(1+Info!$F$8),0)</f>
        <v/>
      </c>
      <c r="AH52" s="111">
        <f>IF(AJ52&lt;&gt;"",Info!$C$6+AJ52-1,0)</f>
        <v/>
      </c>
      <c r="AI52" s="17">
        <f>IF(AJ52&lt;&gt;"",IF(Info!$F$6+AJ52-1&lt;=Rates!$Y$11,Info!$F$6+AJ52-1,0),0)</f>
        <v/>
      </c>
      <c r="AJ52" s="18">
        <f>IF(AI51&lt;&gt;"",IF(AND(AJ51&lt;&gt;"",AI51+1&lt;=Rates!$Y$11),IF(AJ51&lt;&gt;0,IF(AJ51+1&lt;=Info!$I$6,AJ51+1,""),0),""),"")</f>
        <v/>
      </c>
    </row>
    <row r="53" ht="14.25" customFormat="1" customHeight="1" s="164">
      <c r="A53" s="11">
        <f>IF(B53&gt;0,IF(Info!$C$16="بله",AG53/B53,(AG53+L53)/B53),0)</f>
        <v/>
      </c>
      <c r="B53" s="11">
        <f>IF(AND(AI53&gt;=0,AJ53&lt;=Info!$I$6),LOOKUP(Info!$C$8,Rates!$I$2:$I$7,Rates!$F$2:$F$7),0)</f>
        <v/>
      </c>
      <c r="C53" s="12">
        <f>IF(AND(AI53&gt;=0,AJ53&lt;=Info!$I$6),F53+F53*(IF(AJ53&lt;3,VLOOKUP(Info!$C$10,Rates!$A$15:$B$19,2,FALSE),IF(AJ53&lt;5,VLOOKUP(Info!$C$10,Rates!$A$15:$C$19,3,FALSE),VLOOKUP(Info!$C$10,Rates!$A$15:$D$19,4,FALSE)))+(Info!$I$22-IF(AJ53&gt;4,LOOKUP(Info!$C$10,Rates!$D$2:$D$7,Rates!$A$2:$A$7),LOOKUP(Info!$C$10,Rates!$D$2:$D$7,Rates!$C$2:$C$7))))*LOOKUP(Info!$C$8,Rates!$I$2:$I$7,Rates!$G$2:$G$7)+C52*(1+IF(AJ53&lt;3,VLOOKUP(Info!$C$10,Rates!$A$15:$B$19,2,FALSE),IF(AJ53&lt;5,VLOOKUP(Info!$C$10,Rates!$A$15:$C$19,3,FALSE),VLOOKUP(Info!$C$10,Rates!$A$15:$D$19,4,FALSE)))+(Info!$I$22-IF(AJ53&lt;3,VLOOKUP(Info!$C$10,Rates!$A$15:$B$19,2,FALSE),IF(AJ53&lt;5,VLOOKUP(Info!$C$10,Rates!$A$15:$C$19,3,FALSE),VLOOKUP(Info!$C$10,Rates!$A$15:$D$19,4,FALSE))))),0)</f>
        <v/>
      </c>
      <c r="D53" s="12">
        <f>IF(AI53&lt;&gt;"",E53,"")</f>
        <v/>
      </c>
      <c r="E53" s="12">
        <f>IF(AI53&lt;&gt;0,F53*(1+IF(AJ53&lt;3,VLOOKUP(Info!$C$10,Rates!$A$14:$B$19,2,FALSE),IF(AJ53&lt;5,VLOOKUP(Info!$C$10,Rates!$A$14:$C$19,3,FALSE),VLOOKUP(Info!$C$10,Rates!$A$14:$D$19,4,FALSE)))*LOOKUP(Info!$C$8,Rates!$I$2:$I$8,Rates!$G$2:$G$8))+E52*(1+IF(AJ53&lt;3,VLOOKUP(Info!$C$10,Rates!$A$14:$B$19,2,FALSE),IF(AJ53&lt;5,VLOOKUP(Info!$C$10,Rates!$A$14:$C$19,3,FALSE),VLOOKUP(Info!$C$10,Rates!$A$14:$D$19,4,FALSE)))),0)</f>
        <v/>
      </c>
      <c r="F53" s="12">
        <f>IF(AI53&lt;&gt;"",IF(Info!$C$16="بله",IF(AND(AJ53&lt;=Info!$F$20,AJ53&gt;=Info!$I$20),Info!$C$20,0)+(AG53-Y53-L53-K53-J53-I53-H53-G53),IF(AND(AJ53&lt;=Info!$F$20,AJ53&gt;=Info!$I$20),Info!$C$20,0)+(AG53-Y53-K53-J53-I53-H53-G53)),"")</f>
        <v/>
      </c>
      <c r="G53" s="107">
        <f>IF(AI53&lt;&gt;"",Rates!$AA$11*(L53),"")</f>
        <v/>
      </c>
      <c r="H53" s="107">
        <f>IF(AI53&lt;&gt;"",(Rates!$AC$11+Rates!$AB$11)*(L53),"")</f>
        <v/>
      </c>
      <c r="I53" s="12">
        <f>IF(AI53&lt;&gt;"",LOOKUP(Info!$C$8,Rates!$I$2:$I$7,Rates!$H$2:$H$7)*(J53+K53+L53+Y53),"")</f>
        <v/>
      </c>
      <c r="J53" s="12">
        <f>IF(N53="",0,N53)+IF(P53="",0,P53)+IF(Q53="",0,Q53)</f>
        <v/>
      </c>
      <c r="K53" s="12">
        <f>IF(Y53&lt;&gt;"",Info!$C$18*Y53,"")</f>
        <v/>
      </c>
      <c r="L53" s="12">
        <f>IF(R53="",0,R53)+IF(U53="",0,U53)+IF(W53="",0,W53)+IF(V53="",0,V53)+IF(T53="",0,T53)</f>
        <v/>
      </c>
      <c r="M53" s="12" t="n">
        <v>0</v>
      </c>
      <c r="N53" s="12" t="n">
        <v>0</v>
      </c>
      <c r="O53" s="12">
        <f>IF(AJ53&lt;=10,(1-Info!$C$25)*IF(OR(Info!$F$8&gt;0,Info!$F$10&gt;0),IF(0.75*$X$4&lt;=0.03*$AD$4,0.75*(X53-X52),0.03*(AD53-AD52)),0),"")</f>
        <v/>
      </c>
      <c r="P53" s="12">
        <f>IF(AJ53&lt;=5,IF(AI53&lt;&gt;"",0.002*AD53,"")*(1-Info!$I$25),0)</f>
        <v/>
      </c>
      <c r="Q53" s="12">
        <f>(1-Info!$F$25)*IF(AI53&lt;&gt;"",IF(Info!$C$16="بله",0.07*X53,0.07*AG53),"")</f>
        <v/>
      </c>
      <c r="R53" s="12">
        <f>IF(X53&lt;&gt;0,S53*X53,0)*(1-Info!$F$29)</f>
        <v/>
      </c>
      <c r="S53" s="107">
        <f>IF(Info!$I$14="خیر",0,IF(Info!$F$14="بله",IF(Info!$C$14=1,2.3,IF(Info!$C$14=2,3.3,4.3)),1))*IF(AND(AH53&lt;=Rates!$Y$8,AH53&gt;0),(1+Info!$C$18)*(1+LOOKUP(Info!$F$18,Rates!$O$2:$O$9,Rates!$L$2:$L$9)/100)*(LOOKUP(Info!$C$6,Rates!$T$2:$T$108,Rates!$R$2:$R$108)/100),0)</f>
        <v/>
      </c>
      <c r="T53" s="12">
        <f>IF(AI53&lt;71,(1-Info!$F$27)*((AB53*0.0008*(1+(LOOKUP(Info!$I$18,Rates!$O$2:$O$9,Rates!$M$2:$M$9)/100)))),0)</f>
        <v/>
      </c>
      <c r="U53" s="12">
        <f>IF(AI53&lt;71,(1-Info!$I$27)*(((AD53*0.0008*Info!$L$14))*(1+(LOOKUP(Info!$I$18,Rates!$O:$O,Rates!$N:$N)/100))),0)</f>
        <v/>
      </c>
      <c r="V53" s="12">
        <f>((Z53*0.0008))*(1+(LOOKUP(Info!$I$18,Rates!$O$2:$O$9,Rates!$M$2:$M$9)/100))*(1-Info!$C$27)</f>
        <v/>
      </c>
      <c r="W53" s="12">
        <f>IF(AND(AI53&lt;=Rates!$Y$2,AJ53&lt;=Info!$I$6,Info!$F$16="معمولی"),VLOOKUP(AI53,Rates!$T$1:$X$108,5,0),IF(AND(AI53&lt;=Rates!$Y$2,AJ53&lt;=Info!$I$6,Info!$F$16="پایه"),VLOOKUP(AI53,Rates!$T$1:$X$108,2,0),IF(AND(AI53&lt;=Rates!$Y$2,AJ53&lt;=Info!$I$6,Info!$F$16="آسایش "),VLOOKUP(AI53,Rates!$T$1:$X$108,3,0),IF(AND(AI53&lt;=Rates!$Y$2,AJ53&lt;=Info!$I$6,Info!$F$16="ممتاز"),VLOOKUP(AI53,Rates!$T$1:$X$108,4,0),0))))*AA53/1000000*(1+Info!$C$18)*(1-Info!$I$29)</f>
        <v/>
      </c>
      <c r="X53" s="12">
        <f>IF(Info!$C$16="بله",(AG53-W53-U53-V53-T53)/(1+S53),AG53)</f>
        <v/>
      </c>
      <c r="Y53" s="107">
        <f>IF(AI53&lt;&gt;0,(AD53*LOOKUP(AI53,Rates!$T$2:$T$108,Rates!$S$2:$S$108))/SQRT(1.1),0)</f>
        <v/>
      </c>
      <c r="Z53" s="107">
        <f>IF(AND(AI53&lt;=Rates!$Y$10,AI53&gt;=0),Info!$C$12*(AC53-AD53),0)</f>
        <v/>
      </c>
      <c r="AA53" s="12">
        <f>IF(AND(AI53&gt;=0,AI53&lt;=Rates!$Y$2,AG53&gt;0),MIN(AA52*(1+Info!$F$10),5000000000),0)</f>
        <v/>
      </c>
      <c r="AB53" s="107">
        <f>IF(AND(AI53&gt;=0,AI53&lt;=65),AD53*Info!$L$16,0)</f>
        <v/>
      </c>
      <c r="AC53" s="12">
        <f>IF(AND(AI53&gt;=0,AI53&lt;=Rates!$Y$3),AD53*(1+Info!$L$14),AD53)</f>
        <v/>
      </c>
      <c r="AD53" s="107">
        <f>IF(AI53&lt;&gt;0,AD52*(1+Info!$F$10),0)</f>
        <v/>
      </c>
      <c r="AE53" s="104">
        <f>IF(AI53&lt;&gt;0,AF53+AE52,0)</f>
        <v/>
      </c>
      <c r="AF53" s="12">
        <f>IF(AI53&gt;=0,IF(Info!$C$16="بله",AG53,AG53+L53),"")</f>
        <v/>
      </c>
      <c r="AG53" s="107">
        <f>IF(AI53&lt;&gt;0,AG52*(1+Info!$F$8),0)</f>
        <v/>
      </c>
      <c r="AH53" s="110">
        <f>IF(AJ53&lt;&gt;"",Info!$C$6+AJ53-1,0)</f>
        <v/>
      </c>
      <c r="AI53" s="14">
        <f>IF(AJ53&lt;&gt;"",IF(Info!$F$6+AJ53-1&lt;=Rates!$Y$11,Info!$F$6+AJ53-1,0),0)</f>
        <v/>
      </c>
      <c r="AJ53" s="15">
        <f>IF(AI52&lt;&gt;"",IF(AND(AJ52&lt;&gt;"",AI52+1&lt;=Rates!$Y$11),IF(AJ52&lt;&gt;0,IF(AJ52+1&lt;=Info!$I$6,AJ52+1,""),0),""),"")</f>
        <v/>
      </c>
    </row>
    <row r="54" ht="14.25" customFormat="1" customHeight="1" s="164">
      <c r="A54" s="16">
        <f>IF(B54&gt;0,IF(Info!$C$16="بله",AG54/B54,(AG54+L54)/B54),0)</f>
        <v/>
      </c>
      <c r="B54" s="16">
        <f>IF(AND(AI54&gt;=0,AJ54&lt;=Info!$I$6),LOOKUP(Info!$C$8,Rates!$I$2:$I$7,Rates!$F$2:$F$7),0)</f>
        <v/>
      </c>
      <c r="C54" s="13">
        <f>IF(AND(AI54&gt;=0,AJ54&lt;=Info!$I$6),F54+F54*(IF(AJ54&lt;3,VLOOKUP(Info!$C$10,Rates!$A$15:$B$19,2,FALSE),IF(AJ54&lt;5,VLOOKUP(Info!$C$10,Rates!$A$15:$C$19,3,FALSE),VLOOKUP(Info!$C$10,Rates!$A$15:$D$19,4,FALSE)))+(Info!$I$22-IF(AJ54&gt;4,LOOKUP(Info!$C$10,Rates!$D$2:$D$7,Rates!$A$2:$A$7),LOOKUP(Info!$C$10,Rates!$D$2:$D$7,Rates!$C$2:$C$7))))*LOOKUP(Info!$C$8,Rates!$I$2:$I$7,Rates!$G$2:$G$7)+C53*(1+IF(AJ54&lt;3,VLOOKUP(Info!$C$10,Rates!$A$15:$B$19,2,FALSE),IF(AJ54&lt;5,VLOOKUP(Info!$C$10,Rates!$A$15:$C$19,3,FALSE),VLOOKUP(Info!$C$10,Rates!$A$15:$D$19,4,FALSE)))+(Info!$I$22-IF(AJ54&lt;3,VLOOKUP(Info!$C$10,Rates!$A$15:$B$19,2,FALSE),IF(AJ54&lt;5,VLOOKUP(Info!$C$10,Rates!$A$15:$C$19,3,FALSE),VLOOKUP(Info!$C$10,Rates!$A$15:$D$19,4,FALSE))))),0)</f>
        <v/>
      </c>
      <c r="D54" s="13">
        <f>IF(AI54&lt;&gt;"",E54,"")</f>
        <v/>
      </c>
      <c r="E54" s="12">
        <f>IF(AI54&lt;&gt;0,F54*(1+IF(AJ54&lt;3,VLOOKUP(Info!$C$10,Rates!$A$14:$B$19,2,FALSE),IF(AJ54&lt;5,VLOOKUP(Info!$C$10,Rates!$A$14:$C$19,3,FALSE),VLOOKUP(Info!$C$10,Rates!$A$14:$D$19,4,FALSE)))*LOOKUP(Info!$C$8,Rates!$I$2:$I$8,Rates!$G$2:$G$8))+E53*(1+IF(AJ54&lt;3,VLOOKUP(Info!$C$10,Rates!$A$14:$B$19,2,FALSE),IF(AJ54&lt;5,VLOOKUP(Info!$C$10,Rates!$A$14:$C$19,3,FALSE),VLOOKUP(Info!$C$10,Rates!$A$14:$D$19,4,FALSE)))),0)</f>
        <v/>
      </c>
      <c r="F54" s="13">
        <f>IF(AI54&lt;&gt;"",IF(Info!$C$16="بله",IF(AND(AJ54&lt;=Info!$F$20,AJ54&gt;=Info!$I$20),Info!$C$20,0)+(AG54-Y54-L54-K54-J54-I54-H54-G54),IF(AND(AJ54&lt;=Info!$F$20,AJ54&gt;=Info!$I$20),Info!$C$20,0)+(AG54-Y54-K54-J54-I54-H54-G54)),"")</f>
        <v/>
      </c>
      <c r="G54" s="106">
        <f>IF(AI54&lt;&gt;"",Rates!$AA$11*(L54),"")</f>
        <v/>
      </c>
      <c r="H54" s="106">
        <f>IF(AI54&lt;&gt;"",(Rates!$AC$11+Rates!$AB$11)*(L54),"")</f>
        <v/>
      </c>
      <c r="I54" s="13">
        <f>IF(AI54&lt;&gt;"",LOOKUP(Info!$C$8,Rates!$I$2:$I$7,Rates!$H$2:$H$7)*(J54+K54+L54+Y54),"")</f>
        <v/>
      </c>
      <c r="J54" s="13">
        <f>IF(N54="",0,N54)+IF(P54="",0,P54)+IF(Q54="",0,Q54)</f>
        <v/>
      </c>
      <c r="K54" s="13">
        <f>IF(Y54&lt;&gt;"",Info!$C$18*Y54,"")</f>
        <v/>
      </c>
      <c r="L54" s="13">
        <f>IF(R54="",0,R54)+IF(U54="",0,U54)+IF(W54="",0,W54)+IF(V54="",0,V54)+IF(T54="",0,T54)</f>
        <v/>
      </c>
      <c r="M54" s="13" t="n">
        <v>0</v>
      </c>
      <c r="N54" s="13" t="n">
        <v>0</v>
      </c>
      <c r="O54" s="12">
        <f>IF(AJ54&lt;=10,(1-Info!$C$25)*IF(OR(Info!$F$8&gt;0,Info!$F$10&gt;0),IF(0.75*$X$4&lt;=0.03*$AD$4,0.75*(X54-X53),0.03*(AD54-AD53)),0),"")</f>
        <v/>
      </c>
      <c r="P54" s="13">
        <f>IF(AJ54&lt;=5,IF(AI54&lt;&gt;"",0.002*AD54,"")*(1-Info!$I$25),0)</f>
        <v/>
      </c>
      <c r="Q54" s="13">
        <f>(1-Info!$F$25)*IF(AI54&lt;&gt;"",IF(Info!$C$16="بله",0.07*X54,0.07*AG54),"")</f>
        <v/>
      </c>
      <c r="R54" s="13">
        <f>IF(X54&lt;&gt;0,S54*X54,0)*(1-Info!$F$29)</f>
        <v/>
      </c>
      <c r="S54" s="106">
        <f>IF(Info!$I$14="خیر",0,IF(Info!$F$14="بله",IF(Info!$C$14=1,2.3,IF(Info!$C$14=2,3.3,4.3)),1))*IF(AND(AH54&lt;=Rates!$Y$8,AH54&gt;0),(1+Info!$C$18)*(1+LOOKUP(Info!$F$18,Rates!$O$2:$O$9,Rates!$L$2:$L$9)/100)*(LOOKUP(Info!$C$6,Rates!$T$2:$T$108,Rates!$R$2:$R$108)/100),0)</f>
        <v/>
      </c>
      <c r="T54" s="13">
        <f>IF(AI54&lt;71,(1-Info!$F$27)*((AB54*0.0008*(1+(LOOKUP(Info!$I$18,Rates!$O$2:$O$9,Rates!$M$2:$M$9)/100)))),0)</f>
        <v/>
      </c>
      <c r="U54" s="13">
        <f>IF(AI54&lt;71,(1-Info!$I$27)*(((AD54*0.0008*Info!$L$14))*(1+(LOOKUP(Info!$I$18,Rates!$O:$O,Rates!$N:$N)/100))),0)</f>
        <v/>
      </c>
      <c r="V54" s="13">
        <f>((Z54*0.0008))*(1+(LOOKUP(Info!$I$18,Rates!$O$2:$O$9,Rates!$M$2:$M$9)/100))*(1-Info!$C$27)</f>
        <v/>
      </c>
      <c r="W54" s="13">
        <f>IF(AND(AI54&lt;=Rates!$Y$2,AJ54&lt;=Info!$I$6,Info!$F$16="معمولی"),VLOOKUP(AI54,Rates!$T$1:$X$108,5,0),IF(AND(AI54&lt;=Rates!$Y$2,AJ54&lt;=Info!$I$6,Info!$F$16="پایه"),VLOOKUP(AI54,Rates!$T$1:$X$108,2,0),IF(AND(AI54&lt;=Rates!$Y$2,AJ54&lt;=Info!$I$6,Info!$F$16="آسایش "),VLOOKUP(AI54,Rates!$T$1:$X$108,3,0),IF(AND(AI54&lt;=Rates!$Y$2,AJ54&lt;=Info!$I$6,Info!$F$16="ممتاز"),VLOOKUP(AI54,Rates!$T$1:$X$108,4,0),0))))*AA54/1000000*(1+Info!$C$18)*(1-Info!$I$29)</f>
        <v/>
      </c>
      <c r="X54" s="113">
        <f>IF(Info!$C$16="بله",(AG54-W54-U54-V54-T54)/(1+S54),AG54)</f>
        <v/>
      </c>
      <c r="Y54" s="106">
        <f>IF(AI54&lt;&gt;0,(AD54*LOOKUP(AI54,Rates!$T$2:$T$108,Rates!$S$2:$S$108))/SQRT(1.1),0)</f>
        <v/>
      </c>
      <c r="Z54" s="106">
        <f>IF(AND(AI54&lt;=Rates!$Y$10,AI54&gt;=0),Info!$C$12*(AC54-AD54),0)</f>
        <v/>
      </c>
      <c r="AA54" s="13">
        <f>IF(AND(AI54&gt;=0,AI54&lt;=Rates!$Y$2,AG54&gt;0),MIN(AA53*(1+Info!$F$10),5000000000),0)</f>
        <v/>
      </c>
      <c r="AB54" s="106">
        <f>IF(AND(AI54&gt;=0,AI54&lt;=65),AD54*Info!$L$16,0)</f>
        <v/>
      </c>
      <c r="AC54" s="13">
        <f>IF(AND(AI54&gt;=0,AI54&lt;=Rates!$Y$3),AD54*(1+Info!$L$14),AD54)</f>
        <v/>
      </c>
      <c r="AD54" s="106">
        <f>IF(AI54&lt;&gt;0,AD53*(1+Info!$F$10),0)</f>
        <v/>
      </c>
      <c r="AE54" s="105">
        <f>IF(AI54&lt;&gt;0,AF54+AE53,0)</f>
        <v/>
      </c>
      <c r="AF54" s="13">
        <f>IF(AI54&gt;=0,IF(Info!$C$16="بله",AG54,AG54+L54),"")</f>
        <v/>
      </c>
      <c r="AG54" s="107">
        <f>IF(AI54&lt;&gt;0,AG53*(1+Info!$F$8),0)</f>
        <v/>
      </c>
      <c r="AH54" s="111">
        <f>IF(AJ54&lt;&gt;"",Info!$C$6+AJ54-1,0)</f>
        <v/>
      </c>
      <c r="AI54" s="17">
        <f>IF(AJ54&lt;&gt;"",IF(Info!$F$6+AJ54-1&lt;=Rates!$Y$11,Info!$F$6+AJ54-1,0),0)</f>
        <v/>
      </c>
      <c r="AJ54" s="18">
        <f>IF(AI53&lt;&gt;"",IF(AND(AJ53&lt;&gt;"",AI53+1&lt;=Rates!$Y$11),IF(AJ53&lt;&gt;0,IF(AJ53+1&lt;=Info!$I$6,AJ53+1,""),0),""),"")</f>
        <v/>
      </c>
    </row>
    <row r="55" ht="14.25" customFormat="1" customHeight="1" s="164">
      <c r="A55" s="11">
        <f>IF(B55&gt;0,IF(Info!$C$16="بله",AG55/B55,(AG55+L55)/B55),0)</f>
        <v/>
      </c>
      <c r="B55" s="11">
        <f>IF(AND(AI55&gt;=0,AJ55&lt;=Info!$I$6),LOOKUP(Info!$C$8,Rates!$I$2:$I$7,Rates!$F$2:$F$7),0)</f>
        <v/>
      </c>
      <c r="C55" s="12">
        <f>IF(AND(AI55&gt;=0,AJ55&lt;=Info!$I$6),F55+F55*(IF(AJ55&lt;3,VLOOKUP(Info!$C$10,Rates!$A$15:$B$19,2,FALSE),IF(AJ55&lt;5,VLOOKUP(Info!$C$10,Rates!$A$15:$C$19,3,FALSE),VLOOKUP(Info!$C$10,Rates!$A$15:$D$19,4,FALSE)))+(Info!$I$22-IF(AJ55&gt;4,LOOKUP(Info!$C$10,Rates!$D$2:$D$7,Rates!$A$2:$A$7),LOOKUP(Info!$C$10,Rates!$D$2:$D$7,Rates!$C$2:$C$7))))*LOOKUP(Info!$C$8,Rates!$I$2:$I$7,Rates!$G$2:$G$7)+C54*(1+IF(AJ55&lt;3,VLOOKUP(Info!$C$10,Rates!$A$15:$B$19,2,FALSE),IF(AJ55&lt;5,VLOOKUP(Info!$C$10,Rates!$A$15:$C$19,3,FALSE),VLOOKUP(Info!$C$10,Rates!$A$15:$D$19,4,FALSE)))+(Info!$I$22-IF(AJ55&lt;3,VLOOKUP(Info!$C$10,Rates!$A$15:$B$19,2,FALSE),IF(AJ55&lt;5,VLOOKUP(Info!$C$10,Rates!$A$15:$C$19,3,FALSE),VLOOKUP(Info!$C$10,Rates!$A$15:$D$19,4,FALSE))))),0)</f>
        <v/>
      </c>
      <c r="D55" s="12">
        <f>IF(AI55&lt;&gt;"",E55,"")</f>
        <v/>
      </c>
      <c r="E55" s="12">
        <f>IF(AI55&lt;&gt;0,F55*(1+IF(AJ55&lt;3,VLOOKUP(Info!$C$10,Rates!$A$14:$B$19,2,FALSE),IF(AJ55&lt;5,VLOOKUP(Info!$C$10,Rates!$A$14:$C$19,3,FALSE),VLOOKUP(Info!$C$10,Rates!$A$14:$D$19,4,FALSE)))*LOOKUP(Info!$C$8,Rates!$I$2:$I$8,Rates!$G$2:$G$8))+E54*(1+IF(AJ55&lt;3,VLOOKUP(Info!$C$10,Rates!$A$14:$B$19,2,FALSE),IF(AJ55&lt;5,VLOOKUP(Info!$C$10,Rates!$A$14:$C$19,3,FALSE),VLOOKUP(Info!$C$10,Rates!$A$14:$D$19,4,FALSE)))),0)</f>
        <v/>
      </c>
      <c r="F55" s="12">
        <f>IF(AI55&lt;&gt;"",IF(Info!$C$16="بله",IF(AND(AJ55&lt;=Info!$F$20,AJ55&gt;=Info!$I$20),Info!$C$20,0)+(AG55-Y55-L55-K55-J55-I55-H55-G55),IF(AND(AJ55&lt;=Info!$F$20,AJ55&gt;=Info!$I$20),Info!$C$20,0)+(AG55-Y55-K55-J55-I55-H55-G55)),"")</f>
        <v/>
      </c>
      <c r="G55" s="107">
        <f>IF(AI55&lt;&gt;"",Rates!$AA$11*(L55),"")</f>
        <v/>
      </c>
      <c r="H55" s="107">
        <f>IF(AI55&lt;&gt;"",(Rates!$AC$11+Rates!$AB$11)*(L55),"")</f>
        <v/>
      </c>
      <c r="I55" s="12">
        <f>IF(AI55&lt;&gt;"",LOOKUP(Info!$C$8,Rates!$I$2:$I$7,Rates!$H$2:$H$7)*(J55+K55+L55+Y55),"")</f>
        <v/>
      </c>
      <c r="J55" s="12">
        <f>IF(N55="",0,N55)+IF(P55="",0,P55)+IF(Q55="",0,Q55)</f>
        <v/>
      </c>
      <c r="K55" s="12">
        <f>IF(Y55&lt;&gt;"",Info!$C$18*Y55,"")</f>
        <v/>
      </c>
      <c r="L55" s="12">
        <f>IF(R55="",0,R55)+IF(U55="",0,U55)+IF(W55="",0,W55)+IF(V55="",0,V55)+IF(T55="",0,T55)</f>
        <v/>
      </c>
      <c r="M55" s="12" t="n">
        <v>0</v>
      </c>
      <c r="N55" s="12" t="n">
        <v>0</v>
      </c>
      <c r="O55" s="12">
        <f>IF(AJ55&lt;=10,(1-Info!$C$25)*IF(OR(Info!$F$8&gt;0,Info!$F$10&gt;0),IF(0.75*$X$4&lt;=0.03*$AD$4,0.75*(X55-X54),0.03*(AD55-AD54)),0),"")</f>
        <v/>
      </c>
      <c r="P55" s="12">
        <f>IF(AJ55&lt;=5,IF(AI55&lt;&gt;"",0.002*AD55,"")*(1-Info!$I$25),0)</f>
        <v/>
      </c>
      <c r="Q55" s="12">
        <f>(1-Info!$F$25)*IF(AI55&lt;&gt;"",IF(Info!$C$16="بله",0.07*X55,0.07*AG55),"")</f>
        <v/>
      </c>
      <c r="R55" s="12">
        <f>IF(X55&lt;&gt;0,S55*X55,0)*(1-Info!$F$29)</f>
        <v/>
      </c>
      <c r="S55" s="107">
        <f>IF(Info!$I$14="خیر",0,IF(Info!$F$14="بله",IF(Info!$C$14=1,2.3,IF(Info!$C$14=2,3.3,4.3)),1))*IF(AND(AH55&lt;=Rates!$Y$8,AH55&gt;0),(1+Info!$C$18)*(1+LOOKUP(Info!$F$18,Rates!$O$2:$O$9,Rates!$L$2:$L$9)/100)*(LOOKUP(Info!$C$6,Rates!$T$2:$T$108,Rates!$R$2:$R$108)/100),0)</f>
        <v/>
      </c>
      <c r="T55" s="12">
        <f>IF(AI55&lt;71,(1-Info!$F$27)*((AB55*0.0008*(1+(LOOKUP(Info!$I$18,Rates!$O$2:$O$9,Rates!$M$2:$M$9)/100)))),0)</f>
        <v/>
      </c>
      <c r="U55" s="12">
        <f>IF(AI55&lt;71,(1-Info!$I$27)*(((AD55*0.0008*Info!$L$14))*(1+(LOOKUP(Info!$I$18,Rates!$O:$O,Rates!$N:$N)/100))),0)</f>
        <v/>
      </c>
      <c r="V55" s="12">
        <f>((Z55*0.0008))*(1+(LOOKUP(Info!$I$18,Rates!$O$2:$O$9,Rates!$M$2:$M$9)/100))*(1-Info!$C$27)</f>
        <v/>
      </c>
      <c r="W55" s="12">
        <f>IF(AND(AI55&lt;=Rates!$Y$2,AJ55&lt;=Info!$I$6,Info!$F$16="معمولی"),VLOOKUP(AI55,Rates!$T$1:$X$108,5,0),IF(AND(AI55&lt;=Rates!$Y$2,AJ55&lt;=Info!$I$6,Info!$F$16="پایه"),VLOOKUP(AI55,Rates!$T$1:$X$108,2,0),IF(AND(AI55&lt;=Rates!$Y$2,AJ55&lt;=Info!$I$6,Info!$F$16="آسایش "),VLOOKUP(AI55,Rates!$T$1:$X$108,3,0),IF(AND(AI55&lt;=Rates!$Y$2,AJ55&lt;=Info!$I$6,Info!$F$16="ممتاز"),VLOOKUP(AI55,Rates!$T$1:$X$108,4,0),0))))*AA55/1000000*(1+Info!$C$18)*(1-Info!$I$29)</f>
        <v/>
      </c>
      <c r="X55" s="12">
        <f>IF(Info!$C$16="بله",(AG55-W55-U55-V55-T55)/(1+S55),AG55)</f>
        <v/>
      </c>
      <c r="Y55" s="107">
        <f>IF(AI55&lt;&gt;0,(AD55*LOOKUP(AI55,Rates!$T$2:$T$108,Rates!$S$2:$S$108))/SQRT(1.1),0)</f>
        <v/>
      </c>
      <c r="Z55" s="107">
        <f>IF(AND(AI55&lt;=Rates!$Y$10,AI55&gt;=0),Info!$C$12*(AC55-AD55),0)</f>
        <v/>
      </c>
      <c r="AA55" s="12">
        <f>IF(AND(AI55&gt;=0,AI55&lt;=Rates!$Y$2,AG55&gt;0),MIN(AA54*(1+Info!$F$10),5000000000),0)</f>
        <v/>
      </c>
      <c r="AB55" s="107">
        <f>IF(AND(AI55&gt;=0,AI55&lt;=65),AD55*Info!$L$16,0)</f>
        <v/>
      </c>
      <c r="AC55" s="12">
        <f>IF(AND(AI55&gt;=0,AI55&lt;=Rates!$Y$3),AD55*(1+Info!$L$14),AD55)</f>
        <v/>
      </c>
      <c r="AD55" s="107">
        <f>IF(AI55&lt;&gt;0,AD54*(1+Info!$F$10),0)</f>
        <v/>
      </c>
      <c r="AE55" s="104">
        <f>IF(AI55&lt;&gt;0,AF55+AE54,0)</f>
        <v/>
      </c>
      <c r="AF55" s="12">
        <f>IF(AI55&gt;=0,IF(Info!$C$16="بله",AG55,AG55+L55),"")</f>
        <v/>
      </c>
      <c r="AG55" s="107">
        <f>IF(AI55&lt;&gt;0,AG54*(1+Info!$F$8),0)</f>
        <v/>
      </c>
      <c r="AH55" s="110">
        <f>IF(AJ55&lt;&gt;"",Info!$C$6+AJ55-1,0)</f>
        <v/>
      </c>
      <c r="AI55" s="14">
        <f>IF(AJ55&lt;&gt;"",IF(Info!$F$6+AJ55-1&lt;=Rates!$Y$11,Info!$F$6+AJ55-1,0),0)</f>
        <v/>
      </c>
      <c r="AJ55" s="15">
        <f>IF(AI54&lt;&gt;"",IF(AND(AJ54&lt;&gt;"",AI54+1&lt;=Rates!$Y$11),IF(AJ54&lt;&gt;0,IF(AJ54+1&lt;=Info!$I$6,AJ54+1,""),0),""),"")</f>
        <v/>
      </c>
    </row>
    <row r="56" ht="14.25" customFormat="1" customHeight="1" s="164">
      <c r="A56" s="16">
        <f>IF(B56&gt;0,IF(Info!$C$16="بله",AG56/B56,(AG56+L56)/B56),0)</f>
        <v/>
      </c>
      <c r="B56" s="16">
        <f>IF(AND(AI56&gt;=0,AJ56&lt;=Info!$I$6),LOOKUP(Info!$C$8,Rates!$I$2:$I$7,Rates!$F$2:$F$7),0)</f>
        <v/>
      </c>
      <c r="C56" s="13">
        <f>IF(AND(AI56&gt;=0,AJ56&lt;=Info!$I$6),F56+F56*(IF(AJ56&lt;3,VLOOKUP(Info!$C$10,Rates!$A$15:$B$19,2,FALSE),IF(AJ56&lt;5,VLOOKUP(Info!$C$10,Rates!$A$15:$C$19,3,FALSE),VLOOKUP(Info!$C$10,Rates!$A$15:$D$19,4,FALSE)))+(Info!$I$22-IF(AJ56&gt;4,LOOKUP(Info!$C$10,Rates!$D$2:$D$7,Rates!$A$2:$A$7),LOOKUP(Info!$C$10,Rates!$D$2:$D$7,Rates!$C$2:$C$7))))*LOOKUP(Info!$C$8,Rates!$I$2:$I$7,Rates!$G$2:$G$7)+C55*(1+IF(AJ56&lt;3,VLOOKUP(Info!$C$10,Rates!$A$15:$B$19,2,FALSE),IF(AJ56&lt;5,VLOOKUP(Info!$C$10,Rates!$A$15:$C$19,3,FALSE),VLOOKUP(Info!$C$10,Rates!$A$15:$D$19,4,FALSE)))+(Info!$I$22-IF(AJ56&lt;3,VLOOKUP(Info!$C$10,Rates!$A$15:$B$19,2,FALSE),IF(AJ56&lt;5,VLOOKUP(Info!$C$10,Rates!$A$15:$C$19,3,FALSE),VLOOKUP(Info!$C$10,Rates!$A$15:$D$19,4,FALSE))))),0)</f>
        <v/>
      </c>
      <c r="D56" s="13">
        <f>IF(AI56&lt;&gt;"",E56,"")</f>
        <v/>
      </c>
      <c r="E56" s="12">
        <f>IF(AI56&lt;&gt;0,F56*(1+IF(AJ56&lt;3,VLOOKUP(Info!$C$10,Rates!$A$14:$B$19,2,FALSE),IF(AJ56&lt;5,VLOOKUP(Info!$C$10,Rates!$A$14:$C$19,3,FALSE),VLOOKUP(Info!$C$10,Rates!$A$14:$D$19,4,FALSE)))*LOOKUP(Info!$C$8,Rates!$I$2:$I$8,Rates!$G$2:$G$8))+E55*(1+IF(AJ56&lt;3,VLOOKUP(Info!$C$10,Rates!$A$14:$B$19,2,FALSE),IF(AJ56&lt;5,VLOOKUP(Info!$C$10,Rates!$A$14:$C$19,3,FALSE),VLOOKUP(Info!$C$10,Rates!$A$14:$D$19,4,FALSE)))),0)</f>
        <v/>
      </c>
      <c r="F56" s="13">
        <f>IF(AI56&lt;&gt;"",IF(Info!$C$16="بله",IF(AND(AJ56&lt;=Info!$F$20,AJ56&gt;=Info!$I$20),Info!$C$20,0)+(AG56-Y56-L56-K56-J56-I56-H56-G56),IF(AND(AJ56&lt;=Info!$F$20,AJ56&gt;=Info!$I$20),Info!$C$20,0)+(AG56-Y56-K56-J56-I56-H56-G56)),"")</f>
        <v/>
      </c>
      <c r="G56" s="106">
        <f>IF(AI56&lt;&gt;"",Rates!$AA$11*(L56),"")</f>
        <v/>
      </c>
      <c r="H56" s="106">
        <f>IF(AI56&lt;&gt;"",(Rates!$AC$11+Rates!$AB$11)*(L56),"")</f>
        <v/>
      </c>
      <c r="I56" s="13">
        <f>IF(AI56&lt;&gt;"",LOOKUP(Info!$C$8,Rates!$I$2:$I$7,Rates!$H$2:$H$7)*(J56+K56+L56+Y56),"")</f>
        <v/>
      </c>
      <c r="J56" s="13">
        <f>IF(N56="",0,N56)+IF(P56="",0,P56)+IF(Q56="",0,Q56)</f>
        <v/>
      </c>
      <c r="K56" s="13">
        <f>IF(Y56&lt;&gt;"",Info!$C$18*Y56,"")</f>
        <v/>
      </c>
      <c r="L56" s="13">
        <f>IF(R56="",0,R56)+IF(U56="",0,U56)+IF(W56="",0,W56)+IF(V56="",0,V56)+IF(T56="",0,T56)</f>
        <v/>
      </c>
      <c r="M56" s="13" t="n">
        <v>0</v>
      </c>
      <c r="N56" s="13" t="n">
        <v>0</v>
      </c>
      <c r="O56" s="12">
        <f>IF(AJ56&lt;=10,(1-Info!$C$25)*IF(OR(Info!$F$8&gt;0,Info!$F$10&gt;0),IF(0.75*$X$4&lt;=0.03*$AD$4,0.75*(X56-X55),0.03*(AD56-AD55)),0),"")</f>
        <v/>
      </c>
      <c r="P56" s="13">
        <f>IF(AJ56&lt;=5,IF(AI56&lt;&gt;"",0.002*AD56,"")*(1-Info!$I$25),0)</f>
        <v/>
      </c>
      <c r="Q56" s="13">
        <f>(1-Info!$F$25)*IF(AI56&lt;&gt;"",IF(Info!$C$16="بله",0.07*X56,0.07*AG56),"")</f>
        <v/>
      </c>
      <c r="R56" s="13">
        <f>IF(X56&lt;&gt;0,S56*X56,0)*(1-Info!$F$29)</f>
        <v/>
      </c>
      <c r="S56" s="106">
        <f>IF(Info!$I$14="خیر",0,IF(Info!$F$14="بله",IF(Info!$C$14=1,2.3,IF(Info!$C$14=2,3.3,4.3)),1))*IF(AND(AH56&lt;=Rates!$Y$8,AH56&gt;0),(1+Info!$C$18)*(1+LOOKUP(Info!$F$18,Rates!$O$2:$O$9,Rates!$L$2:$L$9)/100)*(LOOKUP(Info!$C$6,Rates!$T$2:$T$108,Rates!$R$2:$R$108)/100),0)</f>
        <v/>
      </c>
      <c r="T56" s="13">
        <f>IF(AI56&lt;71,(1-Info!$F$27)*((AB56*0.0008*(1+(LOOKUP(Info!$I$18,Rates!$O$2:$O$9,Rates!$M$2:$M$9)/100)))),0)</f>
        <v/>
      </c>
      <c r="U56" s="13">
        <f>IF(AI56&lt;71,(1-Info!$I$27)*(((AD56*0.0008*Info!$L$14))*(1+(LOOKUP(Info!$I$18,Rates!$O:$O,Rates!$N:$N)/100))),0)</f>
        <v/>
      </c>
      <c r="V56" s="13">
        <f>((Z56*0.0008))*(1+(LOOKUP(Info!$I$18,Rates!$O$2:$O$9,Rates!$M$2:$M$9)/100))*(1-Info!$C$27)</f>
        <v/>
      </c>
      <c r="W56" s="13">
        <f>IF(AND(AI56&lt;=Rates!$Y$2,AJ56&lt;=Info!$I$6,Info!$F$16="معمولی"),VLOOKUP(AI56,Rates!$T$1:$X$108,5,0),IF(AND(AI56&lt;=Rates!$Y$2,AJ56&lt;=Info!$I$6,Info!$F$16="پایه"),VLOOKUP(AI56,Rates!$T$1:$X$108,2,0),IF(AND(AI56&lt;=Rates!$Y$2,AJ56&lt;=Info!$I$6,Info!$F$16="آسایش "),VLOOKUP(AI56,Rates!$T$1:$X$108,3,0),IF(AND(AI56&lt;=Rates!$Y$2,AJ56&lt;=Info!$I$6,Info!$F$16="ممتاز"),VLOOKUP(AI56,Rates!$T$1:$X$108,4,0),0))))*AA56/1000000*(1+Info!$C$18)*(1-Info!$I$29)</f>
        <v/>
      </c>
      <c r="X56" s="113">
        <f>IF(Info!$C$16="بله",(AG56-W56-U56-V56-T56)/(1+S56),AG56)</f>
        <v/>
      </c>
      <c r="Y56" s="106">
        <f>IF(AI56&lt;&gt;0,(AD56*LOOKUP(AI56,Rates!$T$2:$T$108,Rates!$S$2:$S$108))/SQRT(1.1),0)</f>
        <v/>
      </c>
      <c r="Z56" s="106">
        <f>IF(AND(AI56&lt;=Rates!$Y$10,AI56&gt;=0),Info!$C$12*(AC56-AD56),0)</f>
        <v/>
      </c>
      <c r="AA56" s="13">
        <f>IF(AND(AI56&gt;=0,AI56&lt;=Rates!$Y$2,AG56&gt;0),MIN(AA55*(1+Info!$F$10),5000000000),0)</f>
        <v/>
      </c>
      <c r="AB56" s="106">
        <f>IF(AND(AI56&gt;=0,AI56&lt;=65),AD56*Info!$L$16,0)</f>
        <v/>
      </c>
      <c r="AC56" s="13">
        <f>IF(AND(AI56&gt;=0,AI56&lt;=Rates!$Y$3),AD56*(1+Info!$L$14),AD56)</f>
        <v/>
      </c>
      <c r="AD56" s="106">
        <f>IF(AI56&lt;&gt;0,AD55*(1+Info!$F$10),0)</f>
        <v/>
      </c>
      <c r="AE56" s="105">
        <f>IF(AI56&lt;&gt;0,AF56+AE55,0)</f>
        <v/>
      </c>
      <c r="AF56" s="13">
        <f>IF(AI56&gt;=0,IF(Info!$C$16="بله",AG56,AG56+L56),"")</f>
        <v/>
      </c>
      <c r="AG56" s="107">
        <f>IF(AI56&lt;&gt;0,AG55*(1+Info!$F$8),0)</f>
        <v/>
      </c>
      <c r="AH56" s="111">
        <f>IF(AJ56&lt;&gt;"",Info!$C$6+AJ56-1,0)</f>
        <v/>
      </c>
      <c r="AI56" s="17">
        <f>IF(AJ56&lt;&gt;"",IF(Info!$F$6+AJ56-1&lt;=Rates!$Y$11,Info!$F$6+AJ56-1,0),0)</f>
        <v/>
      </c>
      <c r="AJ56" s="18">
        <f>IF(AI55&lt;&gt;"",IF(AND(AJ55&lt;&gt;"",AI55+1&lt;=Rates!$Y$11),IF(AJ55&lt;&gt;0,IF(AJ55+1&lt;=Info!$I$6,AJ55+1,""),0),""),"")</f>
        <v/>
      </c>
    </row>
    <row r="57" ht="14.25" customFormat="1" customHeight="1" s="164">
      <c r="A57" s="11">
        <f>IF(B57&gt;0,IF(Info!$C$16="بله",AG57/B57,(AG57+L57)/B57),0)</f>
        <v/>
      </c>
      <c r="B57" s="11">
        <f>IF(AND(AI57&gt;=0,AJ57&lt;=Info!$I$6),LOOKUP(Info!$C$8,Rates!$I$2:$I$7,Rates!$F$2:$F$7),0)</f>
        <v/>
      </c>
      <c r="C57" s="12">
        <f>IF(AND(AI57&gt;=0,AJ57&lt;=Info!$I$6),F57+F57*(IF(AJ57&lt;3,VLOOKUP(Info!$C$10,Rates!$A$15:$B$19,2,FALSE),IF(AJ57&lt;5,VLOOKUP(Info!$C$10,Rates!$A$15:$C$19,3,FALSE),VLOOKUP(Info!$C$10,Rates!$A$15:$D$19,4,FALSE)))+(Info!$I$22-IF(AJ57&gt;4,LOOKUP(Info!$C$10,Rates!$D$2:$D$7,Rates!$A$2:$A$7),LOOKUP(Info!$C$10,Rates!$D$2:$D$7,Rates!$C$2:$C$7))))*LOOKUP(Info!$C$8,Rates!$I$2:$I$7,Rates!$G$2:$G$7)+C56*(1+IF(AJ57&lt;3,VLOOKUP(Info!$C$10,Rates!$A$15:$B$19,2,FALSE),IF(AJ57&lt;5,VLOOKUP(Info!$C$10,Rates!$A$15:$C$19,3,FALSE),VLOOKUP(Info!$C$10,Rates!$A$15:$D$19,4,FALSE)))+(Info!$I$22-IF(AJ57&lt;3,VLOOKUP(Info!$C$10,Rates!$A$15:$B$19,2,FALSE),IF(AJ57&lt;5,VLOOKUP(Info!$C$10,Rates!$A$15:$C$19,3,FALSE),VLOOKUP(Info!$C$10,Rates!$A$15:$D$19,4,FALSE))))),0)</f>
        <v/>
      </c>
      <c r="D57" s="12">
        <f>IF(AI57&lt;&gt;"",E57,"")</f>
        <v/>
      </c>
      <c r="E57" s="12">
        <f>IF(AI57&lt;&gt;0,F57*(1+IF(AJ57&lt;3,VLOOKUP(Info!$C$10,Rates!$A$14:$B$19,2,FALSE),IF(AJ57&lt;5,VLOOKUP(Info!$C$10,Rates!$A$14:$C$19,3,FALSE),VLOOKUP(Info!$C$10,Rates!$A$14:$D$19,4,FALSE)))*LOOKUP(Info!$C$8,Rates!$I$2:$I$8,Rates!$G$2:$G$8))+E56*(1+IF(AJ57&lt;3,VLOOKUP(Info!$C$10,Rates!$A$14:$B$19,2,FALSE),IF(AJ57&lt;5,VLOOKUP(Info!$C$10,Rates!$A$14:$C$19,3,FALSE),VLOOKUP(Info!$C$10,Rates!$A$14:$D$19,4,FALSE)))),0)</f>
        <v/>
      </c>
      <c r="F57" s="12">
        <f>IF(AI57&lt;&gt;"",IF(Info!$C$16="بله",IF(AND(AJ57&lt;=Info!$F$20,AJ57&gt;=Info!$I$20),Info!$C$20,0)+(AG57-Y57-L57-K57-J57-I57-H57-G57),IF(AND(AJ57&lt;=Info!$F$20,AJ57&gt;=Info!$I$20),Info!$C$20,0)+(AG57-Y57-K57-J57-I57-H57-G57)),"")</f>
        <v/>
      </c>
      <c r="G57" s="107">
        <f>IF(AI57&lt;&gt;"",Rates!$AA$11*(L57),"")</f>
        <v/>
      </c>
      <c r="H57" s="107">
        <f>IF(AI57&lt;&gt;"",(Rates!$AC$11+Rates!$AB$11)*(L57),"")</f>
        <v/>
      </c>
      <c r="I57" s="12">
        <f>IF(AI57&lt;&gt;"",LOOKUP(Info!$C$8,Rates!$I$2:$I$7,Rates!$H$2:$H$7)*(J57+K57+L57+Y57),"")</f>
        <v/>
      </c>
      <c r="J57" s="12">
        <f>IF(N57="",0,N57)+IF(P57="",0,P57)+IF(Q57="",0,Q57)</f>
        <v/>
      </c>
      <c r="K57" s="12">
        <f>IF(Y57&lt;&gt;"",Info!$C$18*Y57,"")</f>
        <v/>
      </c>
      <c r="L57" s="12">
        <f>IF(R57="",0,R57)+IF(U57="",0,U57)+IF(W57="",0,W57)+IF(V57="",0,V57)+IF(T57="",0,T57)</f>
        <v/>
      </c>
      <c r="M57" s="12" t="n">
        <v>0</v>
      </c>
      <c r="N57" s="12" t="n">
        <v>0</v>
      </c>
      <c r="O57" s="12">
        <f>IF(AJ57&lt;=10,(1-Info!$C$25)*IF(OR(Info!$F$8&gt;0,Info!$F$10&gt;0),IF(0.75*$X$4&lt;=0.03*$AD$4,0.75*(X57-X56),0.03*(AD57-AD56)),0),"")</f>
        <v/>
      </c>
      <c r="P57" s="12">
        <f>IF(AJ57&lt;=5,IF(AI57&lt;&gt;"",0.002*AD57,"")*(1-Info!$I$25),0)</f>
        <v/>
      </c>
      <c r="Q57" s="12">
        <f>(1-Info!$F$25)*IF(AI57&lt;&gt;"",IF(Info!$C$16="بله",0.07*X57,0.07*AG57),"")</f>
        <v/>
      </c>
      <c r="R57" s="12">
        <f>IF(X57&lt;&gt;0,S57*X57,0)*(1-Info!$F$29)</f>
        <v/>
      </c>
      <c r="S57" s="107">
        <f>IF(Info!$I$14="خیر",0,IF(Info!$F$14="بله",IF(Info!$C$14=1,2.3,IF(Info!$C$14=2,3.3,4.3)),1))*IF(AND(AH57&lt;=Rates!$Y$8,AH57&gt;0),(1+Info!$C$18)*(1+LOOKUP(Info!$F$18,Rates!$O$2:$O$9,Rates!$L$2:$L$9)/100)*(LOOKUP(Info!$C$6,Rates!$T$2:$T$108,Rates!$R$2:$R$108)/100),0)</f>
        <v/>
      </c>
      <c r="T57" s="12">
        <f>IF(AI57&lt;71,(1-Info!$F$27)*((AB57*0.0008*(1+(LOOKUP(Info!$I$18,Rates!$O$2:$O$9,Rates!$M$2:$M$9)/100)))),0)</f>
        <v/>
      </c>
      <c r="U57" s="12">
        <f>IF(AI57&lt;71,(1-Info!$I$27)*(((AD57*0.0008*Info!$L$14))*(1+(LOOKUP(Info!$I$18,Rates!$O:$O,Rates!$N:$N)/100))),0)</f>
        <v/>
      </c>
      <c r="V57" s="12">
        <f>((Z57*0.0008))*(1+(LOOKUP(Info!$I$18,Rates!$O$2:$O$9,Rates!$M$2:$M$9)/100))*(1-Info!$C$27)</f>
        <v/>
      </c>
      <c r="W57" s="12">
        <f>IF(AND(AI57&lt;=Rates!$Y$2,AJ57&lt;=Info!$I$6,Info!$F$16="معمولی"),VLOOKUP(AI57,Rates!$T$1:$X$108,5,0),IF(AND(AI57&lt;=Rates!$Y$2,AJ57&lt;=Info!$I$6,Info!$F$16="پایه"),VLOOKUP(AI57,Rates!$T$1:$X$108,2,0),IF(AND(AI57&lt;=Rates!$Y$2,AJ57&lt;=Info!$I$6,Info!$F$16="آسایش "),VLOOKUP(AI57,Rates!$T$1:$X$108,3,0),IF(AND(AI57&lt;=Rates!$Y$2,AJ57&lt;=Info!$I$6,Info!$F$16="ممتاز"),VLOOKUP(AI57,Rates!$T$1:$X$108,4,0),0))))*AA57/1000000*(1+Info!$C$18)*(1-Info!$I$29)</f>
        <v/>
      </c>
      <c r="X57" s="12">
        <f>IF(Info!$C$16="بله",(AG57-W57-U57-V57-T57)/(1+S57),AG57)</f>
        <v/>
      </c>
      <c r="Y57" s="107">
        <f>IF(AI57&lt;&gt;0,(AD57*LOOKUP(AI57,Rates!$T$2:$T$108,Rates!$S$2:$S$108))/SQRT(1.1),0)</f>
        <v/>
      </c>
      <c r="Z57" s="107">
        <f>IF(AND(AI57&lt;=Rates!$Y$10,AI57&gt;=0),Info!$C$12*(AC57-AD57),0)</f>
        <v/>
      </c>
      <c r="AA57" s="12">
        <f>IF(AND(AI57&gt;=0,AI57&lt;=Rates!$Y$2,AG57&gt;0),MIN(AA56*(1+Info!$F$10),5000000000),0)</f>
        <v/>
      </c>
      <c r="AB57" s="107">
        <f>IF(AND(AI57&gt;=0,AI57&lt;=65),AD57*Info!$L$16,0)</f>
        <v/>
      </c>
      <c r="AC57" s="12">
        <f>IF(AND(AI57&gt;=0,AI57&lt;=Rates!$Y$3),AD57*(1+Info!$L$14),AD57)</f>
        <v/>
      </c>
      <c r="AD57" s="107">
        <f>IF(AI57&lt;&gt;0,AD56*(1+Info!$F$10),0)</f>
        <v/>
      </c>
      <c r="AE57" s="104">
        <f>IF(AI57&lt;&gt;0,AF57+AE56,0)</f>
        <v/>
      </c>
      <c r="AF57" s="12">
        <f>IF(AI57&gt;=0,IF(Info!$C$16="بله",AG57,AG57+L57),"")</f>
        <v/>
      </c>
      <c r="AG57" s="107">
        <f>IF(AI57&lt;&gt;0,AG56*(1+Info!$F$8),0)</f>
        <v/>
      </c>
      <c r="AH57" s="110">
        <f>IF(AJ57&lt;&gt;"",Info!$C$6+AJ57-1,0)</f>
        <v/>
      </c>
      <c r="AI57" s="14">
        <f>IF(AJ57&lt;&gt;"",IF(Info!$F$6+AJ57-1&lt;=Rates!$Y$11,Info!$F$6+AJ57-1,0),0)</f>
        <v/>
      </c>
      <c r="AJ57" s="15">
        <f>IF(AI56&lt;&gt;"",IF(AND(AJ56&lt;&gt;"",AI56+1&lt;=Rates!$Y$11),IF(AJ56&lt;&gt;0,IF(AJ56+1&lt;=Info!$I$6,AJ56+1,""),0),""),"")</f>
        <v/>
      </c>
    </row>
    <row r="58" ht="14.25" customFormat="1" customHeight="1" s="164">
      <c r="A58" s="16">
        <f>IF(B58&gt;0,IF(Info!$C$16="بله",AG58/B58,(AG58+L58)/B58),0)</f>
        <v/>
      </c>
      <c r="B58" s="16">
        <f>IF(AND(AI58&gt;=0,AJ58&lt;=Info!$I$6),LOOKUP(Info!$C$8,Rates!$I$2:$I$7,Rates!$F$2:$F$7),0)</f>
        <v/>
      </c>
      <c r="C58" s="13">
        <f>IF(AND(AI58&gt;=0,AJ58&lt;=Info!$I$6),F58+F58*(IF(AJ58&lt;3,VLOOKUP(Info!$C$10,Rates!$A$15:$B$19,2,FALSE),IF(AJ58&lt;5,VLOOKUP(Info!$C$10,Rates!$A$15:$C$19,3,FALSE),VLOOKUP(Info!$C$10,Rates!$A$15:$D$19,4,FALSE)))+(Info!$I$22-IF(AJ58&gt;4,LOOKUP(Info!$C$10,Rates!$D$2:$D$7,Rates!$A$2:$A$7),LOOKUP(Info!$C$10,Rates!$D$2:$D$7,Rates!$C$2:$C$7))))*LOOKUP(Info!$C$8,Rates!$I$2:$I$7,Rates!$G$2:$G$7)+C57*(1+IF(AJ58&lt;3,VLOOKUP(Info!$C$10,Rates!$A$15:$B$19,2,FALSE),IF(AJ58&lt;5,VLOOKUP(Info!$C$10,Rates!$A$15:$C$19,3,FALSE),VLOOKUP(Info!$C$10,Rates!$A$15:$D$19,4,FALSE)))+(Info!$I$22-IF(AJ58&lt;3,VLOOKUP(Info!$C$10,Rates!$A$15:$B$19,2,FALSE),IF(AJ58&lt;5,VLOOKUP(Info!$C$10,Rates!$A$15:$C$19,3,FALSE),VLOOKUP(Info!$C$10,Rates!$A$15:$D$19,4,FALSE))))),0)</f>
        <v/>
      </c>
      <c r="D58" s="13">
        <f>IF(AI58&lt;&gt;"",E58,"")</f>
        <v/>
      </c>
      <c r="E58" s="12">
        <f>IF(AI58&lt;&gt;0,F58*(1+IF(AJ58&lt;3,VLOOKUP(Info!$C$10,Rates!$A$14:$B$19,2,FALSE),IF(AJ58&lt;5,VLOOKUP(Info!$C$10,Rates!$A$14:$C$19,3,FALSE),VLOOKUP(Info!$C$10,Rates!$A$14:$D$19,4,FALSE)))*LOOKUP(Info!$C$8,Rates!$I$2:$I$8,Rates!$G$2:$G$8))+E57*(1+IF(AJ58&lt;3,VLOOKUP(Info!$C$10,Rates!$A$14:$B$19,2,FALSE),IF(AJ58&lt;5,VLOOKUP(Info!$C$10,Rates!$A$14:$C$19,3,FALSE),VLOOKUP(Info!$C$10,Rates!$A$14:$D$19,4,FALSE)))),0)</f>
        <v/>
      </c>
      <c r="F58" s="13">
        <f>IF(AI58&lt;&gt;"",IF(Info!$C$16="بله",IF(AND(AJ58&lt;=Info!$F$20,AJ58&gt;=Info!$I$20),Info!$C$20,0)+(AG58-Y58-L58-K58-J58-I58-H58-G58),IF(AND(AJ58&lt;=Info!$F$20,AJ58&gt;=Info!$I$20),Info!$C$20,0)+(AG58-Y58-K58-J58-I58-H58-G58)),"")</f>
        <v/>
      </c>
      <c r="G58" s="106">
        <f>IF(AI58&lt;&gt;"",Rates!$AA$11*(L58),"")</f>
        <v/>
      </c>
      <c r="H58" s="106">
        <f>IF(AI58&lt;&gt;"",(Rates!$AC$11+Rates!$AB$11)*(L58),"")</f>
        <v/>
      </c>
      <c r="I58" s="13">
        <f>IF(AI58&lt;&gt;"",LOOKUP(Info!$C$8,Rates!$I$2:$I$7,Rates!$H$2:$H$7)*(J58+K58+L58+Y58),"")</f>
        <v/>
      </c>
      <c r="J58" s="13">
        <f>IF(N58="",0,N58)+IF(P58="",0,P58)+IF(Q58="",0,Q58)</f>
        <v/>
      </c>
      <c r="K58" s="13">
        <f>IF(Y58&lt;&gt;"",Info!$C$18*Y58,"")</f>
        <v/>
      </c>
      <c r="L58" s="13">
        <f>IF(R58="",0,R58)+IF(U58="",0,U58)+IF(W58="",0,W58)+IF(V58="",0,V58)+IF(T58="",0,T58)</f>
        <v/>
      </c>
      <c r="M58" s="13" t="n">
        <v>0</v>
      </c>
      <c r="N58" s="13" t="n">
        <v>0</v>
      </c>
      <c r="O58" s="12">
        <f>IF(AJ58&lt;=10,(1-Info!$C$25)*IF(OR(Info!$F$8&gt;0,Info!$F$10&gt;0),IF(0.75*$X$4&lt;=0.03*$AD$4,0.75*(X58-X57),0.03*(AD58-AD57)),0),"")</f>
        <v/>
      </c>
      <c r="P58" s="13">
        <f>IF(AJ58&lt;=5,IF(AI58&lt;&gt;"",0.002*AD58,"")*(1-Info!$I$25),0)</f>
        <v/>
      </c>
      <c r="Q58" s="13">
        <f>(1-Info!$F$25)*IF(AI58&lt;&gt;"",IF(Info!$C$16="بله",0.07*X58,0.07*AG58),"")</f>
        <v/>
      </c>
      <c r="R58" s="13">
        <f>IF(X58&lt;&gt;0,S58*X58,0)*(1-Info!$F$29)</f>
        <v/>
      </c>
      <c r="S58" s="106">
        <f>IF(Info!$I$14="خیر",0,IF(Info!$F$14="بله",IF(Info!$C$14=1,2.3,IF(Info!$C$14=2,3.3,4.3)),1))*IF(AND(AH58&lt;=Rates!$Y$8,AH58&gt;0),(1+Info!$C$18)*(1+LOOKUP(Info!$F$18,Rates!$O$2:$O$9,Rates!$L$2:$L$9)/100)*(LOOKUP(Info!$C$6,Rates!$T$2:$T$108,Rates!$R$2:$R$108)/100),0)</f>
        <v/>
      </c>
      <c r="T58" s="13">
        <f>IF(AI58&lt;71,(1-Info!$F$27)*((AB58*0.0008*(1+(LOOKUP(Info!$I$18,Rates!$O$2:$O$9,Rates!$M$2:$M$9)/100)))),0)</f>
        <v/>
      </c>
      <c r="U58" s="13">
        <f>IF(AI58&lt;71,(1-Info!$I$27)*(((AD58*0.0008*Info!$L$14))*(1+(LOOKUP(Info!$I$18,Rates!$O:$O,Rates!$N:$N)/100))),0)</f>
        <v/>
      </c>
      <c r="V58" s="13">
        <f>((Z58*0.0008))*(1+(LOOKUP(Info!$I$18,Rates!$O$2:$O$9,Rates!$M$2:$M$9)/100))*(1-Info!$C$27)</f>
        <v/>
      </c>
      <c r="W58" s="13">
        <f>IF(AND(AI58&lt;=Rates!$Y$2,AJ58&lt;=Info!$I$6,Info!$F$16="معمولی"),VLOOKUP(AI58,Rates!$T$1:$X$108,5,0),IF(AND(AI58&lt;=Rates!$Y$2,AJ58&lt;=Info!$I$6,Info!$F$16="پایه"),VLOOKUP(AI58,Rates!$T$1:$X$108,2,0),IF(AND(AI58&lt;=Rates!$Y$2,AJ58&lt;=Info!$I$6,Info!$F$16="آسایش "),VLOOKUP(AI58,Rates!$T$1:$X$108,3,0),IF(AND(AI58&lt;=Rates!$Y$2,AJ58&lt;=Info!$I$6,Info!$F$16="ممتاز"),VLOOKUP(AI58,Rates!$T$1:$X$108,4,0),0))))*AA58/1000000*(1+Info!$C$18)*(1-Info!$I$29)</f>
        <v/>
      </c>
      <c r="X58" s="113">
        <f>IF(Info!$C$16="بله",(AG58-W58-U58-V58-T58)/(1+S58),AG58)</f>
        <v/>
      </c>
      <c r="Y58" s="106">
        <f>IF(AI58&lt;&gt;0,(AD58*LOOKUP(AI58,Rates!$T$2:$T$108,Rates!$S$2:$S$108))/SQRT(1.1),0)</f>
        <v/>
      </c>
      <c r="Z58" s="106">
        <f>IF(AND(AI58&lt;=Rates!$Y$10,AI58&gt;=0),Info!$C$12*(AC58-AD58),0)</f>
        <v/>
      </c>
      <c r="AA58" s="13">
        <f>IF(AND(AI58&gt;=0,AI58&lt;=Rates!$Y$2,AG58&gt;0),MIN(AA57*(1+Info!$F$10),5000000000),0)</f>
        <v/>
      </c>
      <c r="AB58" s="106">
        <f>IF(AND(AI58&gt;=0,AI58&lt;=65),AD58*Info!$L$16,0)</f>
        <v/>
      </c>
      <c r="AC58" s="13">
        <f>IF(AND(AI58&gt;=0,AI58&lt;=Rates!$Y$3),AD58*(1+Info!$L$14),AD58)</f>
        <v/>
      </c>
      <c r="AD58" s="106">
        <f>IF(AI58&lt;&gt;0,AD57*(1+Info!$F$10),0)</f>
        <v/>
      </c>
      <c r="AE58" s="105">
        <f>IF(AI58&lt;&gt;0,AF58+AE57,0)</f>
        <v/>
      </c>
      <c r="AF58" s="13">
        <f>IF(AI58&gt;=0,IF(Info!$C$16="بله",AG58,AG58+L58),"")</f>
        <v/>
      </c>
      <c r="AG58" s="107">
        <f>IF(AI58&lt;&gt;0,AG57*(1+Info!$F$8),0)</f>
        <v/>
      </c>
      <c r="AH58" s="111">
        <f>IF(AJ58&lt;&gt;"",Info!$C$6+AJ58-1,0)</f>
        <v/>
      </c>
      <c r="AI58" s="17">
        <f>IF(AJ58&lt;&gt;"",IF(Info!$F$6+AJ58-1&lt;=Rates!$Y$11,Info!$F$6+AJ58-1,0),0)</f>
        <v/>
      </c>
      <c r="AJ58" s="18">
        <f>IF(AI57&lt;&gt;"",IF(AND(AJ57&lt;&gt;"",AI57+1&lt;=Rates!$Y$11),IF(AJ57&lt;&gt;0,IF(AJ57+1&lt;=Info!$I$6,AJ57+1,""),0),""),"")</f>
        <v/>
      </c>
    </row>
    <row r="59" ht="14.25" customFormat="1" customHeight="1" s="164">
      <c r="A59" s="11">
        <f>IF(B59&gt;0,IF(Info!$C$16="بله",AG59/B59,(AG59+L59)/B59),0)</f>
        <v/>
      </c>
      <c r="B59" s="11">
        <f>IF(AND(AI59&gt;=0,AJ59&lt;=Info!$I$6),LOOKUP(Info!$C$8,Rates!$I$2:$I$7,Rates!$F$2:$F$7),0)</f>
        <v/>
      </c>
      <c r="C59" s="12">
        <f>IF(AND(AI59&gt;=0,AJ59&lt;=Info!$I$6),F59+F59*(IF(AJ59&lt;3,VLOOKUP(Info!$C$10,Rates!$A$15:$B$19,2,FALSE),IF(AJ59&lt;5,VLOOKUP(Info!$C$10,Rates!$A$15:$C$19,3,FALSE),VLOOKUP(Info!$C$10,Rates!$A$15:$D$19,4,FALSE)))+(Info!$I$22-IF(AJ59&gt;4,LOOKUP(Info!$C$10,Rates!$D$2:$D$7,Rates!$A$2:$A$7),LOOKUP(Info!$C$10,Rates!$D$2:$D$7,Rates!$C$2:$C$7))))*LOOKUP(Info!$C$8,Rates!$I$2:$I$7,Rates!$G$2:$G$7)+C58*(1+IF(AJ59&lt;3,VLOOKUP(Info!$C$10,Rates!$A$15:$B$19,2,FALSE),IF(AJ59&lt;5,VLOOKUP(Info!$C$10,Rates!$A$15:$C$19,3,FALSE),VLOOKUP(Info!$C$10,Rates!$A$15:$D$19,4,FALSE)))+(Info!$I$22-IF(AJ59&lt;3,VLOOKUP(Info!$C$10,Rates!$A$15:$B$19,2,FALSE),IF(AJ59&lt;5,VLOOKUP(Info!$C$10,Rates!$A$15:$C$19,3,FALSE),VLOOKUP(Info!$C$10,Rates!$A$15:$D$19,4,FALSE))))),0)</f>
        <v/>
      </c>
      <c r="D59" s="12">
        <f>IF(AI59&lt;&gt;"",E59,"")</f>
        <v/>
      </c>
      <c r="E59" s="12">
        <f>IF(AI59&lt;&gt;0,F59*(1+IF(AJ59&lt;3,VLOOKUP(Info!$C$10,Rates!$A$14:$B$19,2,FALSE),IF(AJ59&lt;5,VLOOKUP(Info!$C$10,Rates!$A$14:$C$19,3,FALSE),VLOOKUP(Info!$C$10,Rates!$A$14:$D$19,4,FALSE)))*LOOKUP(Info!$C$8,Rates!$I$2:$I$8,Rates!$G$2:$G$8))+E58*(1+IF(AJ59&lt;3,VLOOKUP(Info!$C$10,Rates!$A$14:$B$19,2,FALSE),IF(AJ59&lt;5,VLOOKUP(Info!$C$10,Rates!$A$14:$C$19,3,FALSE),VLOOKUP(Info!$C$10,Rates!$A$14:$D$19,4,FALSE)))),0)</f>
        <v/>
      </c>
      <c r="F59" s="12">
        <f>IF(AI59&lt;&gt;"",IF(Info!$C$16="بله",IF(AND(AJ59&lt;=Info!$F$20,AJ59&gt;=Info!$I$20),Info!$C$20,0)+(AG59-Y59-L59-K59-J59-I59-H59-G59),IF(AND(AJ59&lt;=Info!$F$20,AJ59&gt;=Info!$I$20),Info!$C$20,0)+(AG59-Y59-K59-J59-I59-H59-G59)),"")</f>
        <v/>
      </c>
      <c r="G59" s="107">
        <f>IF(AI59&lt;&gt;"",Rates!$AA$11*(L59),"")</f>
        <v/>
      </c>
      <c r="H59" s="107">
        <f>IF(AI59&lt;&gt;"",(Rates!$AC$11+Rates!$AB$11)*(L59),"")</f>
        <v/>
      </c>
      <c r="I59" s="12">
        <f>IF(AI59&lt;&gt;"",LOOKUP(Info!$C$8,Rates!$I$2:$I$7,Rates!$H$2:$H$7)*(J59+K59+L59+Y59),"")</f>
        <v/>
      </c>
      <c r="J59" s="12">
        <f>IF(N59="",0,N59)+IF(P59="",0,P59)+IF(Q59="",0,Q59)</f>
        <v/>
      </c>
      <c r="K59" s="12">
        <f>IF(Y59&lt;&gt;"",Info!$C$18*Y59,"")</f>
        <v/>
      </c>
      <c r="L59" s="12">
        <f>IF(R59="",0,R59)+IF(U59="",0,U59)+IF(W59="",0,W59)+IF(V59="",0,V59)+IF(T59="",0,T59)</f>
        <v/>
      </c>
      <c r="M59" s="12" t="n">
        <v>0</v>
      </c>
      <c r="N59" s="12" t="n">
        <v>0</v>
      </c>
      <c r="O59" s="12">
        <f>IF(AJ59&lt;=10,(1-Info!$C$25)*IF(OR(Info!$F$8&gt;0,Info!$F$10&gt;0),IF(0.75*$X$4&lt;=0.03*$AD$4,0.75*(X59-X58),0.03*(AD59-AD58)),0),"")</f>
        <v/>
      </c>
      <c r="P59" s="12">
        <f>IF(AJ59&lt;=5,IF(AI59&lt;&gt;"",0.002*AD59,"")*(1-Info!$I$25),0)</f>
        <v/>
      </c>
      <c r="Q59" s="12">
        <f>(1-Info!$F$25)*IF(AI59&lt;&gt;"",IF(Info!$C$16="بله",0.07*X59,0.07*AG59),"")</f>
        <v/>
      </c>
      <c r="R59" s="12">
        <f>IF(X59&lt;&gt;0,S59*X59,0)*(1-Info!$F$29)</f>
        <v/>
      </c>
      <c r="S59" s="107">
        <f>IF(Info!$I$14="خیر",0,IF(Info!$F$14="بله",IF(Info!$C$14=1,2.3,IF(Info!$C$14=2,3.3,4.3)),1))*IF(AND(AH59&lt;=Rates!$Y$8,AH59&gt;0),(1+Info!$C$18)*(1+LOOKUP(Info!$F$18,Rates!$O$2:$O$9,Rates!$L$2:$L$9)/100)*(LOOKUP(Info!$C$6,Rates!$T$2:$T$108,Rates!$R$2:$R$108)/100),0)</f>
        <v/>
      </c>
      <c r="T59" s="12">
        <f>IF(AI59&lt;71,(1-Info!$F$27)*((AB59*0.0008*(1+(LOOKUP(Info!$I$18,Rates!$O$2:$O$9,Rates!$M$2:$M$9)/100)))),0)</f>
        <v/>
      </c>
      <c r="U59" s="12">
        <f>IF(AI59&lt;71,(1-Info!$I$27)*(((AD59*0.0008*Info!$L$14))*(1+(LOOKUP(Info!$I$18,Rates!$O:$O,Rates!$N:$N)/100))),0)</f>
        <v/>
      </c>
      <c r="V59" s="12">
        <f>((Z59*0.0008))*(1+(LOOKUP(Info!$I$18,Rates!$O$2:$O$9,Rates!$M$2:$M$9)/100))*(1-Info!$C$27)</f>
        <v/>
      </c>
      <c r="W59" s="12">
        <f>IF(AND(AI59&lt;=Rates!$Y$2,AJ59&lt;=Info!$I$6,Info!$F$16="معمولی"),VLOOKUP(AI59,Rates!$T$1:$X$108,5,0),IF(AND(AI59&lt;=Rates!$Y$2,AJ59&lt;=Info!$I$6,Info!$F$16="پایه"),VLOOKUP(AI59,Rates!$T$1:$X$108,2,0),IF(AND(AI59&lt;=Rates!$Y$2,AJ59&lt;=Info!$I$6,Info!$F$16="آسایش "),VLOOKUP(AI59,Rates!$T$1:$X$108,3,0),IF(AND(AI59&lt;=Rates!$Y$2,AJ59&lt;=Info!$I$6,Info!$F$16="ممتاز"),VLOOKUP(AI59,Rates!$T$1:$X$108,4,0),0))))*AA59/1000000*(1+Info!$C$18)*(1-Info!$I$29)</f>
        <v/>
      </c>
      <c r="X59" s="12">
        <f>IF(Info!$C$16="بله",(AG59-W59-U59-V59-T59)/(1+S59),AG59)</f>
        <v/>
      </c>
      <c r="Y59" s="107">
        <f>IF(AI59&lt;&gt;0,(AD59*LOOKUP(AI59,Rates!$T$2:$T$108,Rates!$S$2:$S$108))/SQRT(1.1),0)</f>
        <v/>
      </c>
      <c r="Z59" s="107">
        <f>IF(AND(AI59&lt;=Rates!$Y$10,AI59&gt;=0),Info!$C$12*(AC59-AD59),0)</f>
        <v/>
      </c>
      <c r="AA59" s="12">
        <f>IF(AND(AI59&gt;=0,AI59&lt;=Rates!$Y$2,AG59&gt;0),MIN(AA58*(1+Info!$F$10),5000000000),0)</f>
        <v/>
      </c>
      <c r="AB59" s="107">
        <f>IF(AND(AI59&gt;=0,AI59&lt;=65),AD59*Info!$L$16,0)</f>
        <v/>
      </c>
      <c r="AC59" s="12">
        <f>IF(AND(AI59&gt;=0,AI59&lt;=Rates!$Y$3),AD59*(1+Info!$L$14),AD59)</f>
        <v/>
      </c>
      <c r="AD59" s="107">
        <f>IF(AI59&lt;&gt;0,AD58*(1+Info!$F$10),0)</f>
        <v/>
      </c>
      <c r="AE59" s="104">
        <f>IF(AI59&lt;&gt;0,AF59+AE58,0)</f>
        <v/>
      </c>
      <c r="AF59" s="12">
        <f>IF(AI59&gt;=0,IF(Info!$C$16="بله",AG59,AG59+L59),"")</f>
        <v/>
      </c>
      <c r="AG59" s="107">
        <f>IF(AI59&lt;&gt;0,AG58*(1+Info!$F$8),0)</f>
        <v/>
      </c>
      <c r="AH59" s="110">
        <f>IF(AJ59&lt;&gt;"",Info!$C$6+AJ59-1,0)</f>
        <v/>
      </c>
      <c r="AI59" s="14">
        <f>IF(AJ59&lt;&gt;"",IF(Info!$F$6+AJ59-1&lt;=Rates!$Y$11,Info!$F$6+AJ59-1,0),0)</f>
        <v/>
      </c>
      <c r="AJ59" s="15">
        <f>IF(AI58&lt;&gt;"",IF(AND(AJ58&lt;&gt;"",AI58+1&lt;=Rates!$Y$11),IF(AJ58&lt;&gt;0,IF(AJ58+1&lt;=Info!$I$6,AJ58+1,""),0),""),"")</f>
        <v/>
      </c>
    </row>
    <row r="60" ht="14.25" customFormat="1" customHeight="1" s="164">
      <c r="A60" s="16">
        <f>IF(B60&gt;0,IF(Info!$C$16="بله",AG60/B60,(AG60+L60)/B60),0)</f>
        <v/>
      </c>
      <c r="B60" s="16">
        <f>IF(AND(AI60&gt;=0,AJ60&lt;=Info!$I$6),LOOKUP(Info!$C$8,Rates!$I$2:$I$7,Rates!$F$2:$F$7),0)</f>
        <v/>
      </c>
      <c r="C60" s="13">
        <f>IF(AND(AI60&gt;=0,AJ60&lt;=Info!$I$6),F60+F60*(IF(AJ60&lt;3,VLOOKUP(Info!$C$10,Rates!$A$15:$B$19,2,FALSE),IF(AJ60&lt;5,VLOOKUP(Info!$C$10,Rates!$A$15:$C$19,3,FALSE),VLOOKUP(Info!$C$10,Rates!$A$15:$D$19,4,FALSE)))+(Info!$I$22-IF(AJ60&gt;4,LOOKUP(Info!$C$10,Rates!$D$2:$D$7,Rates!$A$2:$A$7),LOOKUP(Info!$C$10,Rates!$D$2:$D$7,Rates!$C$2:$C$7))))*LOOKUP(Info!$C$8,Rates!$I$2:$I$7,Rates!$G$2:$G$7)+C59*(1+IF(AJ60&lt;3,VLOOKUP(Info!$C$10,Rates!$A$15:$B$19,2,FALSE),IF(AJ60&lt;5,VLOOKUP(Info!$C$10,Rates!$A$15:$C$19,3,FALSE),VLOOKUP(Info!$C$10,Rates!$A$15:$D$19,4,FALSE)))+(Info!$I$22-IF(AJ60&lt;3,VLOOKUP(Info!$C$10,Rates!$A$15:$B$19,2,FALSE),IF(AJ60&lt;5,VLOOKUP(Info!$C$10,Rates!$A$15:$C$19,3,FALSE),VLOOKUP(Info!$C$10,Rates!$A$15:$D$19,4,FALSE))))),0)</f>
        <v/>
      </c>
      <c r="D60" s="13">
        <f>IF(AI60&lt;&gt;"",E60,"")</f>
        <v/>
      </c>
      <c r="E60" s="12">
        <f>IF(AI60&lt;&gt;0,F60*(1+IF(AJ60&lt;3,VLOOKUP(Info!$C$10,Rates!$A$14:$B$19,2,FALSE),IF(AJ60&lt;5,VLOOKUP(Info!$C$10,Rates!$A$14:$C$19,3,FALSE),VLOOKUP(Info!$C$10,Rates!$A$14:$D$19,4,FALSE)))*LOOKUP(Info!$C$8,Rates!$I$2:$I$8,Rates!$G$2:$G$8))+E59*(1+IF(AJ60&lt;3,VLOOKUP(Info!$C$10,Rates!$A$14:$B$19,2,FALSE),IF(AJ60&lt;5,VLOOKUP(Info!$C$10,Rates!$A$14:$C$19,3,FALSE),VLOOKUP(Info!$C$10,Rates!$A$14:$D$19,4,FALSE)))),0)</f>
        <v/>
      </c>
      <c r="F60" s="13">
        <f>IF(AI60&lt;&gt;"",IF(Info!$C$16="بله",IF(AND(AJ60&lt;=Info!$F$20,AJ60&gt;=Info!$I$20),Info!$C$20,0)+(AG60-Y60-L60-K60-J60-I60-H60-G60),IF(AND(AJ60&lt;=Info!$F$20,AJ60&gt;=Info!$I$20),Info!$C$20,0)+(AG60-Y60-K60-J60-I60-H60-G60)),"")</f>
        <v/>
      </c>
      <c r="G60" s="106">
        <f>IF(AI60&lt;&gt;"",Rates!$AA$11*(L60),"")</f>
        <v/>
      </c>
      <c r="H60" s="106">
        <f>IF(AI60&lt;&gt;"",(Rates!$AC$11+Rates!$AB$11)*(L60),"")</f>
        <v/>
      </c>
      <c r="I60" s="13">
        <f>IF(AI60&lt;&gt;"",LOOKUP(Info!$C$8,Rates!$I$2:$I$7,Rates!$H$2:$H$7)*(J60+K60+L60+Y60),"")</f>
        <v/>
      </c>
      <c r="J60" s="13">
        <f>IF(N60="",0,N60)+IF(P60="",0,P60)+IF(Q60="",0,Q60)</f>
        <v/>
      </c>
      <c r="K60" s="13">
        <f>IF(Y60&lt;&gt;"",Info!$C$18*Y60,"")</f>
        <v/>
      </c>
      <c r="L60" s="13">
        <f>IF(R60="",0,R60)+IF(U60="",0,U60)+IF(W60="",0,W60)+IF(V60="",0,V60)+IF(T60="",0,T60)</f>
        <v/>
      </c>
      <c r="M60" s="13" t="n">
        <v>0</v>
      </c>
      <c r="N60" s="13" t="n">
        <v>0</v>
      </c>
      <c r="O60" s="12">
        <f>IF(AJ60&lt;=10,(1-Info!$C$25)*IF(OR(Info!$F$8&gt;0,Info!$F$10&gt;0),IF(0.75*$X$4&lt;=0.03*$AD$4,0.75*(X60-X59),0.03*(AD60-AD59)),0),"")</f>
        <v/>
      </c>
      <c r="P60" s="13">
        <f>IF(AJ60&lt;=5,IF(AI60&lt;&gt;"",0.002*AD60,"")*(1-Info!$I$25),0)</f>
        <v/>
      </c>
      <c r="Q60" s="13">
        <f>(1-Info!$F$25)*IF(AI60&lt;&gt;"",IF(Info!$C$16="بله",0.07*X60,0.07*AG60),"")</f>
        <v/>
      </c>
      <c r="R60" s="13">
        <f>IF(X60&lt;&gt;0,S60*X60,0)*(1-Info!$F$29)</f>
        <v/>
      </c>
      <c r="S60" s="106">
        <f>IF(Info!$I$14="خیر",0,IF(Info!$F$14="بله",IF(Info!$C$14=1,2.3,IF(Info!$C$14=2,3.3,4.3)),1))*IF(AND(AH60&lt;=Rates!$Y$8,AH60&gt;0),(1+Info!$C$18)*(1+LOOKUP(Info!$F$18,Rates!$O$2:$O$9,Rates!$L$2:$L$9)/100)*(LOOKUP(Info!$C$6,Rates!$T$2:$T$108,Rates!$R$2:$R$108)/100),0)</f>
        <v/>
      </c>
      <c r="T60" s="13">
        <f>IF(AI60&lt;71,(1-Info!$F$27)*((AB60*0.0008*(1+(LOOKUP(Info!$I$18,Rates!$O$2:$O$9,Rates!$M$2:$M$9)/100)))),0)</f>
        <v/>
      </c>
      <c r="U60" s="13">
        <f>IF(AI60&lt;71,(1-Info!$I$27)*(((AD60*0.0008*Info!$L$14))*(1+(LOOKUP(Info!$I$18,Rates!$O:$O,Rates!$N:$N)/100))),0)</f>
        <v/>
      </c>
      <c r="V60" s="13">
        <f>((Z60*0.0008))*(1+(LOOKUP(Info!$I$18,Rates!$O$2:$O$9,Rates!$M$2:$M$9)/100))*(1-Info!$C$27)</f>
        <v/>
      </c>
      <c r="W60" s="13">
        <f>IF(AND(AI60&lt;=Rates!$Y$2,AJ60&lt;=Info!$I$6,Info!$F$16="معمولی"),VLOOKUP(AI60,Rates!$T$1:$X$108,5,0),IF(AND(AI60&lt;=Rates!$Y$2,AJ60&lt;=Info!$I$6,Info!$F$16="پایه"),VLOOKUP(AI60,Rates!$T$1:$X$108,2,0),IF(AND(AI60&lt;=Rates!$Y$2,AJ60&lt;=Info!$I$6,Info!$F$16="آسایش "),VLOOKUP(AI60,Rates!$T$1:$X$108,3,0),IF(AND(AI60&lt;=Rates!$Y$2,AJ60&lt;=Info!$I$6,Info!$F$16="ممتاز"),VLOOKUP(AI60,Rates!$T$1:$X$108,4,0),0))))*AA60/1000000*(1+Info!$C$18)*(1-Info!$I$29)</f>
        <v/>
      </c>
      <c r="X60" s="113">
        <f>IF(Info!$C$16="بله",(AG60-W60-U60-V60-T60)/(1+S60),AG60)</f>
        <v/>
      </c>
      <c r="Y60" s="106">
        <f>IF(AI60&lt;&gt;0,(AD60*LOOKUP(AI60,Rates!$T$2:$T$108,Rates!$S$2:$S$108))/SQRT(1.1),0)</f>
        <v/>
      </c>
      <c r="Z60" s="106">
        <f>IF(AND(AI60&lt;=Rates!$Y$10,AI60&gt;=0),Info!$C$12*(AC60-AD60),0)</f>
        <v/>
      </c>
      <c r="AA60" s="13">
        <f>IF(AND(AI60&gt;=0,AI60&lt;=Rates!$Y$2,AG60&gt;0),MIN(AA59*(1+Info!$F$10),5000000000),0)</f>
        <v/>
      </c>
      <c r="AB60" s="106">
        <f>IF(AND(AI60&gt;=0,AI60&lt;=65),AD60*Info!$L$16,0)</f>
        <v/>
      </c>
      <c r="AC60" s="13">
        <f>IF(AND(AI60&gt;=0,AI60&lt;=Rates!$Y$3),AD60*(1+Info!$L$14),AD60)</f>
        <v/>
      </c>
      <c r="AD60" s="106">
        <f>IF(AI60&lt;&gt;0,AD59*(1+Info!$F$10),0)</f>
        <v/>
      </c>
      <c r="AE60" s="105">
        <f>IF(AI60&lt;&gt;0,AF60+AE59,0)</f>
        <v/>
      </c>
      <c r="AF60" s="13">
        <f>IF(AI60&gt;=0,IF(Info!$C$16="بله",AG60,AG60+L60),"")</f>
        <v/>
      </c>
      <c r="AG60" s="107">
        <f>IF(AI60&lt;&gt;0,AG59*(1+Info!$F$8),0)</f>
        <v/>
      </c>
      <c r="AH60" s="111">
        <f>IF(AJ60&lt;&gt;"",Info!$C$6+AJ60-1,0)</f>
        <v/>
      </c>
      <c r="AI60" s="17">
        <f>IF(AJ60&lt;&gt;"",IF(Info!$F$6+AJ60-1&lt;=Rates!$Y$11,Info!$F$6+AJ60-1,0),0)</f>
        <v/>
      </c>
      <c r="AJ60" s="18">
        <f>IF(AI59&lt;&gt;"",IF(AND(AJ59&lt;&gt;"",AI59+1&lt;=Rates!$Y$11),IF(AJ59&lt;&gt;0,IF(AJ59+1&lt;=Info!$I$6,AJ59+1,""),0),""),"")</f>
        <v/>
      </c>
    </row>
    <row r="61" ht="14.25" customFormat="1" customHeight="1" s="164">
      <c r="A61" s="11">
        <f>IF(B61&gt;0,IF(Info!$C$16="بله",AG61/B61,(AG61+L61)/B61),0)</f>
        <v/>
      </c>
      <c r="B61" s="11">
        <f>IF(AND(AI61&gt;=0,AJ61&lt;=Info!$I$6),LOOKUP(Info!$C$8,Rates!$I$2:$I$7,Rates!$F$2:$F$7),0)</f>
        <v/>
      </c>
      <c r="C61" s="12">
        <f>IF(AND(AI61&gt;=0,AJ61&lt;=Info!$I$6),F61+F61*(IF(AJ61&lt;3,VLOOKUP(Info!$C$10,Rates!$A$15:$B$19,2,FALSE),IF(AJ61&lt;5,VLOOKUP(Info!$C$10,Rates!$A$15:$C$19,3,FALSE),VLOOKUP(Info!$C$10,Rates!$A$15:$D$19,4,FALSE)))+(Info!$I$22-IF(AJ61&gt;4,LOOKUP(Info!$C$10,Rates!$D$2:$D$7,Rates!$A$2:$A$7),LOOKUP(Info!$C$10,Rates!$D$2:$D$7,Rates!$C$2:$C$7))))*LOOKUP(Info!$C$8,Rates!$I$2:$I$7,Rates!$G$2:$G$7)+C60*(1+IF(AJ61&lt;3,VLOOKUP(Info!$C$10,Rates!$A$15:$B$19,2,FALSE),IF(AJ61&lt;5,VLOOKUP(Info!$C$10,Rates!$A$15:$C$19,3,FALSE),VLOOKUP(Info!$C$10,Rates!$A$15:$D$19,4,FALSE)))+(Info!$I$22-IF(AJ61&lt;3,VLOOKUP(Info!$C$10,Rates!$A$15:$B$19,2,FALSE),IF(AJ61&lt;5,VLOOKUP(Info!$C$10,Rates!$A$15:$C$19,3,FALSE),VLOOKUP(Info!$C$10,Rates!$A$15:$D$19,4,FALSE))))),0)</f>
        <v/>
      </c>
      <c r="D61" s="12">
        <f>IF(AI61&lt;&gt;"",E61,"")</f>
        <v/>
      </c>
      <c r="E61" s="12">
        <f>IF(AI61&lt;&gt;0,F61*(1+IF(AJ61&lt;3,VLOOKUP(Info!$C$10,Rates!$A$14:$B$19,2,FALSE),IF(AJ61&lt;5,VLOOKUP(Info!$C$10,Rates!$A$14:$C$19,3,FALSE),VLOOKUP(Info!$C$10,Rates!$A$14:$D$19,4,FALSE)))*LOOKUP(Info!$C$8,Rates!$I$2:$I$8,Rates!$G$2:$G$8))+E60*(1+IF(AJ61&lt;3,VLOOKUP(Info!$C$10,Rates!$A$14:$B$19,2,FALSE),IF(AJ61&lt;5,VLOOKUP(Info!$C$10,Rates!$A$14:$C$19,3,FALSE),VLOOKUP(Info!$C$10,Rates!$A$14:$D$19,4,FALSE)))),0)</f>
        <v/>
      </c>
      <c r="F61" s="12">
        <f>IF(AI61&lt;&gt;"",IF(Info!$C$16="بله",IF(AND(AJ61&lt;=Info!$F$20,AJ61&gt;=Info!$I$20),Info!$C$20,0)+(AG61-Y61-L61-K61-J61-I61-H61-G61),IF(AND(AJ61&lt;=Info!$F$20,AJ61&gt;=Info!$I$20),Info!$C$20,0)+(AG61-Y61-K61-J61-I61-H61-G61)),"")</f>
        <v/>
      </c>
      <c r="G61" s="107">
        <f>IF(AI61&lt;&gt;"",Rates!$AA$11*(L61),"")</f>
        <v/>
      </c>
      <c r="H61" s="107">
        <f>IF(AI61&lt;&gt;"",(Rates!$AC$11+Rates!$AB$11)*(L61),"")</f>
        <v/>
      </c>
      <c r="I61" s="12">
        <f>IF(AI61&lt;&gt;"",LOOKUP(Info!$C$8,Rates!$I$2:$I$7,Rates!$H$2:$H$7)*(J61+K61+L61+Y61),"")</f>
        <v/>
      </c>
      <c r="J61" s="12">
        <f>IF(N61="",0,N61)+IF(P61="",0,P61)+IF(Q61="",0,Q61)</f>
        <v/>
      </c>
      <c r="K61" s="12">
        <f>IF(Y61&lt;&gt;"",Info!$C$18*Y61,"")</f>
        <v/>
      </c>
      <c r="L61" s="12">
        <f>IF(R61="",0,R61)+IF(U61="",0,U61)+IF(W61="",0,W61)+IF(V61="",0,V61)+IF(T61="",0,T61)</f>
        <v/>
      </c>
      <c r="M61" s="12" t="n">
        <v>0</v>
      </c>
      <c r="N61" s="12" t="n">
        <v>0</v>
      </c>
      <c r="O61" s="12">
        <f>IF(AJ61&lt;=10,(1-Info!$C$25)*IF(OR(Info!$F$8&gt;0,Info!$F$10&gt;0),IF(0.75*$X$4&lt;=0.03*$AD$4,0.75*(X61-X60),0.03*(AD61-AD60)),0),"")</f>
        <v/>
      </c>
      <c r="P61" s="12">
        <f>IF(AJ61&lt;=5,IF(AI61&lt;&gt;"",0.002*AD61,"")*(1-Info!$I$25),0)</f>
        <v/>
      </c>
      <c r="Q61" s="12">
        <f>(1-Info!$F$25)*IF(AI61&lt;&gt;"",IF(Info!$C$16="بله",0.07*X61,0.07*AG61),"")</f>
        <v/>
      </c>
      <c r="R61" s="12">
        <f>IF(X61&lt;&gt;0,S61*X61,0)*(1-Info!$F$29)</f>
        <v/>
      </c>
      <c r="S61" s="107">
        <f>IF(Info!$I$14="خیر",0,IF(Info!$F$14="بله",IF(Info!$C$14=1,2.3,IF(Info!$C$14=2,3.3,4.3)),1))*IF(AND(AH61&lt;=Rates!$Y$8,AH61&gt;0),(1+Info!$C$18)*(1+LOOKUP(Info!$F$18,Rates!$O$2:$O$9,Rates!$L$2:$L$9)/100)*(LOOKUP(Info!$C$6,Rates!$T$2:$T$108,Rates!$R$2:$R$108)/100),0)</f>
        <v/>
      </c>
      <c r="T61" s="12">
        <f>IF(AI61&lt;71,(1-Info!$F$27)*((AB61*0.0008*(1+(LOOKUP(Info!$I$18,Rates!$O$2:$O$9,Rates!$M$2:$M$9)/100)))),0)</f>
        <v/>
      </c>
      <c r="U61" s="12">
        <f>IF(AI61&lt;71,(1-Info!$I$27)*(((AD61*0.0008*Info!$L$14))*(1+(LOOKUP(Info!$I$18,Rates!$O:$O,Rates!$N:$N)/100))),0)</f>
        <v/>
      </c>
      <c r="V61" s="12">
        <f>((Z61*0.0008))*(1+(LOOKUP(Info!$I$18,Rates!$O$2:$O$9,Rates!$M$2:$M$9)/100))*(1-Info!$C$27)</f>
        <v/>
      </c>
      <c r="W61" s="12">
        <f>IF(AND(AI61&lt;=Rates!$Y$2,AJ61&lt;=Info!$I$6,Info!$F$16="معمولی"),VLOOKUP(AI61,Rates!$T$1:$X$108,5,0),IF(AND(AI61&lt;=Rates!$Y$2,AJ61&lt;=Info!$I$6,Info!$F$16="پایه"),VLOOKUP(AI61,Rates!$T$1:$X$108,2,0),IF(AND(AI61&lt;=Rates!$Y$2,AJ61&lt;=Info!$I$6,Info!$F$16="آسایش "),VLOOKUP(AI61,Rates!$T$1:$X$108,3,0),IF(AND(AI61&lt;=Rates!$Y$2,AJ61&lt;=Info!$I$6,Info!$F$16="ممتاز"),VLOOKUP(AI61,Rates!$T$1:$X$108,4,0),0))))*AA61/1000000*(1+Info!$C$18)*(1-Info!$I$29)</f>
        <v/>
      </c>
      <c r="X61" s="12">
        <f>IF(Info!$C$16="بله",(AG61-W61-U61-V61-T61)/(1+S61),AG61)</f>
        <v/>
      </c>
      <c r="Y61" s="107">
        <f>IF(AI61&lt;&gt;0,(AD61*LOOKUP(AI61,Rates!$T$2:$T$108,Rates!$S$2:$S$108))/SQRT(1.1),0)</f>
        <v/>
      </c>
      <c r="Z61" s="107">
        <f>IF(AND(AI61&lt;=Rates!$Y$10,AI61&gt;=0),Info!$C$12*(AC61-AD61),0)</f>
        <v/>
      </c>
      <c r="AA61" s="12">
        <f>IF(AND(AI61&gt;=0,AI61&lt;=Rates!$Y$2,AG61&gt;0),MIN(AA60*(1+Info!$F$10),5000000000),0)</f>
        <v/>
      </c>
      <c r="AB61" s="107">
        <f>IF(AND(AI61&gt;=0,AI61&lt;=65),AD61*Info!$L$16,0)</f>
        <v/>
      </c>
      <c r="AC61" s="12">
        <f>IF(AND(AI61&gt;=0,AI61&lt;=Rates!$Y$3),AD61*(1+Info!$L$14),AD61)</f>
        <v/>
      </c>
      <c r="AD61" s="107">
        <f>IF(AI61&lt;&gt;0,AD60*(1+Info!$F$10),0)</f>
        <v/>
      </c>
      <c r="AE61" s="104">
        <f>IF(AI61&lt;&gt;0,AF61+AE60,0)</f>
        <v/>
      </c>
      <c r="AF61" s="12">
        <f>IF(AI61&gt;=0,IF(Info!$C$16="بله",AG61,AG61+L61),"")</f>
        <v/>
      </c>
      <c r="AG61" s="107">
        <f>IF(AI61&lt;&gt;0,AG60*(1+Info!$F$8),0)</f>
        <v/>
      </c>
      <c r="AH61" s="110">
        <f>IF(AJ61&lt;&gt;"",Info!$C$6+AJ61-1,0)</f>
        <v/>
      </c>
      <c r="AI61" s="14">
        <f>IF(AJ61&lt;&gt;"",IF(Info!$F$6+AJ61-1&lt;=Rates!$Y$11,Info!$F$6+AJ61-1,0),0)</f>
        <v/>
      </c>
      <c r="AJ61" s="15">
        <f>IF(AI60&lt;&gt;"",IF(AND(AJ60&lt;&gt;"",AI60+1&lt;=Rates!$Y$11),IF(AJ60&lt;&gt;0,IF(AJ60+1&lt;=Info!$I$6,AJ60+1,""),0),""),"")</f>
        <v/>
      </c>
    </row>
    <row r="62" ht="14.25" customFormat="1" customHeight="1" s="164">
      <c r="A62" s="16">
        <f>IF(B62&gt;0,IF(Info!$C$16="بله",AG62/B62,(AG62+L62)/B62),0)</f>
        <v/>
      </c>
      <c r="B62" s="16">
        <f>IF(AND(AI62&gt;=0,AJ62&lt;=Info!$I$6),LOOKUP(Info!$C$8,Rates!$I$2:$I$7,Rates!$F$2:$F$7),0)</f>
        <v/>
      </c>
      <c r="C62" s="13">
        <f>IF(AND(AI62&gt;=0,AJ62&lt;=Info!$I$6),F62+F62*(IF(AJ62&lt;3,VLOOKUP(Info!$C$10,Rates!$A$15:$B$19,2,FALSE),IF(AJ62&lt;5,VLOOKUP(Info!$C$10,Rates!$A$15:$C$19,3,FALSE),VLOOKUP(Info!$C$10,Rates!$A$15:$D$19,4,FALSE)))+(Info!$I$22-IF(AJ62&gt;4,LOOKUP(Info!$C$10,Rates!$D$2:$D$7,Rates!$A$2:$A$7),LOOKUP(Info!$C$10,Rates!$D$2:$D$7,Rates!$C$2:$C$7))))*LOOKUP(Info!$C$8,Rates!$I$2:$I$7,Rates!$G$2:$G$7)+C61*(1+IF(AJ62&lt;3,VLOOKUP(Info!$C$10,Rates!$A$15:$B$19,2,FALSE),IF(AJ62&lt;5,VLOOKUP(Info!$C$10,Rates!$A$15:$C$19,3,FALSE),VLOOKUP(Info!$C$10,Rates!$A$15:$D$19,4,FALSE)))+(Info!$I$22-IF(AJ62&lt;3,VLOOKUP(Info!$C$10,Rates!$A$15:$B$19,2,FALSE),IF(AJ62&lt;5,VLOOKUP(Info!$C$10,Rates!$A$15:$C$19,3,FALSE),VLOOKUP(Info!$C$10,Rates!$A$15:$D$19,4,FALSE))))),0)</f>
        <v/>
      </c>
      <c r="D62" s="13">
        <f>IF(AI62&lt;&gt;"",E62,"")</f>
        <v/>
      </c>
      <c r="E62" s="12">
        <f>IF(AI62&lt;&gt;0,F62*(1+IF(AJ62&lt;3,VLOOKUP(Info!$C$10,Rates!$A$14:$B$19,2,FALSE),IF(AJ62&lt;5,VLOOKUP(Info!$C$10,Rates!$A$14:$C$19,3,FALSE),VLOOKUP(Info!$C$10,Rates!$A$14:$D$19,4,FALSE)))*LOOKUP(Info!$C$8,Rates!$I$2:$I$8,Rates!$G$2:$G$8))+E61*(1+IF(AJ62&lt;3,VLOOKUP(Info!$C$10,Rates!$A$14:$B$19,2,FALSE),IF(AJ62&lt;5,VLOOKUP(Info!$C$10,Rates!$A$14:$C$19,3,FALSE),VLOOKUP(Info!$C$10,Rates!$A$14:$D$19,4,FALSE)))),0)</f>
        <v/>
      </c>
      <c r="F62" s="13">
        <f>IF(AI62&lt;&gt;"",IF(Info!$C$16="بله",IF(AND(AJ62&lt;=Info!$F$20,AJ62&gt;=Info!$I$20),Info!$C$20,0)+(AG62-Y62-L62-K62-J62-I62-H62-G62),IF(AND(AJ62&lt;=Info!$F$20,AJ62&gt;=Info!$I$20),Info!$C$20,0)+(AG62-Y62-K62-J62-I62-H62-G62)),"")</f>
        <v/>
      </c>
      <c r="G62" s="106">
        <f>IF(AI62&lt;&gt;"",Rates!$AA$11*(L62),"")</f>
        <v/>
      </c>
      <c r="H62" s="106">
        <f>IF(AI62&lt;&gt;"",(Rates!$AC$11+Rates!$AB$11)*(L62),"")</f>
        <v/>
      </c>
      <c r="I62" s="13">
        <f>IF(AI62&lt;&gt;"",LOOKUP(Info!$C$8,Rates!$I$2:$I$7,Rates!$H$2:$H$7)*(J62+K62+L62+Y62),"")</f>
        <v/>
      </c>
      <c r="J62" s="13">
        <f>IF(N62="",0,N62)+IF(P62="",0,P62)+IF(Q62="",0,Q62)</f>
        <v/>
      </c>
      <c r="K62" s="13">
        <f>IF(Y62&lt;&gt;"",Info!$C$18*Y62,"")</f>
        <v/>
      </c>
      <c r="L62" s="13">
        <f>IF(R62="",0,R62)+IF(U62="",0,U62)+IF(W62="",0,W62)+IF(V62="",0,V62)+IF(T62="",0,T62)</f>
        <v/>
      </c>
      <c r="M62" s="13" t="n">
        <v>0</v>
      </c>
      <c r="N62" s="13" t="n">
        <v>0</v>
      </c>
      <c r="O62" s="12">
        <f>IF(AJ62&lt;=10,(1-Info!$C$25)*IF(OR(Info!$F$8&gt;0,Info!$F$10&gt;0),IF(0.75*$X$4&lt;=0.03*$AD$4,0.75*(X62-X61),0.03*(AD62-AD61)),0),"")</f>
        <v/>
      </c>
      <c r="P62" s="13">
        <f>IF(AJ62&lt;=5,IF(AI62&lt;&gt;"",0.002*AD62,"")*(1-Info!$I$25),0)</f>
        <v/>
      </c>
      <c r="Q62" s="13">
        <f>(1-Info!$F$25)*IF(AI62&lt;&gt;"",IF(Info!$C$16="بله",0.07*X62,0.07*AG62),"")</f>
        <v/>
      </c>
      <c r="R62" s="13">
        <f>IF(X62&lt;&gt;0,S62*X62,0)*(1-Info!$F$29)</f>
        <v/>
      </c>
      <c r="S62" s="106">
        <f>IF(Info!$I$14="خیر",0,IF(Info!$F$14="بله",IF(Info!$C$14=1,2.3,IF(Info!$C$14=2,3.3,4.3)),1))*IF(AND(AH62&lt;=Rates!$Y$8,AH62&gt;0),(1+Info!$C$18)*(1+LOOKUP(Info!$F$18,Rates!$O$2:$O$9,Rates!$L$2:$L$9)/100)*(LOOKUP(Info!$C$6,Rates!$T$2:$T$108,Rates!$R$2:$R$108)/100),0)</f>
        <v/>
      </c>
      <c r="T62" s="13">
        <f>IF(AI62&lt;71,(1-Info!$F$27)*((AB62*0.0008*(1+(LOOKUP(Info!$I$18,Rates!$O$2:$O$9,Rates!$M$2:$M$9)/100)))),0)</f>
        <v/>
      </c>
      <c r="U62" s="13">
        <f>IF(AI62&lt;71,(1-Info!$I$27)*(((AD62*0.0008*Info!$L$14))*(1+(LOOKUP(Info!$I$18,Rates!$O:$O,Rates!$N:$N)/100))),0)</f>
        <v/>
      </c>
      <c r="V62" s="13">
        <f>((Z62*0.0008))*(1+(LOOKUP(Info!$I$18,Rates!$O$2:$O$9,Rates!$M$2:$M$9)/100))*(1-Info!$C$27)</f>
        <v/>
      </c>
      <c r="W62" s="13">
        <f>IF(AND(AI62&lt;=Rates!$Y$2,AJ62&lt;=Info!$I$6,Info!$F$16="معمولی"),VLOOKUP(AI62,Rates!$T$1:$X$108,5,0),IF(AND(AI62&lt;=Rates!$Y$2,AJ62&lt;=Info!$I$6,Info!$F$16="پایه"),VLOOKUP(AI62,Rates!$T$1:$X$108,2,0),IF(AND(AI62&lt;=Rates!$Y$2,AJ62&lt;=Info!$I$6,Info!$F$16="آسایش "),VLOOKUP(AI62,Rates!$T$1:$X$108,3,0),IF(AND(AI62&lt;=Rates!$Y$2,AJ62&lt;=Info!$I$6,Info!$F$16="ممتاز"),VLOOKUP(AI62,Rates!$T$1:$X$108,4,0),0))))*AA62/1000000*(1+Info!$C$18)*(1-Info!$I$29)</f>
        <v/>
      </c>
      <c r="X62" s="113">
        <f>IF(Info!$C$16="بله",(AG62-W62-U62-V62-T62)/(1+S62),AG62)</f>
        <v/>
      </c>
      <c r="Y62" s="106">
        <f>IF(AI62&lt;&gt;0,(AD62*LOOKUP(AI62,Rates!$T$2:$T$108,Rates!$S$2:$S$108))/SQRT(1.1),0)</f>
        <v/>
      </c>
      <c r="Z62" s="106">
        <f>IF(AND(AI62&lt;=Rates!$Y$10,AI62&gt;=0),Info!$C$12*(AC62-AD62),0)</f>
        <v/>
      </c>
      <c r="AA62" s="13">
        <f>IF(AND(AI62&gt;=0,AI62&lt;=Rates!$Y$2,AG62&gt;0),MIN(AA61*(1+Info!$F$10),5000000000),0)</f>
        <v/>
      </c>
      <c r="AB62" s="106">
        <f>IF(AND(AI62&gt;=0,AI62&lt;=65),AD62*Info!$L$16,0)</f>
        <v/>
      </c>
      <c r="AC62" s="13">
        <f>IF(AND(AI62&gt;=0,AI62&lt;=Rates!$Y$3),AD62*(1+Info!$L$14),AD62)</f>
        <v/>
      </c>
      <c r="AD62" s="106">
        <f>IF(AI62&lt;&gt;0,AD61*(1+Info!$F$10),0)</f>
        <v/>
      </c>
      <c r="AE62" s="105">
        <f>IF(AI62&lt;&gt;0,AF62+AE61,0)</f>
        <v/>
      </c>
      <c r="AF62" s="13">
        <f>IF(AI62&gt;=0,IF(Info!$C$16="بله",AG62,AG62+L62),"")</f>
        <v/>
      </c>
      <c r="AG62" s="107">
        <f>IF(AI62&lt;&gt;0,AG61*(1+Info!$F$8),0)</f>
        <v/>
      </c>
      <c r="AH62" s="111">
        <f>IF(AJ62&lt;&gt;"",Info!$C$6+AJ62-1,0)</f>
        <v/>
      </c>
      <c r="AI62" s="17">
        <f>IF(AJ62&lt;&gt;"",IF(Info!$F$6+AJ62-1&lt;=Rates!$Y$11,Info!$F$6+AJ62-1,0),0)</f>
        <v/>
      </c>
      <c r="AJ62" s="18">
        <f>IF(AI61&lt;&gt;"",IF(AND(AJ61&lt;&gt;"",AI61+1&lt;=Rates!$Y$11),IF(AJ61&lt;&gt;0,IF(AJ61+1&lt;=Info!$I$6,AJ61+1,""),0),""),"")</f>
        <v/>
      </c>
    </row>
    <row r="63" ht="14.25" customFormat="1" customHeight="1" s="164">
      <c r="A63" s="11">
        <f>IF(B63&gt;0,IF(Info!$C$16="بله",AG63/B63,(AG63+L63)/B63),0)</f>
        <v/>
      </c>
      <c r="B63" s="11">
        <f>IF(AND(AI63&gt;=0,AJ63&lt;=Info!$I$6),LOOKUP(Info!$C$8,Rates!$I$2:$I$7,Rates!$F$2:$F$7),0)</f>
        <v/>
      </c>
      <c r="C63" s="12">
        <f>IF(AND(AI63&gt;=0,AJ63&lt;=Info!$I$6),F63+F63*(IF(AJ63&lt;3,VLOOKUP(Info!$C$10,Rates!$A$15:$B$19,2,FALSE),IF(AJ63&lt;5,VLOOKUP(Info!$C$10,Rates!$A$15:$C$19,3,FALSE),VLOOKUP(Info!$C$10,Rates!$A$15:$D$19,4,FALSE)))+(Info!$I$22-IF(AJ63&gt;4,LOOKUP(Info!$C$10,Rates!$D$2:$D$7,Rates!$A$2:$A$7),LOOKUP(Info!$C$10,Rates!$D$2:$D$7,Rates!$C$2:$C$7))))*LOOKUP(Info!$C$8,Rates!$I$2:$I$7,Rates!$G$2:$G$7)+C62*(1+IF(AJ63&lt;3,VLOOKUP(Info!$C$10,Rates!$A$15:$B$19,2,FALSE),IF(AJ63&lt;5,VLOOKUP(Info!$C$10,Rates!$A$15:$C$19,3,FALSE),VLOOKUP(Info!$C$10,Rates!$A$15:$D$19,4,FALSE)))+(Info!$I$22-IF(AJ63&lt;3,VLOOKUP(Info!$C$10,Rates!$A$15:$B$19,2,FALSE),IF(AJ63&lt;5,VLOOKUP(Info!$C$10,Rates!$A$15:$C$19,3,FALSE),VLOOKUP(Info!$C$10,Rates!$A$15:$D$19,4,FALSE))))),0)</f>
        <v/>
      </c>
      <c r="D63" s="12">
        <f>IF(AI63&lt;&gt;"",E63,"")</f>
        <v/>
      </c>
      <c r="E63" s="12">
        <f>IF(AI63&lt;&gt;0,F63*(1+IF(AJ63&lt;3,VLOOKUP(Info!$C$10,Rates!$A$14:$B$19,2,FALSE),IF(AJ63&lt;5,VLOOKUP(Info!$C$10,Rates!$A$14:$C$19,3,FALSE),VLOOKUP(Info!$C$10,Rates!$A$14:$D$19,4,FALSE)))*LOOKUP(Info!$C$8,Rates!$I$2:$I$8,Rates!$G$2:$G$8))+E62*(1+IF(AJ63&lt;3,VLOOKUP(Info!$C$10,Rates!$A$14:$B$19,2,FALSE),IF(AJ63&lt;5,VLOOKUP(Info!$C$10,Rates!$A$14:$C$19,3,FALSE),VLOOKUP(Info!$C$10,Rates!$A$14:$D$19,4,FALSE)))),0)</f>
        <v/>
      </c>
      <c r="F63" s="12">
        <f>IF(AI63&lt;&gt;"",IF(Info!$C$16="بله",IF(AND(AJ63&lt;=Info!$F$20,AJ63&gt;=Info!$I$20),Info!$C$20,0)+(AG63-Y63-L63-K63-J63-I63-H63-G63),IF(AND(AJ63&lt;=Info!$F$20,AJ63&gt;=Info!$I$20),Info!$C$20,0)+(AG63-Y63-K63-J63-I63-H63-G63)),"")</f>
        <v/>
      </c>
      <c r="G63" s="107">
        <f>IF(AI63&lt;&gt;"",Rates!$AA$11*(L63),"")</f>
        <v/>
      </c>
      <c r="H63" s="107">
        <f>IF(AI63&lt;&gt;"",(Rates!$AC$11+Rates!$AB$11)*(L63),"")</f>
        <v/>
      </c>
      <c r="I63" s="12">
        <f>IF(AI63&lt;&gt;"",LOOKUP(Info!$C$8,Rates!$I$2:$I$7,Rates!$H$2:$H$7)*(J63+K63+L63+Y63),"")</f>
        <v/>
      </c>
      <c r="J63" s="12">
        <f>IF(N63="",0,N63)+IF(P63="",0,P63)+IF(Q63="",0,Q63)</f>
        <v/>
      </c>
      <c r="K63" s="12">
        <f>IF(Y63&lt;&gt;"",Info!$C$18*Y63,"")</f>
        <v/>
      </c>
      <c r="L63" s="12">
        <f>IF(R63="",0,R63)+IF(U63="",0,U63)+IF(W63="",0,W63)+IF(V63="",0,V63)+IF(T63="",0,T63)</f>
        <v/>
      </c>
      <c r="M63" s="12" t="n">
        <v>0</v>
      </c>
      <c r="N63" s="12" t="n">
        <v>0</v>
      </c>
      <c r="O63" s="12">
        <f>IF(AJ63&lt;=10,(1-Info!$C$25)*IF(OR(Info!$F$8&gt;0,Info!$F$10&gt;0),IF(0.75*$X$4&lt;=0.03*$AD$4,0.75*(X63-X62),0.03*(AD63-AD62)),0),"")</f>
        <v/>
      </c>
      <c r="P63" s="12">
        <f>IF(AJ63&lt;=5,IF(AI63&lt;&gt;"",0.002*AD63,"")*(1-Info!$I$25),0)</f>
        <v/>
      </c>
      <c r="Q63" s="12">
        <f>(1-Info!$F$25)*IF(AI63&lt;&gt;"",IF(Info!$C$16="بله",0.07*X63,0.07*AG63),"")</f>
        <v/>
      </c>
      <c r="R63" s="12">
        <f>IF(X63&lt;&gt;0,S63*X63,0)*(1-Info!$F$29)</f>
        <v/>
      </c>
      <c r="S63" s="107">
        <f>IF(Info!$I$14="خیر",0,IF(Info!$F$14="بله",IF(Info!$C$14=1,2.3,IF(Info!$C$14=2,3.3,4.3)),1))*IF(AND(AH63&lt;=Rates!$Y$8,AH63&gt;0),(1+Info!$C$18)*(1+LOOKUP(Info!$F$18,Rates!$O$2:$O$9,Rates!$L$2:$L$9)/100)*(LOOKUP(Info!$C$6,Rates!$T$2:$T$108,Rates!$R$2:$R$108)/100),0)</f>
        <v/>
      </c>
      <c r="T63" s="12">
        <f>IF(AI63&lt;71,(1-Info!$F$27)*((AB63*0.0008*(1+(LOOKUP(Info!$I$18,Rates!$O$2:$O$9,Rates!$M$2:$M$9)/100)))),0)</f>
        <v/>
      </c>
      <c r="U63" s="12">
        <f>IF(AI63&lt;71,(1-Info!$I$27)*(((AD63*0.0008*Info!$L$14))*(1+(LOOKUP(Info!$I$18,Rates!$O:$O,Rates!$N:$N)/100))),0)</f>
        <v/>
      </c>
      <c r="V63" s="12">
        <f>((Z63*0.0008))*(1+(LOOKUP(Info!$I$18,Rates!$O$2:$O$9,Rates!$M$2:$M$9)/100))*(1-Info!$C$27)</f>
        <v/>
      </c>
      <c r="W63" s="12">
        <f>IF(AND(AI63&lt;=Rates!$Y$2,AJ63&lt;=Info!$I$6,Info!$F$16="معمولی"),VLOOKUP(AI63,Rates!$T$1:$X$108,5,0),IF(AND(AI63&lt;=Rates!$Y$2,AJ63&lt;=Info!$I$6,Info!$F$16="پایه"),VLOOKUP(AI63,Rates!$T$1:$X$108,2,0),IF(AND(AI63&lt;=Rates!$Y$2,AJ63&lt;=Info!$I$6,Info!$F$16="آسایش "),VLOOKUP(AI63,Rates!$T$1:$X$108,3,0),IF(AND(AI63&lt;=Rates!$Y$2,AJ63&lt;=Info!$I$6,Info!$F$16="ممتاز"),VLOOKUP(AI63,Rates!$T$1:$X$108,4,0),0))))*AA63/1000000*(1+Info!$C$18)*(1-Info!$I$29)</f>
        <v/>
      </c>
      <c r="X63" s="12">
        <f>IF(Info!$C$16="بله",(AG63-W63-U63-V63-T63)/(1+S63),AG63)</f>
        <v/>
      </c>
      <c r="Y63" s="107">
        <f>IF(AI63&lt;&gt;0,(AD63*LOOKUP(AI63,Rates!$T$2:$T$108,Rates!$S$2:$S$108))/SQRT(1.1),0)</f>
        <v/>
      </c>
      <c r="Z63" s="107">
        <f>IF(AND(AI63&lt;=Rates!$Y$10,AI63&gt;=0),Info!$C$12*(AC63-AD63),0)</f>
        <v/>
      </c>
      <c r="AA63" s="12">
        <f>IF(AND(AI63&gt;=0,AI63&lt;=Rates!$Y$2,AG63&gt;0),MIN(AA62*(1+Info!$F$10),5000000000),0)</f>
        <v/>
      </c>
      <c r="AB63" s="107">
        <f>IF(AND(AI63&gt;=0,AI63&lt;=65),AD63*Info!$L$16,0)</f>
        <v/>
      </c>
      <c r="AC63" s="12">
        <f>IF(AND(AI63&gt;=0,AI63&lt;=Rates!$Y$3),AD63*(1+Info!$L$14),AD63)</f>
        <v/>
      </c>
      <c r="AD63" s="107">
        <f>IF(AI63&lt;&gt;0,AD62*(1+Info!$F$10),0)</f>
        <v/>
      </c>
      <c r="AE63" s="104">
        <f>IF(AI63&lt;&gt;0,AF63+AE62,0)</f>
        <v/>
      </c>
      <c r="AF63" s="12">
        <f>IF(AI63&gt;=0,IF(Info!$C$16="بله",AG63,AG63+L63),"")</f>
        <v/>
      </c>
      <c r="AG63" s="107">
        <f>IF(AI63&lt;&gt;0,AG62*(1+Info!$F$8),0)</f>
        <v/>
      </c>
      <c r="AH63" s="110">
        <f>IF(AJ63&lt;&gt;"",Info!$C$6+AJ63-1,0)</f>
        <v/>
      </c>
      <c r="AI63" s="14">
        <f>IF(AJ63&lt;&gt;"",IF(Info!$F$6+AJ63-1&lt;=Rates!$Y$11,Info!$F$6+AJ63-1,0),0)</f>
        <v/>
      </c>
      <c r="AJ63" s="15">
        <f>IF(AI62&lt;&gt;"",IF(AND(AJ62&lt;&gt;"",AI62+1&lt;=Rates!$Y$11),IF(AJ62&lt;&gt;0,IF(AJ62+1&lt;=Info!$I$6,AJ62+1,""),0),""),"")</f>
        <v/>
      </c>
    </row>
    <row r="64" ht="14.25" customFormat="1" customHeight="1" s="164">
      <c r="A64" s="16">
        <f>IF(B64&gt;0,IF(Info!$C$16="بله",AG64/B64,(AG64+L64)/B64),0)</f>
        <v/>
      </c>
      <c r="B64" s="16">
        <f>IF(AND(AI64&gt;=0,AJ64&lt;=Info!$I$6),LOOKUP(Info!$C$8,Rates!$I$2:$I$7,Rates!$F$2:$F$7),0)</f>
        <v/>
      </c>
      <c r="C64" s="13">
        <f>IF(AND(AI64&gt;=0,AJ64&lt;=Info!$I$6),F64+F64*(IF(AJ64&lt;3,VLOOKUP(Info!$C$10,Rates!$A$15:$B$19,2,FALSE),IF(AJ64&lt;5,VLOOKUP(Info!$C$10,Rates!$A$15:$C$19,3,FALSE),VLOOKUP(Info!$C$10,Rates!$A$15:$D$19,4,FALSE)))+(Info!$I$22-IF(AJ64&gt;4,LOOKUP(Info!$C$10,Rates!$D$2:$D$7,Rates!$A$2:$A$7),LOOKUP(Info!$C$10,Rates!$D$2:$D$7,Rates!$C$2:$C$7))))*LOOKUP(Info!$C$8,Rates!$I$2:$I$7,Rates!$G$2:$G$7)+C63*(1+IF(AJ64&lt;3,VLOOKUP(Info!$C$10,Rates!$A$15:$B$19,2,FALSE),IF(AJ64&lt;5,VLOOKUP(Info!$C$10,Rates!$A$15:$C$19,3,FALSE),VLOOKUP(Info!$C$10,Rates!$A$15:$D$19,4,FALSE)))+(Info!$I$22-IF(AJ64&lt;3,VLOOKUP(Info!$C$10,Rates!$A$15:$B$19,2,FALSE),IF(AJ64&lt;5,VLOOKUP(Info!$C$10,Rates!$A$15:$C$19,3,FALSE),VLOOKUP(Info!$C$10,Rates!$A$15:$D$19,4,FALSE))))),0)</f>
        <v/>
      </c>
      <c r="D64" s="13">
        <f>IF(AI64&lt;&gt;"",E64,"")</f>
        <v/>
      </c>
      <c r="E64" s="12">
        <f>IF(AI64&lt;&gt;0,F64*(1+IF(AJ64&lt;3,VLOOKUP(Info!$C$10,Rates!$A$14:$B$19,2,FALSE),IF(AJ64&lt;5,VLOOKUP(Info!$C$10,Rates!$A$14:$C$19,3,FALSE),VLOOKUP(Info!$C$10,Rates!$A$14:$D$19,4,FALSE)))*LOOKUP(Info!$C$8,Rates!$I$2:$I$8,Rates!$G$2:$G$8))+E63*(1+IF(AJ64&lt;3,VLOOKUP(Info!$C$10,Rates!$A$14:$B$19,2,FALSE),IF(AJ64&lt;5,VLOOKUP(Info!$C$10,Rates!$A$14:$C$19,3,FALSE),VLOOKUP(Info!$C$10,Rates!$A$14:$D$19,4,FALSE)))),0)</f>
        <v/>
      </c>
      <c r="F64" s="13">
        <f>IF(AI64&lt;&gt;"",IF(Info!$C$16="بله",IF(AND(AJ64&lt;=Info!$F$20,AJ64&gt;=Info!$I$20),Info!$C$20,0)+(AG64-Y64-L64-K64-J64-I64-H64-G64),IF(AND(AJ64&lt;=Info!$F$20,AJ64&gt;=Info!$I$20),Info!$C$20,0)+(AG64-Y64-K64-J64-I64-H64-G64)),"")</f>
        <v/>
      </c>
      <c r="G64" s="106">
        <f>IF(AI64&lt;&gt;"",Rates!$AA$11*(L64),"")</f>
        <v/>
      </c>
      <c r="H64" s="106">
        <f>IF(AI64&lt;&gt;"",(Rates!$AC$11+Rates!$AB$11)*(L64),"")</f>
        <v/>
      </c>
      <c r="I64" s="13">
        <f>IF(AI64&lt;&gt;"",LOOKUP(Info!$C$8,Rates!$I$2:$I$7,Rates!$H$2:$H$7)*(J64+K64+L64+Y64),"")</f>
        <v/>
      </c>
      <c r="J64" s="13">
        <f>IF(N64="",0,N64)+IF(P64="",0,P64)+IF(Q64="",0,Q64)</f>
        <v/>
      </c>
      <c r="K64" s="13">
        <f>IF(Y64&lt;&gt;"",Info!$C$18*Y64,"")</f>
        <v/>
      </c>
      <c r="L64" s="13">
        <f>IF(R64="",0,R64)+IF(U64="",0,U64)+IF(W64="",0,W64)+IF(V64="",0,V64)+IF(T64="",0,T64)</f>
        <v/>
      </c>
      <c r="M64" s="13" t="n">
        <v>0</v>
      </c>
      <c r="N64" s="13" t="n">
        <v>0</v>
      </c>
      <c r="O64" s="12">
        <f>IF(AJ64&lt;=10,(1-Info!$C$25)*IF(OR(Info!$F$8&gt;0,Info!$F$10&gt;0),IF(0.75*$X$4&lt;=0.03*$AD$4,0.75*(X64-X63),0.03*(AD64-AD63)),0),"")</f>
        <v/>
      </c>
      <c r="P64" s="13">
        <f>IF(AJ64&lt;=5,IF(AI64&lt;&gt;"",0.002*AD64,"")*(1-Info!$I$25),0)</f>
        <v/>
      </c>
      <c r="Q64" s="13">
        <f>(1-Info!$F$25)*IF(AI64&lt;&gt;"",IF(Info!$C$16="بله",0.07*X64,0.07*AG64),"")</f>
        <v/>
      </c>
      <c r="R64" s="13">
        <f>IF(X64&lt;&gt;0,S64*X64,0)*(1-Info!$F$29)</f>
        <v/>
      </c>
      <c r="S64" s="106">
        <f>IF(Info!$I$14="خیر",0,IF(Info!$F$14="بله",IF(Info!$C$14=1,2.3,IF(Info!$C$14=2,3.3,4.3)),1))*IF(AND(AH64&lt;=Rates!$Y$8,AH64&gt;0),(1+Info!$C$18)*(1+LOOKUP(Info!$F$18,Rates!$O$2:$O$9,Rates!$L$2:$L$9)/100)*(LOOKUP(Info!$C$6,Rates!$T$2:$T$108,Rates!$R$2:$R$108)/100),0)</f>
        <v/>
      </c>
      <c r="T64" s="13">
        <f>IF(AI64&lt;71,(1-Info!$F$27)*((AB64*0.0008*(1+(LOOKUP(Info!$I$18,Rates!$O$2:$O$9,Rates!$M$2:$M$9)/100)))),0)</f>
        <v/>
      </c>
      <c r="U64" s="13">
        <f>IF(AI64&lt;71,(1-Info!$I$27)*(((AD64*0.0008*Info!$L$14))*(1+(LOOKUP(Info!$I$18,Rates!$O:$O,Rates!$N:$N)/100))),0)</f>
        <v/>
      </c>
      <c r="V64" s="13">
        <f>((Z64*0.0008))*(1+(LOOKUP(Info!$I$18,Rates!$O$2:$O$9,Rates!$M$2:$M$9)/100))*(1-Info!$C$27)</f>
        <v/>
      </c>
      <c r="W64" s="13">
        <f>IF(AND(AI64&lt;=Rates!$Y$2,AJ64&lt;=Info!$I$6,Info!$F$16="معمولی"),VLOOKUP(AI64,Rates!$T$1:$X$108,5,0),IF(AND(AI64&lt;=Rates!$Y$2,AJ64&lt;=Info!$I$6,Info!$F$16="پایه"),VLOOKUP(AI64,Rates!$T$1:$X$108,2,0),IF(AND(AI64&lt;=Rates!$Y$2,AJ64&lt;=Info!$I$6,Info!$F$16="آسایش "),VLOOKUP(AI64,Rates!$T$1:$X$108,3,0),IF(AND(AI64&lt;=Rates!$Y$2,AJ64&lt;=Info!$I$6,Info!$F$16="ممتاز"),VLOOKUP(AI64,Rates!$T$1:$X$108,4,0),0))))*AA64/1000000*(1+Info!$C$18)*(1-Info!$I$29)</f>
        <v/>
      </c>
      <c r="X64" s="113">
        <f>IF(Info!$C$16="بله",(AG64-W64-U64-V64-T64)/(1+S64),AG64)</f>
        <v/>
      </c>
      <c r="Y64" s="106">
        <f>IF(AI64&lt;&gt;0,(AD64*LOOKUP(AI64,Rates!$T$2:$T$108,Rates!$S$2:$S$108))/SQRT(1.1),0)</f>
        <v/>
      </c>
      <c r="Z64" s="106">
        <f>IF(AND(AI64&lt;=Rates!$Y$10,AI64&gt;=0),Info!$C$12*(AC64-AD64),0)</f>
        <v/>
      </c>
      <c r="AA64" s="13">
        <f>IF(AND(AI64&gt;=0,AI64&lt;=Rates!$Y$2,AG64&gt;0),MIN(AA63*(1+Info!$F$10),5000000000),0)</f>
        <v/>
      </c>
      <c r="AB64" s="106">
        <f>IF(AND(AI64&gt;=0,AI64&lt;=65),AD64*Info!$L$16,0)</f>
        <v/>
      </c>
      <c r="AC64" s="13">
        <f>IF(AND(AI64&gt;=0,AI64&lt;=Rates!$Y$3),AD64*(1+Info!$L$14),AD64)</f>
        <v/>
      </c>
      <c r="AD64" s="106">
        <f>IF(AI64&lt;&gt;0,AD63*(1+Info!$F$10),0)</f>
        <v/>
      </c>
      <c r="AE64" s="105">
        <f>IF(AI64&lt;&gt;0,AF64+AE63,0)</f>
        <v/>
      </c>
      <c r="AF64" s="13">
        <f>IF(AI64&gt;=0,IF(Info!$C$16="بله",AG64,AG64+L64),"")</f>
        <v/>
      </c>
      <c r="AG64" s="107">
        <f>IF(AI64&lt;&gt;0,AG63*(1+Info!$F$8),0)</f>
        <v/>
      </c>
      <c r="AH64" s="111">
        <f>IF(AJ64&lt;&gt;"",Info!$C$6+AJ64-1,0)</f>
        <v/>
      </c>
      <c r="AI64" s="17">
        <f>IF(AJ64&lt;&gt;"",IF(Info!$F$6+AJ64-1&lt;=Rates!$Y$11,Info!$F$6+AJ64-1,0),0)</f>
        <v/>
      </c>
      <c r="AJ64" s="18">
        <f>IF(AI63&lt;&gt;"",IF(AND(AJ63&lt;&gt;"",AI63+1&lt;=Rates!$Y$11),IF(AJ63&lt;&gt;0,IF(AJ63+1&lt;=Info!$I$6,AJ63+1,""),0),""),"")</f>
        <v/>
      </c>
    </row>
    <row r="65" ht="14.25" customFormat="1" customHeight="1" s="164">
      <c r="A65" s="11">
        <f>IF(B65&gt;0,IF(Info!$C$16="بله",AG65/B65,(AG65+L65)/B65),0)</f>
        <v/>
      </c>
      <c r="B65" s="11">
        <f>IF(AND(AI65&gt;=0,AJ65&lt;=Info!$I$6),LOOKUP(Info!$C$8,Rates!$I$2:$I$7,Rates!$F$2:$F$7),0)</f>
        <v/>
      </c>
      <c r="C65" s="12">
        <f>IF(AND(AI65&gt;=0,AJ65&lt;=Info!$I$6),F65+F65*(IF(AJ65&lt;3,VLOOKUP(Info!$C$10,Rates!$A$15:$B$19,2,FALSE),IF(AJ65&lt;5,VLOOKUP(Info!$C$10,Rates!$A$15:$C$19,3,FALSE),VLOOKUP(Info!$C$10,Rates!$A$15:$D$19,4,FALSE)))+(Info!$I$22-IF(AJ65&gt;4,LOOKUP(Info!$C$10,Rates!$D$2:$D$7,Rates!$A$2:$A$7),LOOKUP(Info!$C$10,Rates!$D$2:$D$7,Rates!$C$2:$C$7))))*LOOKUP(Info!$C$8,Rates!$I$2:$I$7,Rates!$G$2:$G$7)+C64*(1+IF(AJ65&lt;3,VLOOKUP(Info!$C$10,Rates!$A$15:$B$19,2,FALSE),IF(AJ65&lt;5,VLOOKUP(Info!$C$10,Rates!$A$15:$C$19,3,FALSE),VLOOKUP(Info!$C$10,Rates!$A$15:$D$19,4,FALSE)))+(Info!$I$22-IF(AJ65&lt;3,VLOOKUP(Info!$C$10,Rates!$A$15:$B$19,2,FALSE),IF(AJ65&lt;5,VLOOKUP(Info!$C$10,Rates!$A$15:$C$19,3,FALSE),VLOOKUP(Info!$C$10,Rates!$A$15:$D$19,4,FALSE))))),0)</f>
        <v/>
      </c>
      <c r="D65" s="12">
        <f>IF(AI65&lt;&gt;"",E65,"")</f>
        <v/>
      </c>
      <c r="E65" s="12">
        <f>IF(AI65&lt;&gt;0,F65*(1+IF(AJ65&lt;3,VLOOKUP(Info!$C$10,Rates!$A$14:$B$19,2,FALSE),IF(AJ65&lt;5,VLOOKUP(Info!$C$10,Rates!$A$14:$C$19,3,FALSE),VLOOKUP(Info!$C$10,Rates!$A$14:$D$19,4,FALSE)))*LOOKUP(Info!$C$8,Rates!$I$2:$I$8,Rates!$G$2:$G$8))+E64*(1+IF(AJ65&lt;3,VLOOKUP(Info!$C$10,Rates!$A$14:$B$19,2,FALSE),IF(AJ65&lt;5,VLOOKUP(Info!$C$10,Rates!$A$14:$C$19,3,FALSE),VLOOKUP(Info!$C$10,Rates!$A$14:$D$19,4,FALSE)))),0)</f>
        <v/>
      </c>
      <c r="F65" s="12">
        <f>IF(AI65&lt;&gt;"",IF(Info!$C$16="بله",IF(AND(AJ65&lt;=Info!$F$20,AJ65&gt;=Info!$I$20),Info!$C$20,0)+(AG65-Y65-L65-K65-J65-I65-H65-G65),IF(AND(AJ65&lt;=Info!$F$20,AJ65&gt;=Info!$I$20),Info!$C$20,0)+(AG65-Y65-K65-J65-I65-H65-G65)),"")</f>
        <v/>
      </c>
      <c r="G65" s="107">
        <f>IF(AI65&lt;&gt;"",Rates!$AA$11*(L65),"")</f>
        <v/>
      </c>
      <c r="H65" s="107">
        <f>IF(AI65&lt;&gt;"",(Rates!$AC$11+Rates!$AB$11)*(L65),"")</f>
        <v/>
      </c>
      <c r="I65" s="12">
        <f>IF(AI65&lt;&gt;"",LOOKUP(Info!$C$8,Rates!$I$2:$I$7,Rates!$H$2:$H$7)*(J65+K65+L65+Y65),"")</f>
        <v/>
      </c>
      <c r="J65" s="12">
        <f>IF(N65="",0,N65)+IF(P65="",0,P65)+IF(Q65="",0,Q65)</f>
        <v/>
      </c>
      <c r="K65" s="12">
        <f>IF(Y65&lt;&gt;"",Info!$C$18*Y65,"")</f>
        <v/>
      </c>
      <c r="L65" s="12">
        <f>IF(R65="",0,R65)+IF(U65="",0,U65)+IF(W65="",0,W65)+IF(V65="",0,V65)+IF(T65="",0,T65)</f>
        <v/>
      </c>
      <c r="M65" s="12" t="n">
        <v>0</v>
      </c>
      <c r="N65" s="12" t="n">
        <v>0</v>
      </c>
      <c r="O65" s="12">
        <f>IF(AJ65&lt;=10,(1-Info!$C$25)*IF(OR(Info!$F$8&gt;0,Info!$F$10&gt;0),IF(0.75*$X$4&lt;=0.03*$AD$4,0.75*(X65-X64),0.03*(AD65-AD64)),0),"")</f>
        <v/>
      </c>
      <c r="P65" s="12">
        <f>IF(AJ65&lt;=5,IF(AI65&lt;&gt;"",0.002*AD65,"")*(1-Info!$I$25),0)</f>
        <v/>
      </c>
      <c r="Q65" s="12">
        <f>(1-Info!$F$25)*IF(AI65&lt;&gt;"",IF(Info!$C$16="بله",0.07*X65,0.07*AG65),"")</f>
        <v/>
      </c>
      <c r="R65" s="12">
        <f>IF(X65&lt;&gt;0,S65*X65,0)*(1-Info!$F$29)</f>
        <v/>
      </c>
      <c r="S65" s="107">
        <f>IF(Info!$I$14="خیر",0,IF(Info!$F$14="بله",IF(Info!$C$14=1,2.3,IF(Info!$C$14=2,3.3,4.3)),1))*IF(AND(AH65&lt;=Rates!$Y$8,AH65&gt;0),(1+Info!$C$18)*(1+LOOKUP(Info!$F$18,Rates!$O$2:$O$9,Rates!$L$2:$L$9)/100)*(LOOKUP(Info!$C$6,Rates!$T$2:$T$108,Rates!$R$2:$R$108)/100),0)</f>
        <v/>
      </c>
      <c r="T65" s="12">
        <f>IF(AI65&lt;71,(1-Info!$F$27)*((AB65*0.0008*(1+(LOOKUP(Info!$I$18,Rates!$O$2:$O$9,Rates!$M$2:$M$9)/100)))),0)</f>
        <v/>
      </c>
      <c r="U65" s="12">
        <f>IF(AI65&lt;71,(1-Info!$I$27)*(((AD65*0.0008*Info!$L$14))*(1+(LOOKUP(Info!$I$18,Rates!$O:$O,Rates!$N:$N)/100))),0)</f>
        <v/>
      </c>
      <c r="V65" s="12">
        <f>((Z65*0.0008))*(1+(LOOKUP(Info!$I$18,Rates!$O$2:$O$9,Rates!$M$2:$M$9)/100))*(1-Info!$C$27)</f>
        <v/>
      </c>
      <c r="W65" s="12">
        <f>IF(AND(AI65&lt;=Rates!$Y$2,AJ65&lt;=Info!$I$6,Info!$F$16="معمولی"),VLOOKUP(AI65,Rates!$T$1:$X$108,5,0),IF(AND(AI65&lt;=Rates!$Y$2,AJ65&lt;=Info!$I$6,Info!$F$16="پایه"),VLOOKUP(AI65,Rates!$T$1:$X$108,2,0),IF(AND(AI65&lt;=Rates!$Y$2,AJ65&lt;=Info!$I$6,Info!$F$16="آسایش "),VLOOKUP(AI65,Rates!$T$1:$X$108,3,0),IF(AND(AI65&lt;=Rates!$Y$2,AJ65&lt;=Info!$I$6,Info!$F$16="ممتاز"),VLOOKUP(AI65,Rates!$T$1:$X$108,4,0),0))))*AA65/1000000*(1+Info!$C$18)*(1-Info!$I$29)</f>
        <v/>
      </c>
      <c r="X65" s="12">
        <f>IF(Info!$C$16="بله",(AG65-W65-U65-V65-T65)/(1+S65),AG65)</f>
        <v/>
      </c>
      <c r="Y65" s="107">
        <f>IF(AI65&lt;&gt;0,(AD65*LOOKUP(AI65,Rates!$T$2:$T$108,Rates!$S$2:$S$108))/SQRT(1.1),0)</f>
        <v/>
      </c>
      <c r="Z65" s="107">
        <f>IF(AND(AI65&lt;=Rates!$Y$10,AI65&gt;=0),Info!$C$12*(AC65-AD65),0)</f>
        <v/>
      </c>
      <c r="AA65" s="12">
        <f>IF(AND(AI65&gt;=0,AI65&lt;=Rates!$Y$2,AG65&gt;0),MIN(AA64*(1+Info!$F$10),5000000000),0)</f>
        <v/>
      </c>
      <c r="AB65" s="107">
        <f>IF(AND(AI65&gt;=0,AI65&lt;=65),AD65*Info!$L$16,0)</f>
        <v/>
      </c>
      <c r="AC65" s="12">
        <f>IF(AND(AI65&gt;=0,AI65&lt;=Rates!$Y$3),AD65*(1+Info!$L$14),AD65)</f>
        <v/>
      </c>
      <c r="AD65" s="107">
        <f>IF(AI65&lt;&gt;0,AD64*(1+Info!$F$10),0)</f>
        <v/>
      </c>
      <c r="AE65" s="104">
        <f>IF(AI65&lt;&gt;0,AF65+AE64,0)</f>
        <v/>
      </c>
      <c r="AF65" s="12">
        <f>IF(AI65&gt;=0,IF(Info!$C$16="بله",AG65,AG65+L65),"")</f>
        <v/>
      </c>
      <c r="AG65" s="107">
        <f>IF(AI65&lt;&gt;0,AG64*(1+Info!$F$8),0)</f>
        <v/>
      </c>
      <c r="AH65" s="110">
        <f>IF(AJ65&lt;&gt;"",Info!$C$6+AJ65-1,0)</f>
        <v/>
      </c>
      <c r="AI65" s="14">
        <f>IF(AJ65&lt;&gt;"",IF(Info!$F$6+AJ65-1&lt;=Rates!$Y$11,Info!$F$6+AJ65-1,0),0)</f>
        <v/>
      </c>
      <c r="AJ65" s="15">
        <f>IF(AI64&lt;&gt;"",IF(AND(AJ64&lt;&gt;"",AI64+1&lt;=Rates!$Y$11),IF(AJ64&lt;&gt;0,IF(AJ64+1&lt;=Info!$I$6,AJ64+1,""),0),""),"")</f>
        <v/>
      </c>
    </row>
    <row r="66" ht="14.25" customFormat="1" customHeight="1" s="164">
      <c r="A66" s="16">
        <f>IF(B66&gt;0,IF(Info!$C$16="بله",AG66/B66,(AG66+L66)/B66),0)</f>
        <v/>
      </c>
      <c r="B66" s="16">
        <f>IF(AND(AI66&gt;=0,AJ66&lt;=Info!$I$6),LOOKUP(Info!$C$8,Rates!$I$2:$I$7,Rates!$F$2:$F$7),0)</f>
        <v/>
      </c>
      <c r="C66" s="13">
        <f>IF(AND(AI66&gt;=0,AJ66&lt;=Info!$I$6),F66+F66*(IF(AJ66&lt;3,VLOOKUP(Info!$C$10,Rates!$A$15:$B$19,2,FALSE),IF(AJ66&lt;5,VLOOKUP(Info!$C$10,Rates!$A$15:$C$19,3,FALSE),VLOOKUP(Info!$C$10,Rates!$A$15:$D$19,4,FALSE)))+(Info!$I$22-IF(AJ66&gt;4,LOOKUP(Info!$C$10,Rates!$D$2:$D$7,Rates!$A$2:$A$7),LOOKUP(Info!$C$10,Rates!$D$2:$D$7,Rates!$C$2:$C$7))))*LOOKUP(Info!$C$8,Rates!$I$2:$I$7,Rates!$G$2:$G$7)+C65*(1+IF(AJ66&lt;3,VLOOKUP(Info!$C$10,Rates!$A$15:$B$19,2,FALSE),IF(AJ66&lt;5,VLOOKUP(Info!$C$10,Rates!$A$15:$C$19,3,FALSE),VLOOKUP(Info!$C$10,Rates!$A$15:$D$19,4,FALSE)))+(Info!$I$22-IF(AJ66&lt;3,VLOOKUP(Info!$C$10,Rates!$A$15:$B$19,2,FALSE),IF(AJ66&lt;5,VLOOKUP(Info!$C$10,Rates!$A$15:$C$19,3,FALSE),VLOOKUP(Info!$C$10,Rates!$A$15:$D$19,4,FALSE))))),0)</f>
        <v/>
      </c>
      <c r="D66" s="13">
        <f>IF(AI66&lt;&gt;"",E66,"")</f>
        <v/>
      </c>
      <c r="E66" s="12">
        <f>IF(AI66&lt;&gt;0,F66*(1+IF(AJ66&lt;3,VLOOKUP(Info!$C$10,Rates!$A$14:$B$19,2,FALSE),IF(AJ66&lt;5,VLOOKUP(Info!$C$10,Rates!$A$14:$C$19,3,FALSE),VLOOKUP(Info!$C$10,Rates!$A$14:$D$19,4,FALSE)))*LOOKUP(Info!$C$8,Rates!$I$2:$I$8,Rates!$G$2:$G$8))+E65*(1+IF(AJ66&lt;3,VLOOKUP(Info!$C$10,Rates!$A$14:$B$19,2,FALSE),IF(AJ66&lt;5,VLOOKUP(Info!$C$10,Rates!$A$14:$C$19,3,FALSE),VLOOKUP(Info!$C$10,Rates!$A$14:$D$19,4,FALSE)))),0)</f>
        <v/>
      </c>
      <c r="F66" s="13">
        <f>IF(AI66&lt;&gt;"",IF(Info!$C$16="بله",IF(AND(AJ66&lt;=Info!$F$20,AJ66&gt;=Info!$I$20),Info!$C$20,0)+(AG66-Y66-L66-K66-J66-I66-H66-G66),IF(AND(AJ66&lt;=Info!$F$20,AJ66&gt;=Info!$I$20),Info!$C$20,0)+(AG66-Y66-K66-J66-I66-H66-G66)),"")</f>
        <v/>
      </c>
      <c r="G66" s="106">
        <f>IF(AI66&lt;&gt;"",Rates!$AA$11*(L66),"")</f>
        <v/>
      </c>
      <c r="H66" s="106">
        <f>IF(AI66&lt;&gt;"",(Rates!$AC$11+Rates!$AB$11)*(L66),"")</f>
        <v/>
      </c>
      <c r="I66" s="13">
        <f>IF(AI66&lt;&gt;"",LOOKUP(Info!$C$8,Rates!$I$2:$I$7,Rates!$H$2:$H$7)*(J66+K66+L66+Y66),"")</f>
        <v/>
      </c>
      <c r="J66" s="13">
        <f>IF(N66="",0,N66)+IF(P66="",0,P66)+IF(Q66="",0,Q66)</f>
        <v/>
      </c>
      <c r="K66" s="13">
        <f>IF(Y66&lt;&gt;"",Info!$C$18*Y66,"")</f>
        <v/>
      </c>
      <c r="L66" s="13">
        <f>IF(R66="",0,R66)+IF(U66="",0,U66)+IF(W66="",0,W66)+IF(V66="",0,V66)+IF(T66="",0,T66)</f>
        <v/>
      </c>
      <c r="M66" s="13" t="n">
        <v>0</v>
      </c>
      <c r="N66" s="13" t="n">
        <v>0</v>
      </c>
      <c r="O66" s="12">
        <f>IF(AJ66&lt;=10,(1-Info!$C$25)*IF(OR(Info!$F$8&gt;0,Info!$F$10&gt;0),IF(0.75*$X$4&lt;=0.03*$AD$4,0.75*(X66-X65),0.03*(AD66-AD65)),0),"")</f>
        <v/>
      </c>
      <c r="P66" s="13">
        <f>IF(AJ66&lt;=5,IF(AI66&lt;&gt;"",0.002*AD66,"")*(1-Info!$I$25),0)</f>
        <v/>
      </c>
      <c r="Q66" s="13">
        <f>(1-Info!$F$25)*IF(AI66&lt;&gt;"",IF(Info!$C$16="بله",0.07*X66,0.07*AG66),"")</f>
        <v/>
      </c>
      <c r="R66" s="13">
        <f>IF(X66&lt;&gt;0,S66*X66,0)*(1-Info!$F$29)</f>
        <v/>
      </c>
      <c r="S66" s="106">
        <f>IF(Info!$I$14="خیر",0,IF(Info!$F$14="بله",IF(Info!$C$14=1,2.3,IF(Info!$C$14=2,3.3,4.3)),1))*IF(AND(AH66&lt;=Rates!$Y$8,AH66&gt;0),(1+Info!$C$18)*(1+LOOKUP(Info!$F$18,Rates!$O$2:$O$9,Rates!$L$2:$L$9)/100)*(LOOKUP(Info!$C$6,Rates!$T$2:$T$108,Rates!$R$2:$R$108)/100),0)</f>
        <v/>
      </c>
      <c r="T66" s="13">
        <f>IF(AI66&lt;71,(1-Info!$F$27)*((AB66*0.0008*(1+(LOOKUP(Info!$I$18,Rates!$O$2:$O$9,Rates!$M$2:$M$9)/100)))),0)</f>
        <v/>
      </c>
      <c r="U66" s="13">
        <f>IF(AI66&lt;71,(1-Info!$I$27)*(((AD66*0.0008*Info!$L$14))*(1+(LOOKUP(Info!$I$18,Rates!$O:$O,Rates!$N:$N)/100))),0)</f>
        <v/>
      </c>
      <c r="V66" s="13">
        <f>((Z66*0.0008))*(1+(LOOKUP(Info!$I$18,Rates!$O$2:$O$9,Rates!$M$2:$M$9)/100))*(1-Info!$C$27)</f>
        <v/>
      </c>
      <c r="W66" s="13">
        <f>IF(AND(AI66&lt;=Rates!$Y$2,AJ66&lt;=Info!$I$6,Info!$F$16="معمولی"),VLOOKUP(AI66,Rates!$T$1:$X$108,5,0),IF(AND(AI66&lt;=Rates!$Y$2,AJ66&lt;=Info!$I$6,Info!$F$16="پایه"),VLOOKUP(AI66,Rates!$T$1:$X$108,2,0),IF(AND(AI66&lt;=Rates!$Y$2,AJ66&lt;=Info!$I$6,Info!$F$16="آسایش "),VLOOKUP(AI66,Rates!$T$1:$X$108,3,0),IF(AND(AI66&lt;=Rates!$Y$2,AJ66&lt;=Info!$I$6,Info!$F$16="ممتاز"),VLOOKUP(AI66,Rates!$T$1:$X$108,4,0),0))))*AA66/1000000*(1+Info!$C$18)*(1-Info!$I$29)</f>
        <v/>
      </c>
      <c r="X66" s="113">
        <f>IF(Info!$C$16="بله",(AG66-W66-U66-V66-T66)/(1+S66),AG66)</f>
        <v/>
      </c>
      <c r="Y66" s="106">
        <f>IF(AI66&lt;&gt;0,(AD66*LOOKUP(AI66,Rates!$T$2:$T$108,Rates!$S$2:$S$108))/SQRT(1.1),0)</f>
        <v/>
      </c>
      <c r="Z66" s="106">
        <f>IF(AND(AI66&lt;=Rates!$Y$10,AI66&gt;=0),Info!$C$12*(AC66-AD66),0)</f>
        <v/>
      </c>
      <c r="AA66" s="13">
        <f>IF(AND(AI66&gt;=0,AI66&lt;=Rates!$Y$2,AG66&gt;0),MIN(AA65*(1+Info!$F$10),5000000000),0)</f>
        <v/>
      </c>
      <c r="AB66" s="106">
        <f>IF(AND(AI66&gt;=0,AI66&lt;=65),AD66*Info!$L$16,0)</f>
        <v/>
      </c>
      <c r="AC66" s="13">
        <f>IF(AND(AI66&gt;=0,AI66&lt;=Rates!$Y$3),AD66*(1+Info!$L$14),AD66)</f>
        <v/>
      </c>
      <c r="AD66" s="106">
        <f>IF(AI66&lt;&gt;0,AD65*(1+Info!$F$10),0)</f>
        <v/>
      </c>
      <c r="AE66" s="105">
        <f>IF(AI66&lt;&gt;0,AF66+AE65,0)</f>
        <v/>
      </c>
      <c r="AF66" s="13">
        <f>IF(AI66&gt;=0,IF(Info!$C$16="بله",AG66,AG66+L66),"")</f>
        <v/>
      </c>
      <c r="AG66" s="107">
        <f>IF(AI66&lt;&gt;0,AG65*(1+Info!$F$8),0)</f>
        <v/>
      </c>
      <c r="AH66" s="111">
        <f>IF(AJ66&lt;&gt;"",Info!$C$6+AJ66-1,0)</f>
        <v/>
      </c>
      <c r="AI66" s="17">
        <f>IF(AJ66&lt;&gt;"",IF(Info!$F$6+AJ66-1&lt;=Rates!$Y$11,Info!$F$6+AJ66-1,0),0)</f>
        <v/>
      </c>
      <c r="AJ66" s="18">
        <f>IF(AI65&lt;&gt;"",IF(AND(AJ65&lt;&gt;"",AI65+1&lt;=Rates!$Y$11),IF(AJ65&lt;&gt;0,IF(AJ65+1&lt;=Info!$I$6,AJ65+1,""),0),""),"")</f>
        <v/>
      </c>
    </row>
    <row r="67" ht="14.25" customFormat="1" customHeight="1" s="164">
      <c r="A67" s="11">
        <f>IF(B67&gt;0,IF(Info!$C$16="بله",AG67/B67,(AG67+L67)/B67),0)</f>
        <v/>
      </c>
      <c r="B67" s="11">
        <f>IF(AND(AI67&gt;=0,AJ67&lt;=Info!$I$6),LOOKUP(Info!$C$8,Rates!$I$2:$I$7,Rates!$F$2:$F$7),0)</f>
        <v/>
      </c>
      <c r="C67" s="12">
        <f>IF(AND(AI67&gt;=0,AJ67&lt;=Info!$I$6),F67+F67*(IF(AJ67&lt;3,VLOOKUP(Info!$C$10,Rates!$A$15:$B$19,2,FALSE),IF(AJ67&lt;5,VLOOKUP(Info!$C$10,Rates!$A$15:$C$19,3,FALSE),VLOOKUP(Info!$C$10,Rates!$A$15:$D$19,4,FALSE)))+(Info!$I$22-IF(AJ67&gt;4,LOOKUP(Info!$C$10,Rates!$D$2:$D$7,Rates!$A$2:$A$7),LOOKUP(Info!$C$10,Rates!$D$2:$D$7,Rates!$C$2:$C$7))))*LOOKUP(Info!$C$8,Rates!$I$2:$I$7,Rates!$G$2:$G$7)+C66*(1+IF(AJ67&lt;3,VLOOKUP(Info!$C$10,Rates!$A$15:$B$19,2,FALSE),IF(AJ67&lt;5,VLOOKUP(Info!$C$10,Rates!$A$15:$C$19,3,FALSE),VLOOKUP(Info!$C$10,Rates!$A$15:$D$19,4,FALSE)))+(Info!$I$22-IF(AJ67&lt;3,VLOOKUP(Info!$C$10,Rates!$A$15:$B$19,2,FALSE),IF(AJ67&lt;5,VLOOKUP(Info!$C$10,Rates!$A$15:$C$19,3,FALSE),VLOOKUP(Info!$C$10,Rates!$A$15:$D$19,4,FALSE))))),0)</f>
        <v/>
      </c>
      <c r="D67" s="12">
        <f>IF(AI67&lt;&gt;"",E67,"")</f>
        <v/>
      </c>
      <c r="E67" s="12">
        <f>IF(AI67&lt;&gt;0,F67*(1+IF(AJ67&lt;3,VLOOKUP(Info!$C$10,Rates!$A$14:$B$19,2,FALSE),IF(AJ67&lt;5,VLOOKUP(Info!$C$10,Rates!$A$14:$C$19,3,FALSE),VLOOKUP(Info!$C$10,Rates!$A$14:$D$19,4,FALSE)))*LOOKUP(Info!$C$8,Rates!$I$2:$I$8,Rates!$G$2:$G$8))+E66*(1+IF(AJ67&lt;3,VLOOKUP(Info!$C$10,Rates!$A$14:$B$19,2,FALSE),IF(AJ67&lt;5,VLOOKUP(Info!$C$10,Rates!$A$14:$C$19,3,FALSE),VLOOKUP(Info!$C$10,Rates!$A$14:$D$19,4,FALSE)))),0)</f>
        <v/>
      </c>
      <c r="F67" s="12">
        <f>IF(AI67&lt;&gt;"",IF(Info!$C$16="بله",IF(AND(AJ67&lt;=Info!$F$20,AJ67&gt;=Info!$I$20),Info!$C$20,0)+(AG67-Y67-L67-K67-J67-I67-H67-G67),IF(AND(AJ67&lt;=Info!$F$20,AJ67&gt;=Info!$I$20),Info!$C$20,0)+(AG67-Y67-K67-J67-I67-H67-G67)),"")</f>
        <v/>
      </c>
      <c r="G67" s="107">
        <f>IF(AI67&lt;&gt;"",Rates!$AA$11*(L67),"")</f>
        <v/>
      </c>
      <c r="H67" s="107">
        <f>IF(AI67&lt;&gt;"",(Rates!$AC$11+Rates!$AB$11)*(L67),"")</f>
        <v/>
      </c>
      <c r="I67" s="12">
        <f>IF(AI67&lt;&gt;"",LOOKUP(Info!$C$8,Rates!$I$2:$I$7,Rates!$H$2:$H$7)*(J67+K67+L67+Y67),"")</f>
        <v/>
      </c>
      <c r="J67" s="12">
        <f>IF(N67="",0,N67)+IF(P67="",0,P67)+IF(Q67="",0,Q67)</f>
        <v/>
      </c>
      <c r="K67" s="12">
        <f>IF(Y67&lt;&gt;"",Info!$C$18*Y67,"")</f>
        <v/>
      </c>
      <c r="L67" s="12">
        <f>IF(R67="",0,R67)+IF(U67="",0,U67)+IF(W67="",0,W67)+IF(V67="",0,V67)+IF(T67="",0,T67)</f>
        <v/>
      </c>
      <c r="M67" s="12" t="n">
        <v>0</v>
      </c>
      <c r="N67" s="12" t="n">
        <v>0</v>
      </c>
      <c r="O67" s="12">
        <f>IF(AJ67&lt;=10,(1-Info!$C$25)*IF(OR(Info!$F$8&gt;0,Info!$F$10&gt;0),IF(0.75*$X$4&lt;=0.03*$AD$4,0.75*(X67-X66),0.03*(AD67-AD66)),0),"")</f>
        <v/>
      </c>
      <c r="P67" s="12">
        <f>IF(AJ67&lt;=5,IF(AI67&lt;&gt;"",0.002*AD67,"")*(1-Info!$I$25),0)</f>
        <v/>
      </c>
      <c r="Q67" s="12">
        <f>(1-Info!$F$25)*IF(AI67&lt;&gt;"",IF(Info!$C$16="بله",0.07*X67,0.07*AG67),"")</f>
        <v/>
      </c>
      <c r="R67" s="12">
        <f>IF(X67&lt;&gt;0,S67*X67,0)*(1-Info!$F$29)</f>
        <v/>
      </c>
      <c r="S67" s="107">
        <f>IF(Info!$I$14="خیر",0,IF(Info!$F$14="بله",IF(Info!$C$14=1,2.3,IF(Info!$C$14=2,3.3,4.3)),1))*IF(AND(AH67&lt;=Rates!$Y$8,AH67&gt;0),(1+Info!$C$18)*(1+LOOKUP(Info!$F$18,Rates!$O$2:$O$9,Rates!$L$2:$L$9)/100)*(LOOKUP(Info!$C$6,Rates!$T$2:$T$108,Rates!$R$2:$R$108)/100),0)</f>
        <v/>
      </c>
      <c r="T67" s="12">
        <f>IF(AI67&lt;71,(1-Info!$F$27)*((AB67*0.0008*(1+(LOOKUP(Info!$I$18,Rates!$O$2:$O$9,Rates!$M$2:$M$9)/100)))),0)</f>
        <v/>
      </c>
      <c r="U67" s="12">
        <f>IF(AI67&lt;71,(1-Info!$I$27)*(((AD67*0.0008*Info!$L$14))*(1+(LOOKUP(Info!$I$18,Rates!$O:$O,Rates!$N:$N)/100))),0)</f>
        <v/>
      </c>
      <c r="V67" s="12">
        <f>((Z67*0.0008))*(1+(LOOKUP(Info!$I$18,Rates!$O$2:$O$9,Rates!$M$2:$M$9)/100))*(1-Info!$C$27)</f>
        <v/>
      </c>
      <c r="W67" s="12">
        <f>IF(AND(AI67&lt;=Rates!$Y$2,AJ67&lt;=Info!$I$6,Info!$F$16="معمولی"),VLOOKUP(AI67,Rates!$T$1:$X$108,5,0),IF(AND(AI67&lt;=Rates!$Y$2,AJ67&lt;=Info!$I$6,Info!$F$16="پایه"),VLOOKUP(AI67,Rates!$T$1:$X$108,2,0),IF(AND(AI67&lt;=Rates!$Y$2,AJ67&lt;=Info!$I$6,Info!$F$16="آسایش "),VLOOKUP(AI67,Rates!$T$1:$X$108,3,0),IF(AND(AI67&lt;=Rates!$Y$2,AJ67&lt;=Info!$I$6,Info!$F$16="ممتاز"),VLOOKUP(AI67,Rates!$T$1:$X$108,4,0),0))))*AA67/1000000*(1+Info!$C$18)*(1-Info!$I$29)</f>
        <v/>
      </c>
      <c r="X67" s="12">
        <f>IF(Info!$C$16="بله",(AG67-W67-U67-V67-T67)/(1+S67),AG67)</f>
        <v/>
      </c>
      <c r="Y67" s="107">
        <f>IF(AI67&lt;&gt;0,(AD67*LOOKUP(AI67,Rates!$T$2:$T$108,Rates!$S$2:$S$108))/SQRT(1.1),0)</f>
        <v/>
      </c>
      <c r="Z67" s="107">
        <f>IF(AND(AI67&lt;=Rates!$Y$10,AI67&gt;=0),Info!$C$12*(AC67-AD67),0)</f>
        <v/>
      </c>
      <c r="AA67" s="12">
        <f>IF(AND(AI67&gt;=0,AI67&lt;=Rates!$Y$2,AG67&gt;0),MIN(AA66*(1+Info!$F$10),5000000000),0)</f>
        <v/>
      </c>
      <c r="AB67" s="107">
        <f>IF(AND(AI67&gt;=0,AI67&lt;=65),AD67*Info!$L$16,0)</f>
        <v/>
      </c>
      <c r="AC67" s="12">
        <f>IF(AND(AI67&gt;=0,AI67&lt;=Rates!$Y$3),AD67*(1+Info!$L$14),AD67)</f>
        <v/>
      </c>
      <c r="AD67" s="107">
        <f>IF(AI67&lt;&gt;0,AD66*(1+Info!$F$10),0)</f>
        <v/>
      </c>
      <c r="AE67" s="104">
        <f>IF(AI67&lt;&gt;0,AF67+AE66,0)</f>
        <v/>
      </c>
      <c r="AF67" s="12">
        <f>IF(AI67&gt;=0,IF(Info!$C$16="بله",AG67,AG67+L67),"")</f>
        <v/>
      </c>
      <c r="AG67" s="107">
        <f>IF(AI67&lt;&gt;0,AG66*(1+Info!$F$8),0)</f>
        <v/>
      </c>
      <c r="AH67" s="110">
        <f>IF(AJ67&lt;&gt;"",Info!$C$6+AJ67-1,0)</f>
        <v/>
      </c>
      <c r="AI67" s="14">
        <f>IF(AJ67&lt;&gt;"",IF(Info!$F$6+AJ67-1&lt;=Rates!$Y$11,Info!$F$6+AJ67-1,0),0)</f>
        <v/>
      </c>
      <c r="AJ67" s="15">
        <f>IF(AI66&lt;&gt;"",IF(AND(AJ66&lt;&gt;"",AI66+1&lt;=Rates!$Y$11),IF(AJ66&lt;&gt;0,IF(AJ66+1&lt;=Info!$I$6,AJ66+1,""),0),""),"")</f>
        <v/>
      </c>
    </row>
    <row r="68" ht="14.25" customFormat="1" customHeight="1" s="164">
      <c r="A68" s="16">
        <f>IF(B68&gt;0,IF(Info!$C$16="بله",AG68/B68,(AG68+L68)/B68),0)</f>
        <v/>
      </c>
      <c r="B68" s="16">
        <f>IF(AND(AI68&gt;=0,AJ68&lt;=Info!$I$6),LOOKUP(Info!$C$8,Rates!$I$2:$I$7,Rates!$F$2:$F$7),0)</f>
        <v/>
      </c>
      <c r="C68" s="13">
        <f>IF(AND(AI68&gt;=0,AJ68&lt;=Info!$I$6),F68+F68*(IF(AJ68&lt;3,VLOOKUP(Info!$C$10,Rates!$A$15:$B$19,2,FALSE),IF(AJ68&lt;5,VLOOKUP(Info!$C$10,Rates!$A$15:$C$19,3,FALSE),VLOOKUP(Info!$C$10,Rates!$A$15:$D$19,4,FALSE)))+(Info!$I$22-IF(AJ68&gt;4,LOOKUP(Info!$C$10,Rates!$D$2:$D$7,Rates!$A$2:$A$7),LOOKUP(Info!$C$10,Rates!$D$2:$D$7,Rates!$C$2:$C$7))))*LOOKUP(Info!$C$8,Rates!$I$2:$I$7,Rates!$G$2:$G$7)+C67*(1+IF(AJ68&lt;3,VLOOKUP(Info!$C$10,Rates!$A$15:$B$19,2,FALSE),IF(AJ68&lt;5,VLOOKUP(Info!$C$10,Rates!$A$15:$C$19,3,FALSE),VLOOKUP(Info!$C$10,Rates!$A$15:$D$19,4,FALSE)))+(Info!$I$22-IF(AJ68&lt;3,VLOOKUP(Info!$C$10,Rates!$A$15:$B$19,2,FALSE),IF(AJ68&lt;5,VLOOKUP(Info!$C$10,Rates!$A$15:$C$19,3,FALSE),VLOOKUP(Info!$C$10,Rates!$A$15:$D$19,4,FALSE))))),0)</f>
        <v/>
      </c>
      <c r="D68" s="13">
        <f>IF(AI68&lt;&gt;"",E68,"")</f>
        <v/>
      </c>
      <c r="E68" s="12">
        <f>IF(AI68&lt;&gt;0,F68*(1+IF(AJ68&lt;3,VLOOKUP(Info!$C$10,Rates!$A$14:$B$19,2,FALSE),IF(AJ68&lt;5,VLOOKUP(Info!$C$10,Rates!$A$14:$C$19,3,FALSE),VLOOKUP(Info!$C$10,Rates!$A$14:$D$19,4,FALSE)))*LOOKUP(Info!$C$8,Rates!$I$2:$I$8,Rates!$G$2:$G$8))+E67*(1+IF(AJ68&lt;3,VLOOKUP(Info!$C$10,Rates!$A$14:$B$19,2,FALSE),IF(AJ68&lt;5,VLOOKUP(Info!$C$10,Rates!$A$14:$C$19,3,FALSE),VLOOKUP(Info!$C$10,Rates!$A$14:$D$19,4,FALSE)))),0)</f>
        <v/>
      </c>
      <c r="F68" s="13">
        <f>IF(AI68&lt;&gt;"",IF(Info!$C$16="بله",IF(AND(AJ68&lt;=Info!$F$20,AJ68&gt;=Info!$I$20),Info!$C$20,0)+(AG68-Y68-L68-K68-J68-I68-H68-G68),IF(AND(AJ68&lt;=Info!$F$20,AJ68&gt;=Info!$I$20),Info!$C$20,0)+(AG68-Y68-K68-J68-I68-H68-G68)),"")</f>
        <v/>
      </c>
      <c r="G68" s="106">
        <f>IF(AI68&lt;&gt;"",Rates!$AA$11*(L68),"")</f>
        <v/>
      </c>
      <c r="H68" s="106">
        <f>IF(AI68&lt;&gt;"",(Rates!$AC$11+Rates!$AB$11)*(L68),"")</f>
        <v/>
      </c>
      <c r="I68" s="13">
        <f>IF(AI68&lt;&gt;"",LOOKUP(Info!$C$8,Rates!$I$2:$I$7,Rates!$H$2:$H$7)*(J68+K68+L68+Y68),"")</f>
        <v/>
      </c>
      <c r="J68" s="13">
        <f>IF(N68="",0,N68)+IF(P68="",0,P68)+IF(Q68="",0,Q68)</f>
        <v/>
      </c>
      <c r="K68" s="13">
        <f>IF(Y68&lt;&gt;"",Info!$C$18*Y68,"")</f>
        <v/>
      </c>
      <c r="L68" s="13">
        <f>IF(R68="",0,R68)+IF(U68="",0,U68)+IF(W68="",0,W68)+IF(V68="",0,V68)+IF(T68="",0,T68)</f>
        <v/>
      </c>
      <c r="M68" s="13" t="n">
        <v>0</v>
      </c>
      <c r="N68" s="13" t="n">
        <v>0</v>
      </c>
      <c r="O68" s="12">
        <f>IF(AJ68&lt;=10,(1-Info!$C$25)*IF(OR(Info!$F$8&gt;0,Info!$F$10&gt;0),IF(0.75*$X$4&lt;=0.03*$AD$4,0.75*(X68-X67),0.03*(AD68-AD67)),0),"")</f>
        <v/>
      </c>
      <c r="P68" s="13">
        <f>IF(AJ68&lt;=5,IF(AI68&lt;&gt;"",0.002*AD68,"")*(1-Info!$I$25),0)</f>
        <v/>
      </c>
      <c r="Q68" s="13">
        <f>(1-Info!$F$25)*IF(AI68&lt;&gt;"",IF(Info!$C$16="بله",0.07*X68,0.07*AG68),"")</f>
        <v/>
      </c>
      <c r="R68" s="13">
        <f>IF(X68&lt;&gt;0,S68*X68,0)*(1-Info!$F$29)</f>
        <v/>
      </c>
      <c r="S68" s="106">
        <f>IF(Info!$I$14="خیر",0,IF(Info!$F$14="بله",IF(Info!$C$14=1,2.3,IF(Info!$C$14=2,3.3,4.3)),1))*IF(AND(AH68&lt;=Rates!$Y$8,AH68&gt;0),(1+Info!$C$18)*(1+LOOKUP(Info!$F$18,Rates!$O$2:$O$9,Rates!$L$2:$L$9)/100)*(LOOKUP(Info!$C$6,Rates!$T$2:$T$108,Rates!$R$2:$R$108)/100),0)</f>
        <v/>
      </c>
      <c r="T68" s="13">
        <f>IF(AI68&lt;71,(1-Info!$F$27)*((AB68*0.0008*(1+(LOOKUP(Info!$I$18,Rates!$O$2:$O$9,Rates!$M$2:$M$9)/100)))),0)</f>
        <v/>
      </c>
      <c r="U68" s="13">
        <f>IF(AI68&lt;71,(1-Info!$I$27)*(((AD68*0.0008*Info!$L$14))*(1+(LOOKUP(Info!$I$18,Rates!$O:$O,Rates!$N:$N)/100))),0)</f>
        <v/>
      </c>
      <c r="V68" s="13">
        <f>((Z68*0.0008))*(1+(LOOKUP(Info!$I$18,Rates!$O$2:$O$9,Rates!$M$2:$M$9)/100))*(1-Info!$C$27)</f>
        <v/>
      </c>
      <c r="W68" s="13">
        <f>IF(AND(AI68&lt;=Rates!$Y$2,AJ68&lt;=Info!$I$6,Info!$F$16="معمولی"),VLOOKUP(AI68,Rates!$T$1:$X$108,5,0),IF(AND(AI68&lt;=Rates!$Y$2,AJ68&lt;=Info!$I$6,Info!$F$16="پایه"),VLOOKUP(AI68,Rates!$T$1:$X$108,2,0),IF(AND(AI68&lt;=Rates!$Y$2,AJ68&lt;=Info!$I$6,Info!$F$16="آسایش "),VLOOKUP(AI68,Rates!$T$1:$X$108,3,0),IF(AND(AI68&lt;=Rates!$Y$2,AJ68&lt;=Info!$I$6,Info!$F$16="ممتاز"),VLOOKUP(AI68,Rates!$T$1:$X$108,4,0),0))))*AA68/1000000*(1+Info!$C$18)*(1-Info!$I$29)</f>
        <v/>
      </c>
      <c r="X68" s="113">
        <f>IF(Info!$C$16="بله",(AG68-W68-U68-V68-T68)/(1+S68),AG68)</f>
        <v/>
      </c>
      <c r="Y68" s="106">
        <f>IF(AI68&lt;&gt;0,(AD68*LOOKUP(AI68,Rates!$T$2:$T$108,Rates!$S$2:$S$108))/SQRT(1.1),0)</f>
        <v/>
      </c>
      <c r="Z68" s="106">
        <f>IF(AND(AI68&lt;=Rates!$Y$10,AI68&gt;=0),Info!$C$12*(AC68-AD68),0)</f>
        <v/>
      </c>
      <c r="AA68" s="13">
        <f>IF(AND(AI68&gt;=0,AI68&lt;=Rates!$Y$2,AG68&gt;0),MIN(AA67*(1+Info!$F$10),5000000000),0)</f>
        <v/>
      </c>
      <c r="AB68" s="106">
        <f>IF(AND(AI68&gt;=0,AI68&lt;=65),AD68*Info!$L$16,0)</f>
        <v/>
      </c>
      <c r="AC68" s="13">
        <f>IF(AND(AI68&gt;=0,AI68&lt;=Rates!$Y$3),AD68*(1+Info!$L$14),AD68)</f>
        <v/>
      </c>
      <c r="AD68" s="106">
        <f>IF(AI68&lt;&gt;0,AD67*(1+Info!$F$10),0)</f>
        <v/>
      </c>
      <c r="AE68" s="105">
        <f>IF(AI68&lt;&gt;0,AF68+AE67,0)</f>
        <v/>
      </c>
      <c r="AF68" s="13">
        <f>IF(AI68&gt;=0,IF(Info!$C$16="بله",AG68,AG68+L68),"")</f>
        <v/>
      </c>
      <c r="AG68" s="107">
        <f>IF(AI68&lt;&gt;0,AG67*(1+Info!$F$8),0)</f>
        <v/>
      </c>
      <c r="AH68" s="111">
        <f>IF(AJ68&lt;&gt;"",Info!$C$6+AJ68-1,0)</f>
        <v/>
      </c>
      <c r="AI68" s="17">
        <f>IF(AJ68&lt;&gt;"",IF(Info!$F$6+AJ68-1&lt;=Rates!$Y$11,Info!$F$6+AJ68-1,0),0)</f>
        <v/>
      </c>
      <c r="AJ68" s="18">
        <f>IF(AI67&lt;&gt;"",IF(AND(AJ67&lt;&gt;"",AI67+1&lt;=Rates!$Y$11),IF(AJ67&lt;&gt;0,IF(AJ67+1&lt;=Info!$I$6,AJ67+1,""),0),""),"")</f>
        <v/>
      </c>
    </row>
    <row r="69" ht="14.25" customFormat="1" customHeight="1" s="164">
      <c r="A69" s="11">
        <f>IF(B69&gt;0,IF(Info!$C$16="بله",AG69/B69,(AG69+L69)/B69),0)</f>
        <v/>
      </c>
      <c r="B69" s="11">
        <f>IF(AND(AI69&gt;=0,AJ69&lt;=Info!$I$6),LOOKUP(Info!$C$8,Rates!$I$2:$I$7,Rates!$F$2:$F$7),0)</f>
        <v/>
      </c>
      <c r="C69" s="12">
        <f>IF(AND(AI69&gt;=0,AJ69&lt;=Info!$I$6),F69+F69*(IF(AJ69&lt;3,VLOOKUP(Info!$C$10,Rates!$A$15:$B$19,2,FALSE),IF(AJ69&lt;5,VLOOKUP(Info!$C$10,Rates!$A$15:$C$19,3,FALSE),VLOOKUP(Info!$C$10,Rates!$A$15:$D$19,4,FALSE)))+(Info!$I$22-IF(AJ69&gt;4,LOOKUP(Info!$C$10,Rates!$D$2:$D$7,Rates!$A$2:$A$7),LOOKUP(Info!$C$10,Rates!$D$2:$D$7,Rates!$C$2:$C$7))))*LOOKUP(Info!$C$8,Rates!$I$2:$I$7,Rates!$G$2:$G$7)+C68*(1+IF(AJ69&lt;3,VLOOKUP(Info!$C$10,Rates!$A$15:$B$19,2,FALSE),IF(AJ69&lt;5,VLOOKUP(Info!$C$10,Rates!$A$15:$C$19,3,FALSE),VLOOKUP(Info!$C$10,Rates!$A$15:$D$19,4,FALSE)))+(Info!$I$22-IF(AJ69&lt;3,VLOOKUP(Info!$C$10,Rates!$A$15:$B$19,2,FALSE),IF(AJ69&lt;5,VLOOKUP(Info!$C$10,Rates!$A$15:$C$19,3,FALSE),VLOOKUP(Info!$C$10,Rates!$A$15:$D$19,4,FALSE))))),0)</f>
        <v/>
      </c>
      <c r="D69" s="12">
        <f>IF(AI69&lt;&gt;"",E69,"")</f>
        <v/>
      </c>
      <c r="E69" s="12">
        <f>IF(AI69&lt;&gt;0,F69*(1+IF(AJ69&lt;3,VLOOKUP(Info!$C$10,Rates!$A$14:$B$19,2,FALSE),IF(AJ69&lt;5,VLOOKUP(Info!$C$10,Rates!$A$14:$C$19,3,FALSE),VLOOKUP(Info!$C$10,Rates!$A$14:$D$19,4,FALSE)))*LOOKUP(Info!$C$8,Rates!$I$2:$I$8,Rates!$G$2:$G$8))+E68*(1+IF(AJ69&lt;3,VLOOKUP(Info!$C$10,Rates!$A$14:$B$19,2,FALSE),IF(AJ69&lt;5,VLOOKUP(Info!$C$10,Rates!$A$14:$C$19,3,FALSE),VLOOKUP(Info!$C$10,Rates!$A$14:$D$19,4,FALSE)))),0)</f>
        <v/>
      </c>
      <c r="F69" s="12">
        <f>IF(AI69&lt;&gt;"",IF(Info!$C$16="بله",IF(AND(AJ69&lt;=Info!$F$20,AJ69&gt;=Info!$I$20),Info!$C$20,0)+(AG69-Y69-L69-K69-J69-I69-H69-G69),IF(AND(AJ69&lt;=Info!$F$20,AJ69&gt;=Info!$I$20),Info!$C$20,0)+(AG69-Y69-K69-J69-I69-H69-G69)),"")</f>
        <v/>
      </c>
      <c r="G69" s="107">
        <f>IF(AI69&lt;&gt;"",Rates!$AA$11*(L69),"")</f>
        <v/>
      </c>
      <c r="H69" s="107">
        <f>IF(AI69&lt;&gt;"",(Rates!$AC$11+Rates!$AB$11)*(L69),"")</f>
        <v/>
      </c>
      <c r="I69" s="12">
        <f>IF(AI69&lt;&gt;"",LOOKUP(Info!$C$8,Rates!$I$2:$I$7,Rates!$H$2:$H$7)*(J69+K69+L69+Y69),"")</f>
        <v/>
      </c>
      <c r="J69" s="12">
        <f>IF(N69="",0,N69)+IF(P69="",0,P69)+IF(Q69="",0,Q69)</f>
        <v/>
      </c>
      <c r="K69" s="12">
        <f>IF(Y69&lt;&gt;"",Info!$C$18*Y69,"")</f>
        <v/>
      </c>
      <c r="L69" s="12">
        <f>IF(R69="",0,R69)+IF(U69="",0,U69)+IF(W69="",0,W69)+IF(V69="",0,V69)+IF(T69="",0,T69)</f>
        <v/>
      </c>
      <c r="M69" s="12" t="n">
        <v>0</v>
      </c>
      <c r="N69" s="12" t="n">
        <v>0</v>
      </c>
      <c r="O69" s="12">
        <f>IF(AJ69&lt;=10,(1-Info!$C$25)*IF(OR(Info!$F$8&gt;0,Info!$F$10&gt;0),IF(0.75*$X$4&lt;=0.03*$AD$4,0.75*(X69-X68),0.03*(AD69-AD68)),0),"")</f>
        <v/>
      </c>
      <c r="P69" s="12">
        <f>IF(AJ69&lt;=5,IF(AI69&lt;&gt;"",0.002*AD69,"")*(1-Info!$I$25),0)</f>
        <v/>
      </c>
      <c r="Q69" s="12">
        <f>(1-Info!$F$25)*IF(AI69&lt;&gt;"",IF(Info!$C$16="بله",0.07*X69,0.07*AG69),"")</f>
        <v/>
      </c>
      <c r="R69" s="12">
        <f>IF(X69&lt;&gt;0,S69*X69,0)*(1-Info!$F$29)</f>
        <v/>
      </c>
      <c r="S69" s="107">
        <f>IF(Info!$I$14="خیر",0,IF(Info!$F$14="بله",IF(Info!$C$14=1,2.3,IF(Info!$C$14=2,3.3,4.3)),1))*IF(AND(AH69&lt;=Rates!$Y$8,AH69&gt;0),(1+Info!$C$18)*(1+LOOKUP(Info!$F$18,Rates!$O$2:$O$9,Rates!$L$2:$L$9)/100)*(LOOKUP(Info!$C$6,Rates!$T$2:$T$108,Rates!$R$2:$R$108)/100),0)</f>
        <v/>
      </c>
      <c r="T69" s="12">
        <f>IF(AI69&lt;71,(1-Info!$F$27)*((AB69*0.0008*(1+(LOOKUP(Info!$I$18,Rates!$O$2:$O$9,Rates!$M$2:$M$9)/100)))),0)</f>
        <v/>
      </c>
      <c r="U69" s="12">
        <f>IF(AI69&lt;71,(1-Info!$I$27)*(((AD69*0.0008*Info!$L$14))*(1+(LOOKUP(Info!$I$18,Rates!$O:$O,Rates!$N:$N)/100))),0)</f>
        <v/>
      </c>
      <c r="V69" s="12">
        <f>((Z69*0.0008))*(1+(LOOKUP(Info!$I$18,Rates!$O$2:$O$9,Rates!$M$2:$M$9)/100))*(1-Info!$C$27)</f>
        <v/>
      </c>
      <c r="W69" s="12">
        <f>IF(AND(AI69&lt;=Rates!$Y$2,AJ69&lt;=Info!$I$6,Info!$F$16="معمولی"),VLOOKUP(AI69,Rates!$T$1:$X$108,5,0),IF(AND(AI69&lt;=Rates!$Y$2,AJ69&lt;=Info!$I$6,Info!$F$16="پایه"),VLOOKUP(AI69,Rates!$T$1:$X$108,2,0),IF(AND(AI69&lt;=Rates!$Y$2,AJ69&lt;=Info!$I$6,Info!$F$16="آسایش "),VLOOKUP(AI69,Rates!$T$1:$X$108,3,0),IF(AND(AI69&lt;=Rates!$Y$2,AJ69&lt;=Info!$I$6,Info!$F$16="ممتاز"),VLOOKUP(AI69,Rates!$T$1:$X$108,4,0),0))))*AA69/1000000*(1+Info!$C$18)*(1-Info!$I$29)</f>
        <v/>
      </c>
      <c r="X69" s="12">
        <f>IF(Info!$C$16="بله",(AG69-W69-U69-V69-T69)/(1+S69),AG69)</f>
        <v/>
      </c>
      <c r="Y69" s="107">
        <f>IF(AI69&lt;&gt;0,(AD69*LOOKUP(AI69,Rates!$T$2:$T$108,Rates!$S$2:$S$108))/SQRT(1.1),0)</f>
        <v/>
      </c>
      <c r="Z69" s="107">
        <f>IF(AND(AI69&lt;=Rates!$Y$10,AI69&gt;=0),Info!$C$12*(AC69-AD69),0)</f>
        <v/>
      </c>
      <c r="AA69" s="12">
        <f>IF(AND(AI69&gt;=0,AI69&lt;=Rates!$Y$2,AG69&gt;0),MIN(AA68*(1+Info!$F$10),5000000000),0)</f>
        <v/>
      </c>
      <c r="AB69" s="107">
        <f>IF(AND(AI69&gt;=0,AI69&lt;=65),AD69*Info!$L$16,0)</f>
        <v/>
      </c>
      <c r="AC69" s="12">
        <f>IF(AND(AI69&gt;=0,AI69&lt;=Rates!$Y$3),AD69*(1+Info!$L$14),AD69)</f>
        <v/>
      </c>
      <c r="AD69" s="107">
        <f>IF(AI69&lt;&gt;0,AD68*(1+Info!$F$10),0)</f>
        <v/>
      </c>
      <c r="AE69" s="104">
        <f>IF(AI69&lt;&gt;0,AF69+AE68,0)</f>
        <v/>
      </c>
      <c r="AF69" s="12">
        <f>IF(AI69&gt;=0,IF(Info!$C$16="بله",AG69,AG69+L69),"")</f>
        <v/>
      </c>
      <c r="AG69" s="107">
        <f>IF(AI69&lt;&gt;0,AG68*(1+Info!$F$8),0)</f>
        <v/>
      </c>
      <c r="AH69" s="110">
        <f>IF(AJ69&lt;&gt;"",Info!$C$6+AJ69-1,0)</f>
        <v/>
      </c>
      <c r="AI69" s="14">
        <f>IF(AJ69&lt;&gt;"",IF(Info!$F$6+AJ69-1&lt;=Rates!$Y$11,Info!$F$6+AJ69-1,0),0)</f>
        <v/>
      </c>
      <c r="AJ69" s="15">
        <f>IF(AI68&lt;&gt;"",IF(AND(AJ68&lt;&gt;"",AI68+1&lt;=Rates!$Y$11),IF(AJ68&lt;&gt;0,IF(AJ68+1&lt;=Info!$I$6,AJ68+1,""),0),""),"")</f>
        <v/>
      </c>
    </row>
    <row r="70" ht="14.25" customFormat="1" customHeight="1" s="164">
      <c r="A70" s="16">
        <f>IF(B70&gt;0,IF(Info!$C$16="بله",AG70/B70,(AG70+L70)/B70),0)</f>
        <v/>
      </c>
      <c r="B70" s="16">
        <f>IF(AND(AI70&gt;=0,AJ70&lt;=Info!$I$6),LOOKUP(Info!$C$8,Rates!$I$2:$I$7,Rates!$F$2:$F$7),0)</f>
        <v/>
      </c>
      <c r="C70" s="13">
        <f>IF(AND(AI70&gt;=0,AJ70&lt;=Info!$I$6),F70+F70*(IF(AJ70&lt;3,VLOOKUP(Info!$C$10,Rates!$A$15:$B$19,2,FALSE),IF(AJ70&lt;5,VLOOKUP(Info!$C$10,Rates!$A$15:$C$19,3,FALSE),VLOOKUP(Info!$C$10,Rates!$A$15:$D$19,4,FALSE)))+(Info!$I$22-IF(AJ70&gt;4,LOOKUP(Info!$C$10,Rates!$D$2:$D$7,Rates!$A$2:$A$7),LOOKUP(Info!$C$10,Rates!$D$2:$D$7,Rates!$C$2:$C$7))))*LOOKUP(Info!$C$8,Rates!$I$2:$I$7,Rates!$G$2:$G$7)+C69*(1+IF(AJ70&lt;3,VLOOKUP(Info!$C$10,Rates!$A$15:$B$19,2,FALSE),IF(AJ70&lt;5,VLOOKUP(Info!$C$10,Rates!$A$15:$C$19,3,FALSE),VLOOKUP(Info!$C$10,Rates!$A$15:$D$19,4,FALSE)))+(Info!$I$22-IF(AJ70&lt;3,VLOOKUP(Info!$C$10,Rates!$A$15:$B$19,2,FALSE),IF(AJ70&lt;5,VLOOKUP(Info!$C$10,Rates!$A$15:$C$19,3,FALSE),VLOOKUP(Info!$C$10,Rates!$A$15:$D$19,4,FALSE))))),0)</f>
        <v/>
      </c>
      <c r="D70" s="13">
        <f>IF(AI70&lt;&gt;"",E70,"")</f>
        <v/>
      </c>
      <c r="E70" s="12">
        <f>IF(AI70&lt;&gt;0,F70*(1+IF(AJ70&lt;3,VLOOKUP(Info!$C$10,Rates!$A$14:$B$19,2,FALSE),IF(AJ70&lt;5,VLOOKUP(Info!$C$10,Rates!$A$14:$C$19,3,FALSE),VLOOKUP(Info!$C$10,Rates!$A$14:$D$19,4,FALSE)))*LOOKUP(Info!$C$8,Rates!$I$2:$I$8,Rates!$G$2:$G$8))+E69*(1+IF(AJ70&lt;3,VLOOKUP(Info!$C$10,Rates!$A$14:$B$19,2,FALSE),IF(AJ70&lt;5,VLOOKUP(Info!$C$10,Rates!$A$14:$C$19,3,FALSE),VLOOKUP(Info!$C$10,Rates!$A$14:$D$19,4,FALSE)))),0)</f>
        <v/>
      </c>
      <c r="F70" s="13">
        <f>IF(AI70&lt;&gt;"",IF(Info!$C$16="بله",IF(AND(AJ70&lt;=Info!$F$20,AJ70&gt;=Info!$I$20),Info!$C$20,0)+(AG70-Y70-L70-K70-J70-I70-H70-G70),IF(AND(AJ70&lt;=Info!$F$20,AJ70&gt;=Info!$I$20),Info!$C$20,0)+(AG70-Y70-K70-J70-I70-H70-G70)),"")</f>
        <v/>
      </c>
      <c r="G70" s="106">
        <f>IF(AI70&lt;&gt;"",Rates!$AA$11*(L70),"")</f>
        <v/>
      </c>
      <c r="H70" s="106">
        <f>IF(AI70&lt;&gt;"",(Rates!$AC$11+Rates!$AB$11)*(L70),"")</f>
        <v/>
      </c>
      <c r="I70" s="13">
        <f>IF(AI70&lt;&gt;"",LOOKUP(Info!$C$8,Rates!$I$2:$I$7,Rates!$H$2:$H$7)*(J70+K70+L70+Y70),"")</f>
        <v/>
      </c>
      <c r="J70" s="13">
        <f>IF(N70="",0,N70)+IF(P70="",0,P70)+IF(Q70="",0,Q70)</f>
        <v/>
      </c>
      <c r="K70" s="13">
        <f>IF(Y70&lt;&gt;"",Info!$C$18*Y70,"")</f>
        <v/>
      </c>
      <c r="L70" s="13">
        <f>IF(R70="",0,R70)+IF(U70="",0,U70)+IF(W70="",0,W70)+IF(V70="",0,V70)+IF(T70="",0,T70)</f>
        <v/>
      </c>
      <c r="M70" s="13" t="n">
        <v>0</v>
      </c>
      <c r="N70" s="13" t="n">
        <v>0</v>
      </c>
      <c r="O70" s="12">
        <f>IF(AJ70&lt;=10,(1-Info!$C$25)*IF(OR(Info!$F$8&gt;0,Info!$F$10&gt;0),IF(0.75*$X$4&lt;=0.03*$AD$4,0.75*(X70-X69),0.03*(AD70-AD69)),0),"")</f>
        <v/>
      </c>
      <c r="P70" s="13">
        <f>IF(AJ70&lt;=5,IF(AI70&lt;&gt;"",0.002*AD70,"")*(1-Info!$I$25),0)</f>
        <v/>
      </c>
      <c r="Q70" s="13">
        <f>(1-Info!$F$25)*IF(AI70&lt;&gt;"",IF(Info!$C$16="بله",0.07*X70,0.07*AG70),"")</f>
        <v/>
      </c>
      <c r="R70" s="13">
        <f>IF(X70&lt;&gt;0,S70*X70,0)*(1-Info!$F$29)</f>
        <v/>
      </c>
      <c r="S70" s="106">
        <f>IF(Info!$I$14="خیر",0,IF(Info!$F$14="بله",IF(Info!$C$14=1,2.3,IF(Info!$C$14=2,3.3,4.3)),1))*IF(AND(AH70&lt;=Rates!$Y$8,AH70&gt;0),(1+Info!$C$18)*(1+LOOKUP(Info!$F$18,Rates!$O$2:$O$9,Rates!$L$2:$L$9)/100)*(LOOKUP(Info!$C$6,Rates!$T$2:$T$108,Rates!$R$2:$R$108)/100),0)</f>
        <v/>
      </c>
      <c r="T70" s="13">
        <f>IF(AI70&lt;71,(1-Info!$F$27)*((AB70*0.0008*(1+(LOOKUP(Info!$I$18,Rates!$O$2:$O$9,Rates!$M$2:$M$9)/100)))),0)</f>
        <v/>
      </c>
      <c r="U70" s="13">
        <f>IF(AI70&lt;71,(1-Info!$I$27)*(((AD70*0.0008*Info!$L$14))*(1+(LOOKUP(Info!$I$18,Rates!$O:$O,Rates!$N:$N)/100))),0)</f>
        <v/>
      </c>
      <c r="V70" s="13">
        <f>((Z70*0.0008))*(1+(LOOKUP(Info!$I$18,Rates!$O$2:$O$9,Rates!$M$2:$M$9)/100))*(1-Info!$C$27)</f>
        <v/>
      </c>
      <c r="W70" s="13">
        <f>IF(AND(AI70&lt;=Rates!$Y$2,AJ70&lt;=Info!$I$6,Info!$F$16="معمولی"),VLOOKUP(AI70,Rates!$T$1:$X$108,5,0),IF(AND(AI70&lt;=Rates!$Y$2,AJ70&lt;=Info!$I$6,Info!$F$16="پایه"),VLOOKUP(AI70,Rates!$T$1:$X$108,2,0),IF(AND(AI70&lt;=Rates!$Y$2,AJ70&lt;=Info!$I$6,Info!$F$16="آسایش "),VLOOKUP(AI70,Rates!$T$1:$X$108,3,0),IF(AND(AI70&lt;=Rates!$Y$2,AJ70&lt;=Info!$I$6,Info!$F$16="ممتاز"),VLOOKUP(AI70,Rates!$T$1:$X$108,4,0),0))))*AA70/1000000*(1+Info!$C$18)*(1-Info!$I$29)</f>
        <v/>
      </c>
      <c r="X70" s="113">
        <f>IF(Info!$C$16="بله",(AG70-W70-U70-V70-T70)/(1+S70),AG70)</f>
        <v/>
      </c>
      <c r="Y70" s="106">
        <f>IF(AI70&lt;&gt;0,(AD70*LOOKUP(AI70,Rates!$T$2:$T$108,Rates!$S$2:$S$108))/SQRT(1.1),0)</f>
        <v/>
      </c>
      <c r="Z70" s="106">
        <f>IF(AND(AI70&lt;=Rates!$Y$10,AI70&gt;=0),Info!$C$12*(AC70-AD70),0)</f>
        <v/>
      </c>
      <c r="AA70" s="13">
        <f>IF(AND(AI70&gt;=0,AI70&lt;=Rates!$Y$2,AG70&gt;0),MIN(AA69*(1+Info!$F$10),5000000000),0)</f>
        <v/>
      </c>
      <c r="AB70" s="106">
        <f>IF(AND(AI70&gt;=0,AI70&lt;=65),AD70*Info!$L$16,0)</f>
        <v/>
      </c>
      <c r="AC70" s="13">
        <f>IF(AND(AI70&gt;=0,AI70&lt;=Rates!$Y$3),AD70*(1+Info!$L$14),AD70)</f>
        <v/>
      </c>
      <c r="AD70" s="106">
        <f>IF(AI70&lt;&gt;0,AD69*(1+Info!$F$10),0)</f>
        <v/>
      </c>
      <c r="AE70" s="105">
        <f>IF(AI70&lt;&gt;0,AF70+AE69,0)</f>
        <v/>
      </c>
      <c r="AF70" s="13">
        <f>IF(AI70&gt;=0,IF(Info!$C$16="بله",AG70,AG70+L70),"")</f>
        <v/>
      </c>
      <c r="AG70" s="107">
        <f>IF(AI70&lt;&gt;0,AG69*(1+Info!$F$8),0)</f>
        <v/>
      </c>
      <c r="AH70" s="111">
        <f>IF(AJ70&lt;&gt;"",Info!$C$6+AJ70-1,0)</f>
        <v/>
      </c>
      <c r="AI70" s="17">
        <f>IF(AJ70&lt;&gt;"",IF(Info!$F$6+AJ70-1&lt;=Rates!$Y$11,Info!$F$6+AJ70-1,0),0)</f>
        <v/>
      </c>
      <c r="AJ70" s="18">
        <f>IF(AI69&lt;&gt;"",IF(AND(AJ69&lt;&gt;"",AI69+1&lt;=Rates!$Y$11),IF(AJ69&lt;&gt;0,IF(AJ69+1&lt;=Info!$I$6,AJ69+1,""),0),""),"")</f>
        <v/>
      </c>
    </row>
    <row r="71" ht="14.25" customFormat="1" customHeight="1" s="164">
      <c r="A71" s="11">
        <f>IF(B71&gt;0,IF(Info!$C$16="بله",AG71/B71,(AG71+L71)/B71),0)</f>
        <v/>
      </c>
      <c r="B71" s="11">
        <f>IF(AND(AI71&gt;=0,AJ71&lt;=Info!$I$6),LOOKUP(Info!$C$8,Rates!$I$2:$I$7,Rates!$F$2:$F$7),0)</f>
        <v/>
      </c>
      <c r="C71" s="12">
        <f>IF(AND(AI71&gt;=0,AJ71&lt;=Info!$I$6),F71+F71*(IF(AJ71&lt;3,VLOOKUP(Info!$C$10,Rates!$A$15:$B$19,2,FALSE),IF(AJ71&lt;5,VLOOKUP(Info!$C$10,Rates!$A$15:$C$19,3,FALSE),VLOOKUP(Info!$C$10,Rates!$A$15:$D$19,4,FALSE)))+(Info!$I$22-IF(AJ71&gt;4,LOOKUP(Info!$C$10,Rates!$D$2:$D$7,Rates!$A$2:$A$7),LOOKUP(Info!$C$10,Rates!$D$2:$D$7,Rates!$C$2:$C$7))))*LOOKUP(Info!$C$8,Rates!$I$2:$I$7,Rates!$G$2:$G$7)+C70*(1+IF(AJ71&lt;3,VLOOKUP(Info!$C$10,Rates!$A$15:$B$19,2,FALSE),IF(AJ71&lt;5,VLOOKUP(Info!$C$10,Rates!$A$15:$C$19,3,FALSE),VLOOKUP(Info!$C$10,Rates!$A$15:$D$19,4,FALSE)))+(Info!$I$22-IF(AJ71&lt;3,VLOOKUP(Info!$C$10,Rates!$A$15:$B$19,2,FALSE),IF(AJ71&lt;5,VLOOKUP(Info!$C$10,Rates!$A$15:$C$19,3,FALSE),VLOOKUP(Info!$C$10,Rates!$A$15:$D$19,4,FALSE))))),0)</f>
        <v/>
      </c>
      <c r="D71" s="12">
        <f>IF(AI71&lt;&gt;"",E71,"")</f>
        <v/>
      </c>
      <c r="E71" s="12">
        <f>IF(AI71&lt;&gt;0,F71*(1+IF(AJ71&lt;3,VLOOKUP(Info!$C$10,Rates!$A$14:$B$19,2,FALSE),IF(AJ71&lt;5,VLOOKUP(Info!$C$10,Rates!$A$14:$C$19,3,FALSE),VLOOKUP(Info!$C$10,Rates!$A$14:$D$19,4,FALSE)))*LOOKUP(Info!$C$8,Rates!$I$2:$I$8,Rates!$G$2:$G$8))+E70*(1+IF(AJ71&lt;3,VLOOKUP(Info!$C$10,Rates!$A$14:$B$19,2,FALSE),IF(AJ71&lt;5,VLOOKUP(Info!$C$10,Rates!$A$14:$C$19,3,FALSE),VLOOKUP(Info!$C$10,Rates!$A$14:$D$19,4,FALSE)))),0)</f>
        <v/>
      </c>
      <c r="F71" s="12">
        <f>IF(AI71&lt;&gt;"",IF(Info!$C$16="بله",IF(AND(AJ71&lt;=Info!$F$20,AJ71&gt;=Info!$I$20),Info!$C$20,0)+(AG71-Y71-L71-K71-J71-I71-H71-G71),IF(AND(AJ71&lt;=Info!$F$20,AJ71&gt;=Info!$I$20),Info!$C$20,0)+(AG71-Y71-K71-J71-I71-H71-G71)),"")</f>
        <v/>
      </c>
      <c r="G71" s="107">
        <f>IF(AI71&lt;&gt;"",Rates!$AA$11*(L71),"")</f>
        <v/>
      </c>
      <c r="H71" s="107">
        <f>IF(AI71&lt;&gt;"",(Rates!$AC$11+Rates!$AB$11)*(L71),"")</f>
        <v/>
      </c>
      <c r="I71" s="12">
        <f>IF(AI71&lt;&gt;"",LOOKUP(Info!$C$8,Rates!$I$2:$I$7,Rates!$H$2:$H$7)*(J71+K71+L71+Y71),"")</f>
        <v/>
      </c>
      <c r="J71" s="12">
        <f>IF(N71="",0,N71)+IF(P71="",0,P71)+IF(Q71="",0,Q71)</f>
        <v/>
      </c>
      <c r="K71" s="12">
        <f>IF(Y71&lt;&gt;"",Info!$C$18*Y71,"")</f>
        <v/>
      </c>
      <c r="L71" s="12">
        <f>IF(R71="",0,R71)+IF(U71="",0,U71)+IF(W71="",0,W71)+IF(V71="",0,V71)+IF(T71="",0,T71)</f>
        <v/>
      </c>
      <c r="M71" s="12" t="n">
        <v>0</v>
      </c>
      <c r="N71" s="12" t="n">
        <v>0</v>
      </c>
      <c r="O71" s="12">
        <f>IF(AJ71&lt;=10,(1-Info!$C$25)*IF(OR(Info!$F$8&gt;0,Info!$F$10&gt;0),IF(0.75*$X$4&lt;=0.03*$AD$4,0.75*(X71-X70),0.03*(AD71-AD70)),0),"")</f>
        <v/>
      </c>
      <c r="P71" s="12">
        <f>IF(AJ71&lt;=5,IF(AI71&lt;&gt;"",0.002*AD71,"")*(1-Info!$I$25),0)</f>
        <v/>
      </c>
      <c r="Q71" s="12">
        <f>(1-Info!$F$25)*IF(AI71&lt;&gt;"",IF(Info!$C$16="بله",0.07*X71,0.07*AG71),"")</f>
        <v/>
      </c>
      <c r="R71" s="12">
        <f>IF(X71&lt;&gt;0,S71*X71,0)*(1-Info!$F$29)</f>
        <v/>
      </c>
      <c r="S71" s="107">
        <f>IF(Info!$I$14="خیر",0,IF(Info!$F$14="بله",IF(Info!$C$14=1,2.3,IF(Info!$C$14=2,3.3,4.3)),1))*IF(AND(AH71&lt;=Rates!$Y$8,AH71&gt;0),(1+Info!$C$18)*(1+LOOKUP(Info!$F$18,Rates!$O$2:$O$9,Rates!$L$2:$L$9)/100)*(LOOKUP(Info!$C$6,Rates!$T$2:$T$108,Rates!$R$2:$R$108)/100),0)</f>
        <v/>
      </c>
      <c r="T71" s="12">
        <f>IF(AI71&lt;71,(1-Info!$F$27)*((AB71*0.0008*(1+(LOOKUP(Info!$I$18,Rates!$O$2:$O$9,Rates!$M$2:$M$9)/100)))),0)</f>
        <v/>
      </c>
      <c r="U71" s="12">
        <f>IF(AI71&lt;71,(1-Info!$I$27)*(((AD71*0.0008*Info!$L$14))*(1+(LOOKUP(Info!$I$18,Rates!$O:$O,Rates!$N:$N)/100))),0)</f>
        <v/>
      </c>
      <c r="V71" s="12">
        <f>((Z71*0.0008))*(1+(LOOKUP(Info!$I$18,Rates!$O$2:$O$9,Rates!$M$2:$M$9)/100))*(1-Info!$C$27)</f>
        <v/>
      </c>
      <c r="W71" s="12">
        <f>IF(AND(AI71&lt;=Rates!$Y$2,AJ71&lt;=Info!$I$6,Info!$F$16="معمولی"),VLOOKUP(AI71,Rates!$T$1:$X$108,5,0),IF(AND(AI71&lt;=Rates!$Y$2,AJ71&lt;=Info!$I$6,Info!$F$16="پایه"),VLOOKUP(AI71,Rates!$T$1:$X$108,2,0),IF(AND(AI71&lt;=Rates!$Y$2,AJ71&lt;=Info!$I$6,Info!$F$16="آسایش "),VLOOKUP(AI71,Rates!$T$1:$X$108,3,0),IF(AND(AI71&lt;=Rates!$Y$2,AJ71&lt;=Info!$I$6,Info!$F$16="ممتاز"),VLOOKUP(AI71,Rates!$T$1:$X$108,4,0),0))))*AA71/1000000*(1+Info!$C$18)*(1-Info!$I$29)</f>
        <v/>
      </c>
      <c r="X71" s="12">
        <f>IF(Info!$C$16="بله",(AG71-W71-U71-V71-T71)/(1+S71),AG71)</f>
        <v/>
      </c>
      <c r="Y71" s="107">
        <f>IF(AI71&lt;&gt;0,(AD71*LOOKUP(AI71,Rates!$T$2:$T$108,Rates!$S$2:$S$108))/SQRT(1.1),0)</f>
        <v/>
      </c>
      <c r="Z71" s="107">
        <f>IF(AND(AI71&lt;=Rates!$Y$10,AI71&gt;=0),Info!$C$12*(AC71-AD71),0)</f>
        <v/>
      </c>
      <c r="AA71" s="12">
        <f>IF(AND(AI71&gt;=0,AI71&lt;=Rates!$Y$2,AG71&gt;0),MIN(AA70*(1+Info!$F$10),5000000000),0)</f>
        <v/>
      </c>
      <c r="AB71" s="107">
        <f>IF(AND(AI71&gt;=0,AI71&lt;=65),AD71*Info!$L$16,0)</f>
        <v/>
      </c>
      <c r="AC71" s="12">
        <f>IF(AND(AI71&gt;=0,AI71&lt;=Rates!$Y$3),AD71*(1+Info!$L$14),AD71)</f>
        <v/>
      </c>
      <c r="AD71" s="107">
        <f>IF(AI71&lt;&gt;0,AD70*(1+Info!$F$10),0)</f>
        <v/>
      </c>
      <c r="AE71" s="104">
        <f>IF(AI71&lt;&gt;0,AF71+AE70,0)</f>
        <v/>
      </c>
      <c r="AF71" s="12">
        <f>IF(AI71&gt;=0,IF(Info!$C$16="بله",AG71,AG71+L71),"")</f>
        <v/>
      </c>
      <c r="AG71" s="107">
        <f>IF(AI71&lt;&gt;0,AG70*(1+Info!$F$8),0)</f>
        <v/>
      </c>
      <c r="AH71" s="110">
        <f>IF(AJ71&lt;&gt;"",Info!$C$6+AJ71-1,0)</f>
        <v/>
      </c>
      <c r="AI71" s="14">
        <f>IF(AJ71&lt;&gt;"",IF(Info!$F$6+AJ71-1&lt;=Rates!$Y$11,Info!$F$6+AJ71-1,0),0)</f>
        <v/>
      </c>
      <c r="AJ71" s="15">
        <f>IF(AI70&lt;&gt;"",IF(AND(AJ70&lt;&gt;"",AI70+1&lt;=Rates!$Y$11),IF(AJ70&lt;&gt;0,IF(AJ70+1&lt;=Info!$I$6,AJ70+1,""),0),""),"")</f>
        <v/>
      </c>
    </row>
    <row r="72" ht="14.25" customFormat="1" customHeight="1" s="164">
      <c r="A72" s="16">
        <f>IF(B72&gt;0,IF(Info!$C$16="بله",AG72/B72,(AG72+L72)/B72),0)</f>
        <v/>
      </c>
      <c r="B72" s="16">
        <f>IF(AND(AI72&gt;=0,AJ72&lt;=Info!$I$6),LOOKUP(Info!$C$8,Rates!$I$2:$I$7,Rates!$F$2:$F$7),0)</f>
        <v/>
      </c>
      <c r="C72" s="13">
        <f>IF(AND(AI72&gt;=0,AJ72&lt;=Info!$I$6),F72+F72*(IF(AJ72&lt;3,VLOOKUP(Info!$C$10,Rates!$A$15:$B$19,2,FALSE),IF(AJ72&lt;5,VLOOKUP(Info!$C$10,Rates!$A$15:$C$19,3,FALSE),VLOOKUP(Info!$C$10,Rates!$A$15:$D$19,4,FALSE)))+(Info!$I$22-IF(AJ72&gt;4,LOOKUP(Info!$C$10,Rates!$D$2:$D$7,Rates!$A$2:$A$7),LOOKUP(Info!$C$10,Rates!$D$2:$D$7,Rates!$C$2:$C$7))))*LOOKUP(Info!$C$8,Rates!$I$2:$I$7,Rates!$G$2:$G$7)+C71*(1+IF(AJ72&lt;3,VLOOKUP(Info!$C$10,Rates!$A$15:$B$19,2,FALSE),IF(AJ72&lt;5,VLOOKUP(Info!$C$10,Rates!$A$15:$C$19,3,FALSE),VLOOKUP(Info!$C$10,Rates!$A$15:$D$19,4,FALSE)))+(Info!$I$22-IF(AJ72&lt;3,VLOOKUP(Info!$C$10,Rates!$A$15:$B$19,2,FALSE),IF(AJ72&lt;5,VLOOKUP(Info!$C$10,Rates!$A$15:$C$19,3,FALSE),VLOOKUP(Info!$C$10,Rates!$A$15:$D$19,4,FALSE))))),0)</f>
        <v/>
      </c>
      <c r="D72" s="13">
        <f>IF(AI72&lt;&gt;"",E72,"")</f>
        <v/>
      </c>
      <c r="E72" s="12">
        <f>IF(AI72&lt;&gt;0,F72*(1+IF(AJ72&lt;3,VLOOKUP(Info!$C$10,Rates!$A$14:$B$19,2,FALSE),IF(AJ72&lt;5,VLOOKUP(Info!$C$10,Rates!$A$14:$C$19,3,FALSE),VLOOKUP(Info!$C$10,Rates!$A$14:$D$19,4,FALSE)))*LOOKUP(Info!$C$8,Rates!$I$2:$I$8,Rates!$G$2:$G$8))+E71*(1+IF(AJ72&lt;3,VLOOKUP(Info!$C$10,Rates!$A$14:$B$19,2,FALSE),IF(AJ72&lt;5,VLOOKUP(Info!$C$10,Rates!$A$14:$C$19,3,FALSE),VLOOKUP(Info!$C$10,Rates!$A$14:$D$19,4,FALSE)))),0)</f>
        <v/>
      </c>
      <c r="F72" s="13">
        <f>IF(AI72&lt;&gt;"",IF(Info!$C$16="بله",IF(AND(AJ72&lt;=Info!$F$20,AJ72&gt;=Info!$I$20),Info!$C$20,0)+(AG72-Y72-L72-K72-J72-I72-H72-G72),IF(AND(AJ72&lt;=Info!$F$20,AJ72&gt;=Info!$I$20),Info!$C$20,0)+(AG72-Y72-K72-J72-I72-H72-G72)),"")</f>
        <v/>
      </c>
      <c r="G72" s="106">
        <f>IF(AI72&lt;&gt;"",Rates!$AA$11*(L72),"")</f>
        <v/>
      </c>
      <c r="H72" s="106">
        <f>IF(AI72&lt;&gt;"",(Rates!$AC$11+Rates!$AB$11)*(L72),"")</f>
        <v/>
      </c>
      <c r="I72" s="13">
        <f>IF(AI72&lt;&gt;"",LOOKUP(Info!$C$8,Rates!$I$2:$I$7,Rates!$H$2:$H$7)*(J72+K72+L72+Y72),"")</f>
        <v/>
      </c>
      <c r="J72" s="13">
        <f>IF(N72="",0,N72)+IF(P72="",0,P72)+IF(Q72="",0,Q72)</f>
        <v/>
      </c>
      <c r="K72" s="13">
        <f>IF(Y72&lt;&gt;"",Info!$C$18*Y72,"")</f>
        <v/>
      </c>
      <c r="L72" s="13">
        <f>IF(R72="",0,R72)+IF(U72="",0,U72)+IF(W72="",0,W72)+IF(V72="",0,V72)+IF(T72="",0,T72)</f>
        <v/>
      </c>
      <c r="M72" s="13" t="n">
        <v>0</v>
      </c>
      <c r="N72" s="13" t="n">
        <v>0</v>
      </c>
      <c r="O72" s="12">
        <f>IF(AJ72&lt;=10,(1-Info!$C$25)*IF(OR(Info!$F$8&gt;0,Info!$F$10&gt;0),IF(0.75*$X$4&lt;=0.03*$AD$4,0.75*(X72-X71),0.03*(AD72-AD71)),0),"")</f>
        <v/>
      </c>
      <c r="P72" s="13">
        <f>IF(AJ72&lt;=5,IF(AI72&lt;&gt;"",0.002*AD72,"")*(1-Info!$I$25),0)</f>
        <v/>
      </c>
      <c r="Q72" s="13">
        <f>(1-Info!$F$25)*IF(AI72&lt;&gt;"",IF(Info!$C$16="بله",0.07*X72,0.07*AG72),"")</f>
        <v/>
      </c>
      <c r="R72" s="13">
        <f>IF(X72&lt;&gt;0,S72*X72,0)*(1-Info!$F$29)</f>
        <v/>
      </c>
      <c r="S72" s="106">
        <f>IF(Info!$I$14="خیر",0,IF(Info!$F$14="بله",IF(Info!$C$14=1,2.3,IF(Info!$C$14=2,3.3,4.3)),1))*IF(AND(AH72&lt;=Rates!$Y$8,AH72&gt;0),(1+Info!$C$18)*(1+LOOKUP(Info!$F$18,Rates!$O$2:$O$9,Rates!$L$2:$L$9)/100)*(LOOKUP(Info!$C$6,Rates!$T$2:$T$108,Rates!$R$2:$R$108)/100),0)</f>
        <v/>
      </c>
      <c r="T72" s="13">
        <f>IF(AI72&lt;71,(1-Info!$F$27)*((AB72*0.0008*(1+(LOOKUP(Info!$I$18,Rates!$O$2:$O$9,Rates!$M$2:$M$9)/100)))),0)</f>
        <v/>
      </c>
      <c r="U72" s="13">
        <f>IF(AI72&lt;71,(1-Info!$I$27)*(((AD72*0.0008*Info!$L$14))*(1+(LOOKUP(Info!$I$18,Rates!$O:$O,Rates!$N:$N)/100))),0)</f>
        <v/>
      </c>
      <c r="V72" s="13">
        <f>((Z72*0.0008))*(1+(LOOKUP(Info!$I$18,Rates!$O$2:$O$9,Rates!$M$2:$M$9)/100))*(1-Info!$C$27)</f>
        <v/>
      </c>
      <c r="W72" s="13">
        <f>IF(AND(AI72&lt;=Rates!$Y$2,AJ72&lt;=Info!$I$6,Info!$F$16="معمولی"),VLOOKUP(AI72,Rates!$T$1:$X$108,5,0),IF(AND(AI72&lt;=Rates!$Y$2,AJ72&lt;=Info!$I$6,Info!$F$16="پایه"),VLOOKUP(AI72,Rates!$T$1:$X$108,2,0),IF(AND(AI72&lt;=Rates!$Y$2,AJ72&lt;=Info!$I$6,Info!$F$16="آسایش "),VLOOKUP(AI72,Rates!$T$1:$X$108,3,0),IF(AND(AI72&lt;=Rates!$Y$2,AJ72&lt;=Info!$I$6,Info!$F$16="ممتاز"),VLOOKUP(AI72,Rates!$T$1:$X$108,4,0),0))))*AA72/1000000*(1+Info!$C$18)*(1-Info!$I$29)</f>
        <v/>
      </c>
      <c r="X72" s="113">
        <f>IF(Info!$C$16="بله",(AG72-W72-U72-V72-T72)/(1+S72),AG72)</f>
        <v/>
      </c>
      <c r="Y72" s="106">
        <f>IF(AI72&lt;&gt;0,(AD72*LOOKUP(AI72,Rates!$T$2:$T$108,Rates!$S$2:$S$108))/SQRT(1.1),0)</f>
        <v/>
      </c>
      <c r="Z72" s="106">
        <f>IF(AND(AI72&lt;=Rates!$Y$10,AI72&gt;=0),Info!$C$12*(AC72-AD72),0)</f>
        <v/>
      </c>
      <c r="AA72" s="13">
        <f>IF(AND(AI72&gt;=0,AI72&lt;=Rates!$Y$2,AG72&gt;0),MIN(AA71*(1+Info!$F$10),5000000000),0)</f>
        <v/>
      </c>
      <c r="AB72" s="106">
        <f>IF(AND(AI72&gt;=0,AI72&lt;=65),AD72*Info!$L$16,0)</f>
        <v/>
      </c>
      <c r="AC72" s="13">
        <f>IF(AND(AI72&gt;=0,AI72&lt;=Rates!$Y$3),AD72*(1+Info!$L$14),AD72)</f>
        <v/>
      </c>
      <c r="AD72" s="106">
        <f>IF(AI72&lt;&gt;0,AD71*(1+Info!$F$10),0)</f>
        <v/>
      </c>
      <c r="AE72" s="105">
        <f>IF(AI72&lt;&gt;0,AF72+AE71,0)</f>
        <v/>
      </c>
      <c r="AF72" s="13">
        <f>IF(AI72&gt;=0,IF(Info!$C$16="بله",AG72,AG72+L72),"")</f>
        <v/>
      </c>
      <c r="AG72" s="107">
        <f>IF(AI72&lt;&gt;0,AG71*(1+Info!$F$8),0)</f>
        <v/>
      </c>
      <c r="AH72" s="111">
        <f>IF(AJ72&lt;&gt;"",Info!$C$6+AJ72-1,0)</f>
        <v/>
      </c>
      <c r="AI72" s="17">
        <f>IF(AJ72&lt;&gt;"",IF(Info!$F$6+AJ72-1&lt;=Rates!$Y$11,Info!$F$6+AJ72-1,0),0)</f>
        <v/>
      </c>
      <c r="AJ72" s="18">
        <f>IF(AI71&lt;&gt;"",IF(AND(AJ71&lt;&gt;"",AI71+1&lt;=Rates!$Y$11),IF(AJ71&lt;&gt;0,IF(AJ71+1&lt;=Info!$I$6,AJ71+1,""),0),""),"")</f>
        <v/>
      </c>
    </row>
    <row r="73" ht="14.25" customFormat="1" customHeight="1" s="164">
      <c r="A73" s="11">
        <f>IF(B73&gt;0,IF(Info!$C$16="بله",AG73/B73,(AG73+L73)/B73),0)</f>
        <v/>
      </c>
      <c r="B73" s="11">
        <f>IF(AND(AI73&gt;=0,AJ73&lt;=Info!$I$6),LOOKUP(Info!$C$8,Rates!$I$2:$I$7,Rates!$F$2:$F$7),0)</f>
        <v/>
      </c>
      <c r="C73" s="12">
        <f>IF(AND(AI73&gt;=0,AJ73&lt;=Info!$I$6),F73+F73*(IF(AJ73&lt;3,VLOOKUP(Info!$C$10,Rates!$A$15:$B$19,2,FALSE),IF(AJ73&lt;5,VLOOKUP(Info!$C$10,Rates!$A$15:$C$19,3,FALSE),VLOOKUP(Info!$C$10,Rates!$A$15:$D$19,4,FALSE)))+(Info!$I$22-IF(AJ73&gt;4,LOOKUP(Info!$C$10,Rates!$D$2:$D$7,Rates!$A$2:$A$7),LOOKUP(Info!$C$10,Rates!$D$2:$D$7,Rates!$C$2:$C$7))))*LOOKUP(Info!$C$8,Rates!$I$2:$I$7,Rates!$G$2:$G$7)+C72*(1+IF(AJ73&lt;3,VLOOKUP(Info!$C$10,Rates!$A$15:$B$19,2,FALSE),IF(AJ73&lt;5,VLOOKUP(Info!$C$10,Rates!$A$15:$C$19,3,FALSE),VLOOKUP(Info!$C$10,Rates!$A$15:$D$19,4,FALSE)))+(Info!$I$22-IF(AJ73&lt;3,VLOOKUP(Info!$C$10,Rates!$A$15:$B$19,2,FALSE),IF(AJ73&lt;5,VLOOKUP(Info!$C$10,Rates!$A$15:$C$19,3,FALSE),VLOOKUP(Info!$C$10,Rates!$A$15:$D$19,4,FALSE))))),0)</f>
        <v/>
      </c>
      <c r="D73" s="12">
        <f>IF(AI73&lt;&gt;"",E73,"")</f>
        <v/>
      </c>
      <c r="E73" s="12">
        <f>IF(AI73&lt;&gt;0,F73*(1+IF(AJ73&lt;3,VLOOKUP(Info!$C$10,Rates!$A$14:$B$19,2,FALSE),IF(AJ73&lt;5,VLOOKUP(Info!$C$10,Rates!$A$14:$C$19,3,FALSE),VLOOKUP(Info!$C$10,Rates!$A$14:$D$19,4,FALSE)))*LOOKUP(Info!$C$8,Rates!$I$2:$I$8,Rates!$G$2:$G$8))+E72*(1+IF(AJ73&lt;3,VLOOKUP(Info!$C$10,Rates!$A$14:$B$19,2,FALSE),IF(AJ73&lt;5,VLOOKUP(Info!$C$10,Rates!$A$14:$C$19,3,FALSE),VLOOKUP(Info!$C$10,Rates!$A$14:$D$19,4,FALSE)))),0)</f>
        <v/>
      </c>
      <c r="F73" s="12">
        <f>IF(AI73&lt;&gt;"",IF(Info!$C$16="بله",IF(AND(AJ73&lt;=Info!$F$20,AJ73&gt;=Info!$I$20),Info!$C$20,0)+(AG73-Y73-L73-K73-J73-I73-H73-G73),IF(AND(AJ73&lt;=Info!$F$20,AJ73&gt;=Info!$I$20),Info!$C$20,0)+(AG73-Y73-K73-J73-I73-H73-G73)),"")</f>
        <v/>
      </c>
      <c r="G73" s="107">
        <f>IF(AI73&lt;&gt;"",Rates!$AA$11*(L73),"")</f>
        <v/>
      </c>
      <c r="H73" s="107">
        <f>IF(AI73&lt;&gt;"",(Rates!$AC$11+Rates!$AB$11)*(L73),"")</f>
        <v/>
      </c>
      <c r="I73" s="12">
        <f>IF(AI73&lt;&gt;"",LOOKUP(Info!$C$8,Rates!$I$2:$I$7,Rates!$H$2:$H$7)*(J73+K73+L73+Y73),"")</f>
        <v/>
      </c>
      <c r="J73" s="12">
        <f>IF(N73="",0,N73)+IF(P73="",0,P73)+IF(Q73="",0,Q73)</f>
        <v/>
      </c>
      <c r="K73" s="12">
        <f>IF(Y73&lt;&gt;"",Info!$C$18*Y73,"")</f>
        <v/>
      </c>
      <c r="L73" s="12">
        <f>IF(R73="",0,R73)+IF(U73="",0,U73)+IF(W73="",0,W73)+IF(V73="",0,V73)+IF(T73="",0,T73)</f>
        <v/>
      </c>
      <c r="M73" s="12" t="n">
        <v>0</v>
      </c>
      <c r="N73" s="12" t="n">
        <v>0</v>
      </c>
      <c r="O73" s="12">
        <f>IF(AJ73&lt;=10,(1-Info!$C$25)*IF(OR(Info!$F$8&gt;0,Info!$F$10&gt;0),IF(0.75*$X$4&lt;=0.03*$AD$4,0.75*(X73-X72),0.03*(AD73-AD72)),0),"")</f>
        <v/>
      </c>
      <c r="P73" s="12">
        <f>IF(AJ73&lt;=5,IF(AI73&lt;&gt;"",0.002*AD73,"")*(1-Info!$I$25),0)</f>
        <v/>
      </c>
      <c r="Q73" s="12">
        <f>(1-Info!$F$25)*IF(AI73&lt;&gt;"",IF(Info!$C$16="بله",0.07*X73,0.07*AG73),"")</f>
        <v/>
      </c>
      <c r="R73" s="12">
        <f>IF(X73&lt;&gt;0,S73*X73,0)*(1-Info!$F$29)</f>
        <v/>
      </c>
      <c r="S73" s="107">
        <f>IF(Info!$I$14="خیر",0,IF(Info!$F$14="بله",IF(Info!$C$14=1,2.3,IF(Info!$C$14=2,3.3,4.3)),1))*IF(AND(AH73&lt;=Rates!$Y$8,AH73&gt;0),(1+Info!$C$18)*(1+LOOKUP(Info!$F$18,Rates!$O$2:$O$9,Rates!$L$2:$L$9)/100)*(LOOKUP(Info!$C$6,Rates!$T$2:$T$108,Rates!$R$2:$R$108)/100),0)</f>
        <v/>
      </c>
      <c r="T73" s="12">
        <f>IF(AI73&lt;71,(1-Info!$F$27)*((AB73*0.0008*(1+(LOOKUP(Info!$I$18,Rates!$O$2:$O$9,Rates!$M$2:$M$9)/100)))),0)</f>
        <v/>
      </c>
      <c r="U73" s="12">
        <f>IF(AI73&lt;71,(1-Info!$I$27)*(((AD73*0.0008*Info!$L$14))*(1+(LOOKUP(Info!$I$18,Rates!$O:$O,Rates!$N:$N)/100))),0)</f>
        <v/>
      </c>
      <c r="V73" s="12">
        <f>((Z73*0.0008))*(1+(LOOKUP(Info!$I$18,Rates!$O$2:$O$9,Rates!$M$2:$M$9)/100))*(1-Info!$C$27)</f>
        <v/>
      </c>
      <c r="W73" s="12">
        <f>IF(AND(AI73&lt;=Rates!$Y$2,AJ73&lt;=Info!$I$6,Info!$F$16="معمولی"),VLOOKUP(AI73,Rates!$T$1:$X$108,5,0),IF(AND(AI73&lt;=Rates!$Y$2,AJ73&lt;=Info!$I$6,Info!$F$16="پایه"),VLOOKUP(AI73,Rates!$T$1:$X$108,2,0),IF(AND(AI73&lt;=Rates!$Y$2,AJ73&lt;=Info!$I$6,Info!$F$16="آسایش "),VLOOKUP(AI73,Rates!$T$1:$X$108,3,0),IF(AND(AI73&lt;=Rates!$Y$2,AJ73&lt;=Info!$I$6,Info!$F$16="ممتاز"),VLOOKUP(AI73,Rates!$T$1:$X$108,4,0),0))))*AA73/1000000*(1+Info!$C$18)*(1-Info!$I$29)</f>
        <v/>
      </c>
      <c r="X73" s="12">
        <f>IF(Info!$C$16="بله",(AG73-W73-U73-V73-T73)/(1+S73),AG73)</f>
        <v/>
      </c>
      <c r="Y73" s="107">
        <f>IF(AI73&lt;&gt;0,(AD73*LOOKUP(AI73,Rates!$T$2:$T$108,Rates!$S$2:$S$108))/SQRT(1.1),0)</f>
        <v/>
      </c>
      <c r="Z73" s="107">
        <f>IF(AND(AI73&lt;=Rates!$Y$10,AI73&gt;=0),Info!$C$12*(AC73-AD73),0)</f>
        <v/>
      </c>
      <c r="AA73" s="12">
        <f>IF(AND(AI73&gt;=0,AI73&lt;=Rates!$Y$2,AG73&gt;0),MIN(AA72*(1+Info!$F$10),5000000000),0)</f>
        <v/>
      </c>
      <c r="AB73" s="107">
        <f>IF(AND(AI73&gt;=0,AI73&lt;=65),AD73*Info!$L$16,0)</f>
        <v/>
      </c>
      <c r="AC73" s="12">
        <f>IF(AND(AI73&gt;=0,AI73&lt;=Rates!$Y$3),AD73*(1+Info!$L$14),AD73)</f>
        <v/>
      </c>
      <c r="AD73" s="107">
        <f>IF(AI73&lt;&gt;0,AD72*(1+Info!$F$10),0)</f>
        <v/>
      </c>
      <c r="AE73" s="104">
        <f>IF(AI73&lt;&gt;0,AF73+AE72,0)</f>
        <v/>
      </c>
      <c r="AF73" s="12">
        <f>IF(AI73&gt;=0,IF(Info!$C$16="بله",AG73,AG73+L73),"")</f>
        <v/>
      </c>
      <c r="AG73" s="107">
        <f>IF(AI73&lt;&gt;0,AG72*(1+Info!$F$8),0)</f>
        <v/>
      </c>
      <c r="AH73" s="110">
        <f>IF(AJ73&lt;&gt;"",Info!$C$6+AJ73-1,0)</f>
        <v/>
      </c>
      <c r="AI73" s="14">
        <f>IF(AJ73&lt;&gt;"",IF(Info!$F$6+AJ73-1&lt;=Rates!$Y$11,Info!$F$6+AJ73-1,0),0)</f>
        <v/>
      </c>
      <c r="AJ73" s="15">
        <f>IF(AI72&lt;&gt;"",IF(AND(AJ72&lt;&gt;"",AI72+1&lt;=Rates!$Y$11),IF(AJ72&lt;&gt;0,IF(AJ72+1&lt;=Info!$I$6,AJ72+1,""),0),""),"")</f>
        <v/>
      </c>
    </row>
    <row r="74" ht="14.25" customFormat="1" customHeight="1" s="164">
      <c r="A74" s="16">
        <f>IF(B74&gt;0,IF(Info!$C$16="بله",AG74/B74,(AG74+L74)/B74),0)</f>
        <v/>
      </c>
      <c r="B74" s="16">
        <f>IF(AND(AI74&gt;=0,AJ74&lt;=Info!$I$6),LOOKUP(Info!$C$8,Rates!$I$2:$I$7,Rates!$F$2:$F$7),0)</f>
        <v/>
      </c>
      <c r="C74" s="13">
        <f>IF(AND(AI74&gt;=0,AJ74&lt;=Info!$I$6),F74+F74*(IF(AJ74&lt;3,VLOOKUP(Info!$C$10,Rates!$A$15:$B$19,2,FALSE),IF(AJ74&lt;5,VLOOKUP(Info!$C$10,Rates!$A$15:$C$19,3,FALSE),VLOOKUP(Info!$C$10,Rates!$A$15:$D$19,4,FALSE)))+(Info!$I$22-IF(AJ74&gt;4,LOOKUP(Info!$C$10,Rates!$D$2:$D$7,Rates!$A$2:$A$7),LOOKUP(Info!$C$10,Rates!$D$2:$D$7,Rates!$C$2:$C$7))))*LOOKUP(Info!$C$8,Rates!$I$2:$I$7,Rates!$G$2:$G$7)+C73*(1+IF(AJ74&lt;3,VLOOKUP(Info!$C$10,Rates!$A$15:$B$19,2,FALSE),IF(AJ74&lt;5,VLOOKUP(Info!$C$10,Rates!$A$15:$C$19,3,FALSE),VLOOKUP(Info!$C$10,Rates!$A$15:$D$19,4,FALSE)))+(Info!$I$22-IF(AJ74&lt;3,VLOOKUP(Info!$C$10,Rates!$A$15:$B$19,2,FALSE),IF(AJ74&lt;5,VLOOKUP(Info!$C$10,Rates!$A$15:$C$19,3,FALSE),VLOOKUP(Info!$C$10,Rates!$A$15:$D$19,4,FALSE))))),0)</f>
        <v/>
      </c>
      <c r="D74" s="13">
        <f>IF(AI74&lt;&gt;"",E74,"")</f>
        <v/>
      </c>
      <c r="E74" s="12">
        <f>IF(AI74&lt;&gt;0,F74*(1+IF(AJ74&lt;3,VLOOKUP(Info!$C$10,Rates!$A$14:$B$19,2,FALSE),IF(AJ74&lt;5,VLOOKUP(Info!$C$10,Rates!$A$14:$C$19,3,FALSE),VLOOKUP(Info!$C$10,Rates!$A$14:$D$19,4,FALSE)))*LOOKUP(Info!$C$8,Rates!$I$2:$I$8,Rates!$G$2:$G$8))+E73*(1+IF(AJ74&lt;3,VLOOKUP(Info!$C$10,Rates!$A$14:$B$19,2,FALSE),IF(AJ74&lt;5,VLOOKUP(Info!$C$10,Rates!$A$14:$C$19,3,FALSE),VLOOKUP(Info!$C$10,Rates!$A$14:$D$19,4,FALSE)))),0)</f>
        <v/>
      </c>
      <c r="F74" s="13">
        <f>IF(AI74&lt;&gt;"",IF(Info!$C$16="بله",IF(AND(AJ74&lt;=Info!$F$20,AJ74&gt;=Info!$I$20),Info!$C$20,0)+(AG74-Y74-L74-K74-J74-I74-H74-G74),IF(AND(AJ74&lt;=Info!$F$20,AJ74&gt;=Info!$I$20),Info!$C$20,0)+(AG74-Y74-K74-J74-I74-H74-G74)),"")</f>
        <v/>
      </c>
      <c r="G74" s="106">
        <f>IF(AI74&lt;&gt;"",Rates!$AA$11*(L74),"")</f>
        <v/>
      </c>
      <c r="H74" s="106">
        <f>IF(AI74&lt;&gt;"",(Rates!$AC$11+Rates!$AB$11)*(L74),"")</f>
        <v/>
      </c>
      <c r="I74" s="13">
        <f>IF(AI74&lt;&gt;"",LOOKUP(Info!$C$8,Rates!$I$2:$I$7,Rates!$H$2:$H$7)*(J74+K74+L74+Y74),"")</f>
        <v/>
      </c>
      <c r="J74" s="13">
        <f>IF(N74="",0,N74)+IF(P74="",0,P74)+IF(Q74="",0,Q74)</f>
        <v/>
      </c>
      <c r="K74" s="13">
        <f>IF(Y74&lt;&gt;"",Info!$C$18*Y74,"")</f>
        <v/>
      </c>
      <c r="L74" s="13">
        <f>IF(R74="",0,R74)+IF(U74="",0,U74)+IF(W74="",0,W74)+IF(V74="",0,V74)+IF(T74="",0,T74)</f>
        <v/>
      </c>
      <c r="M74" s="13" t="n">
        <v>0</v>
      </c>
      <c r="N74" s="13" t="n">
        <v>0</v>
      </c>
      <c r="O74" s="12">
        <f>IF(AJ74&lt;=10,(1-Info!$C$25)*IF(OR(Info!$F$8&gt;0,Info!$F$10&gt;0),IF(0.75*$X$4&lt;=0.03*$AD$4,0.75*(X74-X73),0.03*(AD74-AD73)),0),"")</f>
        <v/>
      </c>
      <c r="P74" s="13">
        <f>IF(AJ74&lt;=5,IF(AI74&lt;&gt;"",0.002*AD74,"")*(1-Info!$I$25),0)</f>
        <v/>
      </c>
      <c r="Q74" s="13">
        <f>(1-Info!$F$25)*IF(AI74&lt;&gt;"",IF(Info!$C$16="بله",0.07*X74,0.07*AG74),"")</f>
        <v/>
      </c>
      <c r="R74" s="13">
        <f>IF(X74&lt;&gt;0,S74*X74,0)*(1-Info!$F$29)</f>
        <v/>
      </c>
      <c r="S74" s="106">
        <f>IF(Info!$I$14="خیر",0,IF(Info!$F$14="بله",IF(Info!$C$14=1,2.3,IF(Info!$C$14=2,3.3,4.3)),1))*IF(AND(AH74&lt;=Rates!$Y$8,AH74&gt;0),(1+Info!$C$18)*(1+LOOKUP(Info!$F$18,Rates!$O$2:$O$9,Rates!$L$2:$L$9)/100)*(LOOKUP(Info!$C$6,Rates!$T$2:$T$108,Rates!$R$2:$R$108)/100),0)</f>
        <v/>
      </c>
      <c r="T74" s="13">
        <f>IF(AI74&lt;71,(1-Info!$F$27)*((AB74*0.0008*(1+(LOOKUP(Info!$I$18,Rates!$O$2:$O$9,Rates!$M$2:$M$9)/100)))),0)</f>
        <v/>
      </c>
      <c r="U74" s="13">
        <f>IF(AI74&lt;71,(1-Info!$I$27)*(((AD74*0.0008*Info!$L$14))*(1+(LOOKUP(Info!$I$18,Rates!$O:$O,Rates!$N:$N)/100))),0)</f>
        <v/>
      </c>
      <c r="V74" s="13">
        <f>((Z74*0.0008))*(1+(LOOKUP(Info!$I$18,Rates!$O$2:$O$9,Rates!$M$2:$M$9)/100))*(1-Info!$C$27)</f>
        <v/>
      </c>
      <c r="W74" s="13">
        <f>IF(AND(AI74&lt;=Rates!$Y$2,AJ74&lt;=Info!$I$6,Info!$F$16="معمولی"),VLOOKUP(AI74,Rates!$T$1:$X$108,5,0),IF(AND(AI74&lt;=Rates!$Y$2,AJ74&lt;=Info!$I$6,Info!$F$16="پایه"),VLOOKUP(AI74,Rates!$T$1:$X$108,2,0),IF(AND(AI74&lt;=Rates!$Y$2,AJ74&lt;=Info!$I$6,Info!$F$16="آسایش "),VLOOKUP(AI74,Rates!$T$1:$X$108,3,0),IF(AND(AI74&lt;=Rates!$Y$2,AJ74&lt;=Info!$I$6,Info!$F$16="ممتاز"),VLOOKUP(AI74,Rates!$T$1:$X$108,4,0),0))))*AA74/1000000*(1+Info!$C$18)*(1-Info!$I$29)</f>
        <v/>
      </c>
      <c r="X74" s="113">
        <f>IF(Info!$C$16="بله",(AG74-W74-U74-V74-T74)/(1+S74),AG74)</f>
        <v/>
      </c>
      <c r="Y74" s="106">
        <f>IF(AI74&lt;&gt;0,(AD74*LOOKUP(AI74,Rates!$T$2:$T$108,Rates!$S$2:$S$108))/SQRT(1.1),0)</f>
        <v/>
      </c>
      <c r="Z74" s="106">
        <f>IF(AND(AI74&lt;=Rates!$Y$10,AI74&gt;=0),Info!$C$12*(AC74-AD74),0)</f>
        <v/>
      </c>
      <c r="AA74" s="13">
        <f>IF(AND(AI74&gt;=0,AI74&lt;=Rates!$Y$2,AG74&gt;0),MIN(AA73*(1+Info!$F$10),5000000000),0)</f>
        <v/>
      </c>
      <c r="AB74" s="106">
        <f>IF(AND(AI74&gt;=0,AI74&lt;=65),AD74*Info!$L$16,0)</f>
        <v/>
      </c>
      <c r="AC74" s="13">
        <f>IF(AND(AI74&gt;=0,AI74&lt;=Rates!$Y$3),AD74*(1+Info!$L$14),AD74)</f>
        <v/>
      </c>
      <c r="AD74" s="106">
        <f>IF(AI74&lt;&gt;0,AD73*(1+Info!$F$10),0)</f>
        <v/>
      </c>
      <c r="AE74" s="105">
        <f>IF(AI74&lt;&gt;0,AF74+AE73,0)</f>
        <v/>
      </c>
      <c r="AF74" s="13">
        <f>IF(AI74&gt;=0,IF(Info!$C$16="بله",AG74,AG74+L74),"")</f>
        <v/>
      </c>
      <c r="AG74" s="107">
        <f>IF(AI74&lt;&gt;0,AG73*(1+Info!$F$8),0)</f>
        <v/>
      </c>
      <c r="AH74" s="111">
        <f>IF(AJ74&lt;&gt;"",Info!$C$6+AJ74-1,0)</f>
        <v/>
      </c>
      <c r="AI74" s="17">
        <f>IF(AJ74&lt;&gt;"",IF(Info!$F$6+AJ74-1&lt;=Rates!$Y$11,Info!$F$6+AJ74-1,0),0)</f>
        <v/>
      </c>
      <c r="AJ74" s="18">
        <f>IF(AI73&lt;&gt;"",IF(AND(AJ73&lt;&gt;"",AI73+1&lt;=Rates!$Y$11),IF(AJ73&lt;&gt;0,IF(AJ73+1&lt;=Info!$I$6,AJ73+1,""),0),""),"")</f>
        <v/>
      </c>
    </row>
    <row r="75" ht="14.25" customFormat="1" customHeight="1" s="164">
      <c r="A75" s="11">
        <f>IF(B75&gt;0,IF(Info!$C$16="بله",AG75/B75,(AG75+L75)/B75),0)</f>
        <v/>
      </c>
      <c r="B75" s="11">
        <f>IF(AND(AI75&gt;=0,AJ75&lt;=Info!$I$6),LOOKUP(Info!$C$8,Rates!$I$2:$I$7,Rates!$F$2:$F$7),0)</f>
        <v/>
      </c>
      <c r="C75" s="12">
        <f>IF(AND(AI75&gt;=0,AJ75&lt;=Info!$I$6),F75+F75*(IF(AJ75&lt;3,VLOOKUP(Info!$C$10,Rates!$A$15:$B$19,2,FALSE),IF(AJ75&lt;5,VLOOKUP(Info!$C$10,Rates!$A$15:$C$19,3,FALSE),VLOOKUP(Info!$C$10,Rates!$A$15:$D$19,4,FALSE)))+(Info!$I$22-IF(AJ75&gt;4,LOOKUP(Info!$C$10,Rates!$D$2:$D$7,Rates!$A$2:$A$7),LOOKUP(Info!$C$10,Rates!$D$2:$D$7,Rates!$C$2:$C$7))))*LOOKUP(Info!$C$8,Rates!$I$2:$I$7,Rates!$G$2:$G$7)+C74*(1+IF(AJ75&lt;3,VLOOKUP(Info!$C$10,Rates!$A$15:$B$19,2,FALSE),IF(AJ75&lt;5,VLOOKUP(Info!$C$10,Rates!$A$15:$C$19,3,FALSE),VLOOKUP(Info!$C$10,Rates!$A$15:$D$19,4,FALSE)))+(Info!$I$22-IF(AJ75&lt;3,VLOOKUP(Info!$C$10,Rates!$A$15:$B$19,2,FALSE),IF(AJ75&lt;5,VLOOKUP(Info!$C$10,Rates!$A$15:$C$19,3,FALSE),VLOOKUP(Info!$C$10,Rates!$A$15:$D$19,4,FALSE))))),0)</f>
        <v/>
      </c>
      <c r="D75" s="12">
        <f>IF(AI75&lt;&gt;"",E75,"")</f>
        <v/>
      </c>
      <c r="E75" s="12">
        <f>IF(AI75&lt;&gt;0,F75*(1+IF(AJ75&lt;3,VLOOKUP(Info!$C$10,Rates!$A$14:$B$19,2,FALSE),IF(AJ75&lt;5,VLOOKUP(Info!$C$10,Rates!$A$14:$C$19,3,FALSE),VLOOKUP(Info!$C$10,Rates!$A$14:$D$19,4,FALSE)))*LOOKUP(Info!$C$8,Rates!$I$2:$I$8,Rates!$G$2:$G$8))+E74*(1+IF(AJ75&lt;3,VLOOKUP(Info!$C$10,Rates!$A$14:$B$19,2,FALSE),IF(AJ75&lt;5,VLOOKUP(Info!$C$10,Rates!$A$14:$C$19,3,FALSE),VLOOKUP(Info!$C$10,Rates!$A$14:$D$19,4,FALSE)))),0)</f>
        <v/>
      </c>
      <c r="F75" s="12">
        <f>IF(AI75&lt;&gt;"",IF(Info!$C$16="بله",IF(AND(AJ75&lt;=Info!$F$20,AJ75&gt;=Info!$I$20),Info!$C$20,0)+(AG75-Y75-L75-K75-J75-I75-H75-G75),IF(AND(AJ75&lt;=Info!$F$20,AJ75&gt;=Info!$I$20),Info!$C$20,0)+(AG75-Y75-K75-J75-I75-H75-G75)),"")</f>
        <v/>
      </c>
      <c r="G75" s="107">
        <f>IF(AI75&lt;&gt;"",Rates!$AA$11*(L75),"")</f>
        <v/>
      </c>
      <c r="H75" s="107">
        <f>IF(AI75&lt;&gt;"",(Rates!$AC$11+Rates!$AB$11)*(L75),"")</f>
        <v/>
      </c>
      <c r="I75" s="12">
        <f>IF(AI75&lt;&gt;"",LOOKUP(Info!$C$8,Rates!$I$2:$I$7,Rates!$H$2:$H$7)*(J75+K75+L75+Y75),"")</f>
        <v/>
      </c>
      <c r="J75" s="12">
        <f>IF(N75="",0,N75)+IF(P75="",0,P75)+IF(Q75="",0,Q75)</f>
        <v/>
      </c>
      <c r="K75" s="12">
        <f>IF(Y75&lt;&gt;"",Info!$C$18*Y75,"")</f>
        <v/>
      </c>
      <c r="L75" s="12">
        <f>IF(R75="",0,R75)+IF(U75="",0,U75)+IF(W75="",0,W75)+IF(V75="",0,V75)+IF(T75="",0,T75)</f>
        <v/>
      </c>
      <c r="M75" s="12" t="n">
        <v>0</v>
      </c>
      <c r="N75" s="12" t="n">
        <v>0</v>
      </c>
      <c r="O75" s="12">
        <f>IF(AJ75&lt;=10,(1-Info!$C$25)*IF(OR(Info!$F$8&gt;0,Info!$F$10&gt;0),IF(0.75*$X$4&lt;=0.03*$AD$4,0.75*(X75-X74),0.03*(AD75-AD74)),0),"")</f>
        <v/>
      </c>
      <c r="P75" s="12">
        <f>IF(AJ75&lt;=5,IF(AI75&lt;&gt;"",0.002*AD75,"")*(1-Info!$I$25),0)</f>
        <v/>
      </c>
      <c r="Q75" s="12">
        <f>(1-Info!$F$25)*IF(AI75&lt;&gt;"",IF(Info!$C$16="بله",0.07*X75,0.07*AG75),"")</f>
        <v/>
      </c>
      <c r="R75" s="12">
        <f>IF(X75&lt;&gt;0,S75*X75,0)*(1-Info!$F$29)</f>
        <v/>
      </c>
      <c r="S75" s="107">
        <f>IF(Info!$I$14="خیر",0,IF(Info!$F$14="بله",IF(Info!$C$14=1,2.3,IF(Info!$C$14=2,3.3,4.3)),1))*IF(AND(AH75&lt;=Rates!$Y$8,AH75&gt;0),(1+Info!$C$18)*(1+LOOKUP(Info!$F$18,Rates!$O$2:$O$9,Rates!$L$2:$L$9)/100)*(LOOKUP(Info!$C$6,Rates!$T$2:$T$108,Rates!$R$2:$R$108)/100),0)</f>
        <v/>
      </c>
      <c r="T75" s="12">
        <f>IF(AI75&lt;71,(1-Info!$F$27)*((AB75*0.0008*(1+(LOOKUP(Info!$I$18,Rates!$O$2:$O$9,Rates!$M$2:$M$9)/100)))),0)</f>
        <v/>
      </c>
      <c r="U75" s="12">
        <f>IF(AI75&lt;71,(1-Info!$I$27)*(((AD75*0.0008*Info!$L$14))*(1+(LOOKUP(Info!$I$18,Rates!$O:$O,Rates!$N:$N)/100))),0)</f>
        <v/>
      </c>
      <c r="V75" s="12">
        <f>((Z75*0.0008))*(1+(LOOKUP(Info!$I$18,Rates!$O$2:$O$9,Rates!$M$2:$M$9)/100))*(1-Info!$C$27)</f>
        <v/>
      </c>
      <c r="W75" s="12">
        <f>IF(AND(AI75&lt;=Rates!$Y$2,AJ75&lt;=Info!$I$6,Info!$F$16="معمولی"),VLOOKUP(AI75,Rates!$T$1:$X$108,5,0),IF(AND(AI75&lt;=Rates!$Y$2,AJ75&lt;=Info!$I$6,Info!$F$16="پایه"),VLOOKUP(AI75,Rates!$T$1:$X$108,2,0),IF(AND(AI75&lt;=Rates!$Y$2,AJ75&lt;=Info!$I$6,Info!$F$16="آسایش "),VLOOKUP(AI75,Rates!$T$1:$X$108,3,0),IF(AND(AI75&lt;=Rates!$Y$2,AJ75&lt;=Info!$I$6,Info!$F$16="ممتاز"),VLOOKUP(AI75,Rates!$T$1:$X$108,4,0),0))))*AA75/1000000*(1+Info!$C$18)*(1-Info!$I$29)</f>
        <v/>
      </c>
      <c r="X75" s="12">
        <f>IF(Info!$C$16="بله",(AG75-W75-U75-V75-T75)/(1+S75),AG75)</f>
        <v/>
      </c>
      <c r="Y75" s="107">
        <f>IF(AI75&lt;&gt;0,(AD75*LOOKUP(AI75,Rates!$T$2:$T$108,Rates!$S$2:$S$108))/SQRT(1.1),0)</f>
        <v/>
      </c>
      <c r="Z75" s="107">
        <f>IF(AND(AI75&lt;=Rates!$Y$10,AI75&gt;=0),Info!$C$12*(AC75-AD75),0)</f>
        <v/>
      </c>
      <c r="AA75" s="12">
        <f>IF(AND(AI75&gt;=0,AI75&lt;=Rates!$Y$2,AG75&gt;0),MIN(AA74*(1+Info!$F$10),5000000000),0)</f>
        <v/>
      </c>
      <c r="AB75" s="107">
        <f>IF(AND(AI75&gt;=0,AI75&lt;=65),AD75*Info!$L$16,0)</f>
        <v/>
      </c>
      <c r="AC75" s="12">
        <f>IF(AND(AI75&gt;=0,AI75&lt;=Rates!$Y$3),AD75*(1+Info!$L$14),AD75)</f>
        <v/>
      </c>
      <c r="AD75" s="107">
        <f>IF(AI75&lt;&gt;0,AD74*(1+Info!$F$10),0)</f>
        <v/>
      </c>
      <c r="AE75" s="104">
        <f>IF(AI75&lt;&gt;0,AF75+AE74,0)</f>
        <v/>
      </c>
      <c r="AF75" s="12">
        <f>IF(AI75&gt;=0,IF(Info!$C$16="بله",AG75,AG75+L75),"")</f>
        <v/>
      </c>
      <c r="AG75" s="107">
        <f>IF(AI75&lt;&gt;0,AG74*(1+Info!$F$8),0)</f>
        <v/>
      </c>
      <c r="AH75" s="110">
        <f>IF(AJ75&lt;&gt;"",Info!$C$6+AJ75-1,0)</f>
        <v/>
      </c>
      <c r="AI75" s="14">
        <f>IF(AJ75&lt;&gt;"",IF(Info!$F$6+AJ75-1&lt;=Rates!$Y$11,Info!$F$6+AJ75-1,0),0)</f>
        <v/>
      </c>
      <c r="AJ75" s="15">
        <f>IF(AI74&lt;&gt;"",IF(AND(AJ74&lt;&gt;"",AI74+1&lt;=Rates!$Y$11),IF(AJ74&lt;&gt;0,IF(AJ74+1&lt;=Info!$I$6,AJ74+1,""),0),""),"")</f>
        <v/>
      </c>
    </row>
    <row r="76" ht="14.25" customFormat="1" customHeight="1" s="164">
      <c r="A76" s="16">
        <f>IF(B76&gt;0,IF(Info!$C$16="بله",AG76/B76,(AG76+L76)/B76),0)</f>
        <v/>
      </c>
      <c r="B76" s="16">
        <f>IF(AND(AI76&gt;=0,AJ76&lt;=Info!$I$6),LOOKUP(Info!$C$8,Rates!$I$2:$I$7,Rates!$F$2:$F$7),0)</f>
        <v/>
      </c>
      <c r="C76" s="13">
        <f>IF(AND(AI76&gt;=0,AJ76&lt;=Info!$I$6),F76+F76*(IF(AJ76&lt;3,VLOOKUP(Info!$C$10,Rates!$A$15:$B$19,2,FALSE),IF(AJ76&lt;5,VLOOKUP(Info!$C$10,Rates!$A$15:$C$19,3,FALSE),VLOOKUP(Info!$C$10,Rates!$A$15:$D$19,4,FALSE)))+(Info!$I$22-IF(AJ76&gt;4,LOOKUP(Info!$C$10,Rates!$D$2:$D$7,Rates!$A$2:$A$7),LOOKUP(Info!$C$10,Rates!$D$2:$D$7,Rates!$C$2:$C$7))))*LOOKUP(Info!$C$8,Rates!$I$2:$I$7,Rates!$G$2:$G$7)+C75*(1+IF(AJ76&lt;3,VLOOKUP(Info!$C$10,Rates!$A$15:$B$19,2,FALSE),IF(AJ76&lt;5,VLOOKUP(Info!$C$10,Rates!$A$15:$C$19,3,FALSE),VLOOKUP(Info!$C$10,Rates!$A$15:$D$19,4,FALSE)))+(Info!$I$22-IF(AJ76&lt;3,VLOOKUP(Info!$C$10,Rates!$A$15:$B$19,2,FALSE),IF(AJ76&lt;5,VLOOKUP(Info!$C$10,Rates!$A$15:$C$19,3,FALSE),VLOOKUP(Info!$C$10,Rates!$A$15:$D$19,4,FALSE))))),0)</f>
        <v/>
      </c>
      <c r="D76" s="13">
        <f>IF(AI76&lt;&gt;"",E76,"")</f>
        <v/>
      </c>
      <c r="E76" s="12">
        <f>IF(AI76&lt;&gt;0,F76*(1+IF(AJ76&lt;3,VLOOKUP(Info!$C$10,Rates!$A$14:$B$19,2,FALSE),IF(AJ76&lt;5,VLOOKUP(Info!$C$10,Rates!$A$14:$C$19,3,FALSE),VLOOKUP(Info!$C$10,Rates!$A$14:$D$19,4,FALSE)))*LOOKUP(Info!$C$8,Rates!$I$2:$I$8,Rates!$G$2:$G$8))+E75*(1+IF(AJ76&lt;3,VLOOKUP(Info!$C$10,Rates!$A$14:$B$19,2,FALSE),IF(AJ76&lt;5,VLOOKUP(Info!$C$10,Rates!$A$14:$C$19,3,FALSE),VLOOKUP(Info!$C$10,Rates!$A$14:$D$19,4,FALSE)))),0)</f>
        <v/>
      </c>
      <c r="F76" s="13">
        <f>IF(AI76&lt;&gt;"",IF(Info!$C$16="بله",IF(AND(AJ76&lt;=Info!$F$20,AJ76&gt;=Info!$I$20),Info!$C$20,0)+(AG76-Y76-L76-K76-J76-I76-H76-G76),IF(AND(AJ76&lt;=Info!$F$20,AJ76&gt;=Info!$I$20),Info!$C$20,0)+(AG76-Y76-K76-J76-I76-H76-G76)),"")</f>
        <v/>
      </c>
      <c r="G76" s="106">
        <f>IF(AI76&lt;&gt;"",Rates!$AA$11*(L76),"")</f>
        <v/>
      </c>
      <c r="H76" s="106">
        <f>IF(AI76&lt;&gt;"",(Rates!$AC$11+Rates!$AB$11)*(L76),"")</f>
        <v/>
      </c>
      <c r="I76" s="13">
        <f>IF(AI76&lt;&gt;"",LOOKUP(Info!$C$8,Rates!$I$2:$I$7,Rates!$H$2:$H$7)*(J76+K76+L76+Y76),"")</f>
        <v/>
      </c>
      <c r="J76" s="13">
        <f>IF(N76="",0,N76)+IF(P76="",0,P76)+IF(Q76="",0,Q76)</f>
        <v/>
      </c>
      <c r="K76" s="13">
        <f>IF(Y76&lt;&gt;"",Info!$C$18*Y76,"")</f>
        <v/>
      </c>
      <c r="L76" s="13">
        <f>IF(R76="",0,R76)+IF(U76="",0,U76)+IF(W76="",0,W76)+IF(V76="",0,V76)+IF(T76="",0,T76)</f>
        <v/>
      </c>
      <c r="M76" s="13" t="n">
        <v>0</v>
      </c>
      <c r="N76" s="13" t="n">
        <v>0</v>
      </c>
      <c r="O76" s="12">
        <f>IF(AJ76&lt;=10,(1-Info!$C$25)*IF(OR(Info!$F$8&gt;0,Info!$F$10&gt;0),IF(0.75*$X$4&lt;=0.03*$AD$4,0.75*(X76-X75),0.03*(AD76-AD75)),0),"")</f>
        <v/>
      </c>
      <c r="P76" s="13">
        <f>IF(AJ76&lt;=5,IF(AI76&lt;&gt;"",0.002*AD76,"")*(1-Info!$I$25),0)</f>
        <v/>
      </c>
      <c r="Q76" s="13">
        <f>(1-Info!$F$25)*IF(AI76&lt;&gt;"",IF(Info!$C$16="بله",0.07*X76,0.07*AG76),"")</f>
        <v/>
      </c>
      <c r="R76" s="13">
        <f>IF(X76&lt;&gt;0,S76*X76,0)*(1-Info!$F$29)</f>
        <v/>
      </c>
      <c r="S76" s="106">
        <f>IF(Info!$I$14="خیر",0,IF(Info!$F$14="بله",IF(Info!$C$14=1,2.3,IF(Info!$C$14=2,3.3,4.3)),1))*IF(AND(AH76&lt;=Rates!$Y$8,AH76&gt;0),(1+Info!$C$18)*(1+LOOKUP(Info!$F$18,Rates!$O$2:$O$9,Rates!$L$2:$L$9)/100)*(LOOKUP(Info!$C$6,Rates!$T$2:$T$108,Rates!$R$2:$R$108)/100),0)</f>
        <v/>
      </c>
      <c r="T76" s="13">
        <f>IF(AI76&lt;71,(1-Info!$F$27)*((AB76*0.0008*(1+(LOOKUP(Info!$I$18,Rates!$O$2:$O$9,Rates!$M$2:$M$9)/100)))),0)</f>
        <v/>
      </c>
      <c r="U76" s="13">
        <f>IF(AI76&lt;71,(1-Info!$I$27)*(((AD76*0.0008*Info!$L$14))*(1+(LOOKUP(Info!$I$18,Rates!$O:$O,Rates!$N:$N)/100))),0)</f>
        <v/>
      </c>
      <c r="V76" s="13">
        <f>((Z76*0.0008))*(1+(LOOKUP(Info!$I$18,Rates!$O$2:$O$9,Rates!$M$2:$M$9)/100))*(1-Info!$C$27)</f>
        <v/>
      </c>
      <c r="W76" s="13">
        <f>IF(AND(AI76&lt;=Rates!$Y$2,AJ76&lt;=Info!$I$6,Info!$F$16="معمولی"),VLOOKUP(AI76,Rates!$T$1:$X$108,5,0),IF(AND(AI76&lt;=Rates!$Y$2,AJ76&lt;=Info!$I$6,Info!$F$16="پایه"),VLOOKUP(AI76,Rates!$T$1:$X$108,2,0),IF(AND(AI76&lt;=Rates!$Y$2,AJ76&lt;=Info!$I$6,Info!$F$16="آسایش "),VLOOKUP(AI76,Rates!$T$1:$X$108,3,0),IF(AND(AI76&lt;=Rates!$Y$2,AJ76&lt;=Info!$I$6,Info!$F$16="ممتاز"),VLOOKUP(AI76,Rates!$T$1:$X$108,4,0),0))))*AA76/1000000*(1+Info!$C$18)*(1-Info!$I$29)</f>
        <v/>
      </c>
      <c r="X76" s="113">
        <f>IF(Info!$C$16="بله",(AG76-W76-U76-V76-T76)/(1+S76),AG76)</f>
        <v/>
      </c>
      <c r="Y76" s="106">
        <f>IF(AI76&lt;&gt;0,(AD76*LOOKUP(AI76,Rates!$T$2:$T$108,Rates!$S$2:$S$108))/SQRT(1.1),0)</f>
        <v/>
      </c>
      <c r="Z76" s="106">
        <f>IF(AND(AI76&lt;=Rates!$Y$10,AI76&gt;=0),Info!$C$12*(AC76-AD76),0)</f>
        <v/>
      </c>
      <c r="AA76" s="13">
        <f>IF(AND(AI76&gt;=0,AI76&lt;=Rates!$Y$2,AG76&gt;0),MIN(AA75*(1+Info!$F$10),5000000000),0)</f>
        <v/>
      </c>
      <c r="AB76" s="106">
        <f>IF(AND(AI76&gt;=0,AI76&lt;=65),AD76*Info!$L$16,0)</f>
        <v/>
      </c>
      <c r="AC76" s="13">
        <f>IF(AND(AI76&gt;=0,AI76&lt;=Rates!$Y$3),AD76*(1+Info!$L$14),AD76)</f>
        <v/>
      </c>
      <c r="AD76" s="106">
        <f>IF(AI76&lt;&gt;0,AD75*(1+Info!$F$10),0)</f>
        <v/>
      </c>
      <c r="AE76" s="105">
        <f>IF(AI76&lt;&gt;0,AF76+AE75,0)</f>
        <v/>
      </c>
      <c r="AF76" s="13">
        <f>IF(AI76&gt;=0,IF(Info!$C$16="بله",AG76,AG76+L76),"")</f>
        <v/>
      </c>
      <c r="AG76" s="107">
        <f>IF(AI76&lt;&gt;0,AG75*(1+Info!$F$8),0)</f>
        <v/>
      </c>
      <c r="AH76" s="111">
        <f>IF(AJ76&lt;&gt;"",Info!$C$6+AJ76-1,0)</f>
        <v/>
      </c>
      <c r="AI76" s="17">
        <f>IF(AJ76&lt;&gt;"",IF(Info!$F$6+AJ76-1&lt;=Rates!$Y$11,Info!$F$6+AJ76-1,0),0)</f>
        <v/>
      </c>
      <c r="AJ76" s="18">
        <f>IF(AI75&lt;&gt;"",IF(AND(AJ75&lt;&gt;"",AI75+1&lt;=Rates!$Y$11),IF(AJ75&lt;&gt;0,IF(AJ75+1&lt;=Info!$I$6,AJ75+1,""),0),""),"")</f>
        <v/>
      </c>
    </row>
    <row r="77" ht="14.25" customFormat="1" customHeight="1" s="164">
      <c r="A77" s="11">
        <f>IF(B77&gt;0,IF(Info!$C$16="بله",AG77/B77,(AG77+L77)/B77),0)</f>
        <v/>
      </c>
      <c r="B77" s="11">
        <f>IF(AND(AI77&gt;=0,AJ77&lt;=Info!$I$6),LOOKUP(Info!$C$8,Rates!$I$2:$I$7,Rates!$F$2:$F$7),0)</f>
        <v/>
      </c>
      <c r="C77" s="12">
        <f>IF(AND(AI77&gt;=0,AJ77&lt;=Info!$I$6),F77+F77*(IF(AJ77&lt;3,VLOOKUP(Info!$C$10,Rates!$A$15:$B$19,2,FALSE),IF(AJ77&lt;5,VLOOKUP(Info!$C$10,Rates!$A$15:$C$19,3,FALSE),VLOOKUP(Info!$C$10,Rates!$A$15:$D$19,4,FALSE)))+(Info!$I$22-IF(AJ77&gt;4,LOOKUP(Info!$C$10,Rates!$D$2:$D$7,Rates!$A$2:$A$7),LOOKUP(Info!$C$10,Rates!$D$2:$D$7,Rates!$C$2:$C$7))))*LOOKUP(Info!$C$8,Rates!$I$2:$I$7,Rates!$G$2:$G$7)+C76*(1+IF(AJ77&lt;3,VLOOKUP(Info!$C$10,Rates!$A$15:$B$19,2,FALSE),IF(AJ77&lt;5,VLOOKUP(Info!$C$10,Rates!$A$15:$C$19,3,FALSE),VLOOKUP(Info!$C$10,Rates!$A$15:$D$19,4,FALSE)))+(Info!$I$22-IF(AJ77&lt;3,VLOOKUP(Info!$C$10,Rates!$A$15:$B$19,2,FALSE),IF(AJ77&lt;5,VLOOKUP(Info!$C$10,Rates!$A$15:$C$19,3,FALSE),VLOOKUP(Info!$C$10,Rates!$A$15:$D$19,4,FALSE))))),0)</f>
        <v/>
      </c>
      <c r="D77" s="12">
        <f>IF(AI77&lt;&gt;"",E77,"")</f>
        <v/>
      </c>
      <c r="E77" s="12">
        <f>IF(AI77&lt;&gt;0,F77*(1+IF(AJ77&lt;3,VLOOKUP(Info!$C$10,Rates!$A$14:$B$19,2,FALSE),IF(AJ77&lt;5,VLOOKUP(Info!$C$10,Rates!$A$14:$C$19,3,FALSE),VLOOKUP(Info!$C$10,Rates!$A$14:$D$19,4,FALSE)))*LOOKUP(Info!$C$8,Rates!$I$2:$I$8,Rates!$G$2:$G$8))+E76*(1+IF(AJ77&lt;3,VLOOKUP(Info!$C$10,Rates!$A$14:$B$19,2,FALSE),IF(AJ77&lt;5,VLOOKUP(Info!$C$10,Rates!$A$14:$C$19,3,FALSE),VLOOKUP(Info!$C$10,Rates!$A$14:$D$19,4,FALSE)))),0)</f>
        <v/>
      </c>
      <c r="F77" s="12">
        <f>IF(AI77&lt;&gt;"",IF(Info!$C$16="بله",IF(AND(AJ77&lt;=Info!$F$20,AJ77&gt;=Info!$I$20),Info!$C$20,0)+(AG77-Y77-L77-K77-J77-I77-H77-G77),IF(AND(AJ77&lt;=Info!$F$20,AJ77&gt;=Info!$I$20),Info!$C$20,0)+(AG77-Y77-K77-J77-I77-H77-G77)),"")</f>
        <v/>
      </c>
      <c r="G77" s="107">
        <f>IF(AI77&lt;&gt;"",Rates!$AA$11*(L77),"")</f>
        <v/>
      </c>
      <c r="H77" s="107">
        <f>IF(AI77&lt;&gt;"",(Rates!$AC$11+Rates!$AB$11)*(L77),"")</f>
        <v/>
      </c>
      <c r="I77" s="12">
        <f>IF(AI77&lt;&gt;"",LOOKUP(Info!$C$8,Rates!$I$2:$I$7,Rates!$H$2:$H$7)*(J77+K77+L77+Y77),"")</f>
        <v/>
      </c>
      <c r="J77" s="12">
        <f>IF(N77="",0,N77)+IF(P77="",0,P77)+IF(Q77="",0,Q77)</f>
        <v/>
      </c>
      <c r="K77" s="12">
        <f>IF(Y77&lt;&gt;"",Info!$C$18*Y77,"")</f>
        <v/>
      </c>
      <c r="L77" s="12">
        <f>IF(R77="",0,R77)+IF(U77="",0,U77)+IF(W77="",0,W77)+IF(V77="",0,V77)+IF(T77="",0,T77)</f>
        <v/>
      </c>
      <c r="M77" s="12" t="n">
        <v>0</v>
      </c>
      <c r="N77" s="12" t="n">
        <v>0</v>
      </c>
      <c r="O77" s="12">
        <f>IF(AJ77&lt;=10,(1-Info!$C$25)*IF(OR(Info!$F$8&gt;0,Info!$F$10&gt;0),IF(0.75*$X$4&lt;=0.03*$AD$4,0.75*(X77-X76),0.03*(AD77-AD76)),0),"")</f>
        <v/>
      </c>
      <c r="P77" s="12">
        <f>IF(AJ77&lt;=5,IF(AI77&lt;&gt;"",0.002*AD77,"")*(1-Info!$I$25),0)</f>
        <v/>
      </c>
      <c r="Q77" s="12">
        <f>(1-Info!$F$25)*IF(AI77&lt;&gt;"",IF(Info!$C$16="بله",0.07*X77,0.07*AG77),"")</f>
        <v/>
      </c>
      <c r="R77" s="12">
        <f>IF(X77&lt;&gt;0,S77*X77,0)*(1-Info!$F$29)</f>
        <v/>
      </c>
      <c r="S77" s="107">
        <f>IF(Info!$I$14="خیر",0,IF(Info!$F$14="بله",IF(Info!$C$14=1,2.3,IF(Info!$C$14=2,3.3,4.3)),1))*IF(AND(AH77&lt;=Rates!$Y$8,AH77&gt;0),(1+Info!$C$18)*(1+LOOKUP(Info!$F$18,Rates!$O$2:$O$9,Rates!$L$2:$L$9)/100)*(LOOKUP(Info!$C$6,Rates!$T$2:$T$108,Rates!$R$2:$R$108)/100),0)</f>
        <v/>
      </c>
      <c r="T77" s="12">
        <f>IF(AI77&lt;71,(1-Info!$F$27)*((AB77*0.0008*(1+(LOOKUP(Info!$I$18,Rates!$O$2:$O$9,Rates!$M$2:$M$9)/100)))),0)</f>
        <v/>
      </c>
      <c r="U77" s="12">
        <f>IF(AI77&lt;71,(1-Info!$I$27)*(((AD77*0.0008*Info!$L$14))*(1+(LOOKUP(Info!$I$18,Rates!$O:$O,Rates!$N:$N)/100))),0)</f>
        <v/>
      </c>
      <c r="V77" s="12">
        <f>((Z77*0.0008))*(1+(LOOKUP(Info!$I$18,Rates!$O$2:$O$9,Rates!$M$2:$M$9)/100))*(1-Info!$C$27)</f>
        <v/>
      </c>
      <c r="W77" s="12">
        <f>IF(AND(AI77&lt;=Rates!$Y$2,AJ77&lt;=Info!$I$6,Info!$F$16="معمولی"),VLOOKUP(AI77,Rates!$T$1:$X$108,5,0),IF(AND(AI77&lt;=Rates!$Y$2,AJ77&lt;=Info!$I$6,Info!$F$16="پایه"),VLOOKUP(AI77,Rates!$T$1:$X$108,2,0),IF(AND(AI77&lt;=Rates!$Y$2,AJ77&lt;=Info!$I$6,Info!$F$16="آسایش "),VLOOKUP(AI77,Rates!$T$1:$X$108,3,0),IF(AND(AI77&lt;=Rates!$Y$2,AJ77&lt;=Info!$I$6,Info!$F$16="ممتاز"),VLOOKUP(AI77,Rates!$T$1:$X$108,4,0),0))))*AA77/1000000*(1+Info!$C$18)*(1-Info!$I$29)</f>
        <v/>
      </c>
      <c r="X77" s="12">
        <f>IF(Info!$C$16="بله",(AG77-W77-U77-V77-T77)/(1+S77),AG77)</f>
        <v/>
      </c>
      <c r="Y77" s="107">
        <f>IF(AI77&lt;&gt;0,(AD77*LOOKUP(AI77,Rates!$T$2:$T$108,Rates!$S$2:$S$108))/SQRT(1.1),0)</f>
        <v/>
      </c>
      <c r="Z77" s="107">
        <f>IF(AND(AI77&lt;=Rates!$Y$10,AI77&gt;=0),Info!$C$12*(AC77-AD77),0)</f>
        <v/>
      </c>
      <c r="AA77" s="12">
        <f>IF(AND(AI77&gt;=0,AI77&lt;=Rates!$Y$2,AG77&gt;0),MIN(AA76*(1+Info!$F$10),5000000000),0)</f>
        <v/>
      </c>
      <c r="AB77" s="107">
        <f>IF(AND(AI77&gt;=0,AI77&lt;=65),AD77*Info!$L$16,0)</f>
        <v/>
      </c>
      <c r="AC77" s="12">
        <f>IF(AND(AI77&gt;=0,AI77&lt;=Rates!$Y$3),AD77*(1+Info!$L$14),AD77)</f>
        <v/>
      </c>
      <c r="AD77" s="107">
        <f>IF(AI77&lt;&gt;0,AD76*(1+Info!$F$10),0)</f>
        <v/>
      </c>
      <c r="AE77" s="104">
        <f>IF(AI77&lt;&gt;0,AF77+AE76,0)</f>
        <v/>
      </c>
      <c r="AF77" s="12">
        <f>IF(AI77&gt;=0,IF(Info!$C$16="بله",AG77,AG77+L77),"")</f>
        <v/>
      </c>
      <c r="AG77" s="107">
        <f>IF(AI77&lt;&gt;0,AG76*(1+Info!$F$8),0)</f>
        <v/>
      </c>
      <c r="AH77" s="110">
        <f>IF(AJ77&lt;&gt;"",Info!$C$6+AJ77-1,0)</f>
        <v/>
      </c>
      <c r="AI77" s="14">
        <f>IF(AJ77&lt;&gt;"",IF(Info!$F$6+AJ77-1&lt;=Rates!$Y$11,Info!$F$6+AJ77-1,0),0)</f>
        <v/>
      </c>
      <c r="AJ77" s="15">
        <f>IF(AI76&lt;&gt;"",IF(AND(AJ76&lt;&gt;"",AI76+1&lt;=Rates!$Y$11),IF(AJ76&lt;&gt;0,IF(AJ76+1&lt;=Info!$I$6,AJ76+1,""),0),""),"")</f>
        <v/>
      </c>
    </row>
    <row r="78" ht="14.25" customFormat="1" customHeight="1" s="164">
      <c r="A78" s="16">
        <f>IF(B78&gt;0,IF(Info!$C$16="بله",AG78/B78,(AG78+L78)/B78),0)</f>
        <v/>
      </c>
      <c r="B78" s="16">
        <f>IF(AND(AI78&gt;=0,AJ78&lt;=Info!$I$6),LOOKUP(Info!$C$8,Rates!$I$2:$I$7,Rates!$F$2:$F$7),0)</f>
        <v/>
      </c>
      <c r="C78" s="13">
        <f>IF(AND(AI78&gt;=0,AJ78&lt;=Info!$I$6),F78+F78*(IF(AJ78&lt;3,VLOOKUP(Info!$C$10,Rates!$A$15:$B$19,2,FALSE),IF(AJ78&lt;5,VLOOKUP(Info!$C$10,Rates!$A$15:$C$19,3,FALSE),VLOOKUP(Info!$C$10,Rates!$A$15:$D$19,4,FALSE)))+(Info!$I$22-IF(AJ78&gt;4,LOOKUP(Info!$C$10,Rates!$D$2:$D$7,Rates!$A$2:$A$7),LOOKUP(Info!$C$10,Rates!$D$2:$D$7,Rates!$C$2:$C$7))))*LOOKUP(Info!$C$8,Rates!$I$2:$I$7,Rates!$G$2:$G$7)+C77*(1+IF(AJ78&lt;3,VLOOKUP(Info!$C$10,Rates!$A$15:$B$19,2,FALSE),IF(AJ78&lt;5,VLOOKUP(Info!$C$10,Rates!$A$15:$C$19,3,FALSE),VLOOKUP(Info!$C$10,Rates!$A$15:$D$19,4,FALSE)))+(Info!$I$22-IF(AJ78&lt;3,VLOOKUP(Info!$C$10,Rates!$A$15:$B$19,2,FALSE),IF(AJ78&lt;5,VLOOKUP(Info!$C$10,Rates!$A$15:$C$19,3,FALSE),VLOOKUP(Info!$C$10,Rates!$A$15:$D$19,4,FALSE))))),0)</f>
        <v/>
      </c>
      <c r="D78" s="13">
        <f>IF(AI78&lt;&gt;"",E78,"")</f>
        <v/>
      </c>
      <c r="E78" s="12">
        <f>IF(AI78&lt;&gt;0,F78*(1+IF(AJ78&lt;3,VLOOKUP(Info!$C$10,Rates!$A$14:$B$19,2,FALSE),IF(AJ78&lt;5,VLOOKUP(Info!$C$10,Rates!$A$14:$C$19,3,FALSE),VLOOKUP(Info!$C$10,Rates!$A$14:$D$19,4,FALSE)))*LOOKUP(Info!$C$8,Rates!$I$2:$I$8,Rates!$G$2:$G$8))+E77*(1+IF(AJ78&lt;3,VLOOKUP(Info!$C$10,Rates!$A$14:$B$19,2,FALSE),IF(AJ78&lt;5,VLOOKUP(Info!$C$10,Rates!$A$14:$C$19,3,FALSE),VLOOKUP(Info!$C$10,Rates!$A$14:$D$19,4,FALSE)))),0)</f>
        <v/>
      </c>
      <c r="F78" s="13">
        <f>IF(AI78&lt;&gt;"",IF(Info!$C$16="بله",IF(AND(AJ78&lt;=Info!$F$20,AJ78&gt;=Info!$I$20),Info!$C$20,0)+(AG78-Y78-L78-K78-J78-I78-H78-G78),IF(AND(AJ78&lt;=Info!$F$20,AJ78&gt;=Info!$I$20),Info!$C$20,0)+(AG78-Y78-K78-J78-I78-H78-G78)),"")</f>
        <v/>
      </c>
      <c r="G78" s="106">
        <f>IF(AI78&lt;&gt;"",Rates!$AA$11*(L78),"")</f>
        <v/>
      </c>
      <c r="H78" s="106">
        <f>IF(AI78&lt;&gt;"",(Rates!$AC$11+Rates!$AB$11)*(L78),"")</f>
        <v/>
      </c>
      <c r="I78" s="13">
        <f>IF(AI78&lt;&gt;"",LOOKUP(Info!$C$8,Rates!$I$2:$I$7,Rates!$H$2:$H$7)*(J78+K78+L78+Y78),"")</f>
        <v/>
      </c>
      <c r="J78" s="13">
        <f>IF(N78="",0,N78)+IF(P78="",0,P78)+IF(Q78="",0,Q78)</f>
        <v/>
      </c>
      <c r="K78" s="13">
        <f>IF(Y78&lt;&gt;"",Info!$C$18*Y78,"")</f>
        <v/>
      </c>
      <c r="L78" s="13">
        <f>IF(R78="",0,R78)+IF(U78="",0,U78)+IF(W78="",0,W78)+IF(V78="",0,V78)+IF(T78="",0,T78)</f>
        <v/>
      </c>
      <c r="M78" s="13" t="n">
        <v>0</v>
      </c>
      <c r="N78" s="13" t="n">
        <v>0</v>
      </c>
      <c r="O78" s="12">
        <f>IF(AJ78&lt;=10,(1-Info!$C$25)*IF(OR(Info!$F$8&gt;0,Info!$F$10&gt;0),IF(0.75*$X$4&lt;=0.03*$AD$4,0.75*(X78-X77),0.03*(AD78-AD77)),0),"")</f>
        <v/>
      </c>
      <c r="P78" s="13">
        <f>IF(AJ78&lt;=5,IF(AI78&lt;&gt;"",0.002*AD78,"")*(1-Info!$I$25),0)</f>
        <v/>
      </c>
      <c r="Q78" s="13">
        <f>(1-Info!$F$25)*IF(AI78&lt;&gt;"",IF(Info!$C$16="بله",0.07*X78,0.07*AG78),"")</f>
        <v/>
      </c>
      <c r="R78" s="13">
        <f>IF(X78&lt;&gt;0,S78*X78,0)*(1-Info!$F$29)</f>
        <v/>
      </c>
      <c r="S78" s="106">
        <f>IF(Info!$I$14="خیر",0,IF(Info!$F$14="بله",IF(Info!$C$14=1,2.3,IF(Info!$C$14=2,3.3,4.3)),1))*IF(AND(AH78&lt;=Rates!$Y$8,AH78&gt;0),(1+Info!$C$18)*(1+LOOKUP(Info!$F$18,Rates!$O$2:$O$9,Rates!$L$2:$L$9)/100)*(LOOKUP(Info!$C$6,Rates!$T$2:$T$108,Rates!$R$2:$R$108)/100),0)</f>
        <v/>
      </c>
      <c r="T78" s="13">
        <f>IF(AI78&lt;71,(1-Info!$F$27)*((AB78*0.0008*(1+(LOOKUP(Info!$I$18,Rates!$O$2:$O$9,Rates!$M$2:$M$9)/100)))),0)</f>
        <v/>
      </c>
      <c r="U78" s="13">
        <f>IF(AI78&lt;71,(1-Info!$I$27)*(((AD78*0.0008*Info!$L$14))*(1+(LOOKUP(Info!$I$18,Rates!$O:$O,Rates!$N:$N)/100))),0)</f>
        <v/>
      </c>
      <c r="V78" s="13">
        <f>((Z78*0.0008))*(1+(LOOKUP(Info!$I$18,Rates!$O$2:$O$9,Rates!$M$2:$M$9)/100))*(1-Info!$C$27)</f>
        <v/>
      </c>
      <c r="W78" s="13">
        <f>IF(AND(AI78&lt;=Rates!$Y$2,AJ78&lt;=Info!$I$6,Info!$F$16="معمولی"),VLOOKUP(AI78,Rates!$T$1:$X$108,5,0),IF(AND(AI78&lt;=Rates!$Y$2,AJ78&lt;=Info!$I$6,Info!$F$16="پایه"),VLOOKUP(AI78,Rates!$T$1:$X$108,2,0),IF(AND(AI78&lt;=Rates!$Y$2,AJ78&lt;=Info!$I$6,Info!$F$16="آسایش "),VLOOKUP(AI78,Rates!$T$1:$X$108,3,0),IF(AND(AI78&lt;=Rates!$Y$2,AJ78&lt;=Info!$I$6,Info!$F$16="ممتاز"),VLOOKUP(AI78,Rates!$T$1:$X$108,4,0),0))))*AA78/1000000*(1+Info!$C$18)*(1-Info!$I$29)</f>
        <v/>
      </c>
      <c r="X78" s="113">
        <f>IF(Info!$C$16="بله",(AG78-W78-U78-V78-T78)/(1+S78),AG78)</f>
        <v/>
      </c>
      <c r="Y78" s="106">
        <f>IF(AI78&lt;&gt;0,(AD78*LOOKUP(AI78,Rates!$T$2:$T$108,Rates!$S$2:$S$108))/SQRT(1.1),0)</f>
        <v/>
      </c>
      <c r="Z78" s="106">
        <f>IF(AND(AI78&lt;=Rates!$Y$10,AI78&gt;=0),Info!$C$12*(AC78-AD78),0)</f>
        <v/>
      </c>
      <c r="AA78" s="13">
        <f>IF(AND(AI78&gt;=0,AI78&lt;=Rates!$Y$2,AG78&gt;0),MIN(AA77*(1+Info!$F$10),5000000000),0)</f>
        <v/>
      </c>
      <c r="AB78" s="106">
        <f>IF(AND(AI78&gt;=0,AI78&lt;=65),AD78*Info!$L$16,0)</f>
        <v/>
      </c>
      <c r="AC78" s="13">
        <f>IF(AND(AI78&gt;=0,AI78&lt;=Rates!$Y$3),AD78*(1+Info!$L$14),AD78)</f>
        <v/>
      </c>
      <c r="AD78" s="106">
        <f>IF(AI78&lt;&gt;0,AD77*(1+Info!$F$10),0)</f>
        <v/>
      </c>
      <c r="AE78" s="105">
        <f>IF(AI78&lt;&gt;0,AF78+AE77,0)</f>
        <v/>
      </c>
      <c r="AF78" s="13">
        <f>IF(AI78&gt;=0,IF(Info!$C$16="بله",AG78,AG78+L78),"")</f>
        <v/>
      </c>
      <c r="AG78" s="107">
        <f>IF(AI78&lt;&gt;0,AG77*(1+Info!$F$8),0)</f>
        <v/>
      </c>
      <c r="AH78" s="111">
        <f>IF(AJ78&lt;&gt;"",Info!$C$6+AJ78-1,0)</f>
        <v/>
      </c>
      <c r="AI78" s="17">
        <f>IF(AJ78&lt;&gt;"",IF(Info!$F$6+AJ78-1&lt;=Rates!$Y$11,Info!$F$6+AJ78-1,0),0)</f>
        <v/>
      </c>
      <c r="AJ78" s="18">
        <f>IF(AI77&lt;&gt;"",IF(AND(AJ77&lt;&gt;"",AI77+1&lt;=Rates!$Y$11),IF(AJ77&lt;&gt;0,IF(AJ77+1&lt;=Info!$I$6,AJ77+1,""),0),""),"")</f>
        <v/>
      </c>
    </row>
    <row r="79" ht="14.25" customFormat="1" customHeight="1" s="164">
      <c r="A79" s="11">
        <f>IF(B79&gt;0,IF(Info!$C$16="بله",AG79/B79,(AG79+L79)/B79),0)</f>
        <v/>
      </c>
      <c r="B79" s="11">
        <f>IF(AND(AI79&gt;=0,AJ79&lt;=Info!$I$6),LOOKUP(Info!$C$8,Rates!$I$2:$I$7,Rates!$F$2:$F$7),0)</f>
        <v/>
      </c>
      <c r="C79" s="12">
        <f>IF(AND(AI79&gt;=0,AJ79&lt;=Info!$I$6),F79+F79*(IF(AJ79&lt;3,VLOOKUP(Info!$C$10,Rates!$A$15:$B$19,2,FALSE),IF(AJ79&lt;5,VLOOKUP(Info!$C$10,Rates!$A$15:$C$19,3,FALSE),VLOOKUP(Info!$C$10,Rates!$A$15:$D$19,4,FALSE)))+(Info!$I$22-IF(AJ79&gt;4,LOOKUP(Info!$C$10,Rates!$D$2:$D$7,Rates!$A$2:$A$7),LOOKUP(Info!$C$10,Rates!$D$2:$D$7,Rates!$C$2:$C$7))))*LOOKUP(Info!$C$8,Rates!$I$2:$I$7,Rates!$G$2:$G$7)+C78*(1+IF(AJ79&lt;3,VLOOKUP(Info!$C$10,Rates!$A$15:$B$19,2,FALSE),IF(AJ79&lt;5,VLOOKUP(Info!$C$10,Rates!$A$15:$C$19,3,FALSE),VLOOKUP(Info!$C$10,Rates!$A$15:$D$19,4,FALSE)))+(Info!$I$22-IF(AJ79&lt;3,VLOOKUP(Info!$C$10,Rates!$A$15:$B$19,2,FALSE),IF(AJ79&lt;5,VLOOKUP(Info!$C$10,Rates!$A$15:$C$19,3,FALSE),VLOOKUP(Info!$C$10,Rates!$A$15:$D$19,4,FALSE))))),0)</f>
        <v/>
      </c>
      <c r="D79" s="12">
        <f>IF(AI79&lt;&gt;"",E79,"")</f>
        <v/>
      </c>
      <c r="E79" s="12">
        <f>IF(AI79&lt;&gt;0,F79*(1+IF(AJ79&lt;3,VLOOKUP(Info!$C$10,Rates!$A$14:$B$19,2,FALSE),IF(AJ79&lt;5,VLOOKUP(Info!$C$10,Rates!$A$14:$C$19,3,FALSE),VLOOKUP(Info!$C$10,Rates!$A$14:$D$19,4,FALSE)))*LOOKUP(Info!$C$8,Rates!$I$2:$I$8,Rates!$G$2:$G$8))+E78*(1+IF(AJ79&lt;3,VLOOKUP(Info!$C$10,Rates!$A$14:$B$19,2,FALSE),IF(AJ79&lt;5,VLOOKUP(Info!$C$10,Rates!$A$14:$C$19,3,FALSE),VLOOKUP(Info!$C$10,Rates!$A$14:$D$19,4,FALSE)))),0)</f>
        <v/>
      </c>
      <c r="F79" s="12">
        <f>IF(AI79&lt;&gt;"",IF(Info!$C$16="بله",IF(AND(AJ79&lt;=Info!$F$20,AJ79&gt;=Info!$I$20),Info!$C$20,0)+(AG79-Y79-L79-K79-J79-I79-H79-G79),IF(AND(AJ79&lt;=Info!$F$20,AJ79&gt;=Info!$I$20),Info!$C$20,0)+(AG79-Y79-K79-J79-I79-H79-G79)),"")</f>
        <v/>
      </c>
      <c r="G79" s="107">
        <f>IF(AI79&lt;&gt;"",Rates!$AA$11*(L79),"")</f>
        <v/>
      </c>
      <c r="H79" s="107">
        <f>IF(AI79&lt;&gt;"",(Rates!$AC$11+Rates!$AB$11)*(L79),"")</f>
        <v/>
      </c>
      <c r="I79" s="12">
        <f>IF(AI79&lt;&gt;"",LOOKUP(Info!$C$8,Rates!$I$2:$I$7,Rates!$H$2:$H$7)*(J79+K79+L79+Y79),"")</f>
        <v/>
      </c>
      <c r="J79" s="12">
        <f>IF(N79="",0,N79)+IF(P79="",0,P79)+IF(Q79="",0,Q79)</f>
        <v/>
      </c>
      <c r="K79" s="12">
        <f>IF(Y79&lt;&gt;"",Info!$C$18*Y79,"")</f>
        <v/>
      </c>
      <c r="L79" s="12">
        <f>IF(R79="",0,R79)+IF(U79="",0,U79)+IF(W79="",0,W79)+IF(V79="",0,V79)+IF(T79="",0,T79)</f>
        <v/>
      </c>
      <c r="M79" s="12" t="n">
        <v>0</v>
      </c>
      <c r="N79" s="12" t="n">
        <v>0</v>
      </c>
      <c r="O79" s="12">
        <f>IF(AJ79&lt;=10,(1-Info!$C$25)*IF(OR(Info!$F$8&gt;0,Info!$F$10&gt;0),IF(0.75*$X$4&lt;=0.03*$AD$4,0.75*(X79-X78),0.03*(AD79-AD78)),0),"")</f>
        <v/>
      </c>
      <c r="P79" s="12">
        <f>IF(AJ79&lt;=5,IF(AI79&lt;&gt;"",0.002*AD79,"")*(1-Info!$I$25),0)</f>
        <v/>
      </c>
      <c r="Q79" s="12">
        <f>(1-Info!$F$25)*IF(AI79&lt;&gt;"",IF(Info!$C$16="بله",0.07*X79,0.07*AG79),"")</f>
        <v/>
      </c>
      <c r="R79" s="12">
        <f>IF(X79&lt;&gt;0,S79*X79,0)*(1-Info!$F$29)</f>
        <v/>
      </c>
      <c r="S79" s="107">
        <f>IF(Info!$I$14="خیر",0,IF(Info!$F$14="بله",IF(Info!$C$14=1,2.3,IF(Info!$C$14=2,3.3,4.3)),1))*IF(AND(AH79&lt;=Rates!$Y$8,AH79&gt;0),(1+Info!$C$18)*(1+LOOKUP(Info!$F$18,Rates!$O$2:$O$9,Rates!$L$2:$L$9)/100)*(LOOKUP(Info!$C$6,Rates!$T$2:$T$108,Rates!$R$2:$R$108)/100),0)</f>
        <v/>
      </c>
      <c r="T79" s="12">
        <f>IF(AI79&lt;71,(1-Info!$F$27)*((AB79*0.0008*(1+(LOOKUP(Info!$I$18,Rates!$O$2:$O$9,Rates!$M$2:$M$9)/100)))),0)</f>
        <v/>
      </c>
      <c r="U79" s="12">
        <f>IF(AI79&lt;71,(1-Info!$I$27)*(((AD79*0.0008*Info!$L$14))*(1+(LOOKUP(Info!$I$18,Rates!$O:$O,Rates!$N:$N)/100))),0)</f>
        <v/>
      </c>
      <c r="V79" s="12">
        <f>((Z79*0.0008))*(1+(LOOKUP(Info!$I$18,Rates!$O$2:$O$9,Rates!$M$2:$M$9)/100))*(1-Info!$C$27)</f>
        <v/>
      </c>
      <c r="W79" s="12">
        <f>IF(AND(AI79&lt;=Rates!$Y$2,AJ79&lt;=Info!$I$6,Info!$F$16="معمولی"),VLOOKUP(AI79,Rates!$T$1:$X$108,5,0),IF(AND(AI79&lt;=Rates!$Y$2,AJ79&lt;=Info!$I$6,Info!$F$16="پایه"),VLOOKUP(AI79,Rates!$T$1:$X$108,2,0),IF(AND(AI79&lt;=Rates!$Y$2,AJ79&lt;=Info!$I$6,Info!$F$16="آسایش "),VLOOKUP(AI79,Rates!$T$1:$X$108,3,0),IF(AND(AI79&lt;=Rates!$Y$2,AJ79&lt;=Info!$I$6,Info!$F$16="ممتاز"),VLOOKUP(AI79,Rates!$T$1:$X$108,4,0),0))))*AA79/1000000*(1+Info!$C$18)*(1-Info!$I$29)</f>
        <v/>
      </c>
      <c r="X79" s="12">
        <f>IF(Info!$C$16="بله",(AG79-W79-U79-V79-T79)/(1+S79),AG79)</f>
        <v/>
      </c>
      <c r="Y79" s="107">
        <f>IF(AI79&lt;&gt;0,(AD79*LOOKUP(AI79,Rates!$T$2:$T$108,Rates!$S$2:$S$108))/SQRT(1.1),0)</f>
        <v/>
      </c>
      <c r="Z79" s="107">
        <f>IF(AND(AI79&lt;=Rates!$Y$10,AI79&gt;=0),Info!$C$12*(AC79-AD79),0)</f>
        <v/>
      </c>
      <c r="AA79" s="12">
        <f>IF(AND(AI79&gt;=0,AI79&lt;=Rates!$Y$2,AG79&gt;0),MIN(AA78*(1+Info!$F$10),5000000000),0)</f>
        <v/>
      </c>
      <c r="AB79" s="107">
        <f>IF(AND(AI79&gt;=0,AI79&lt;=65),AD79*Info!$L$16,0)</f>
        <v/>
      </c>
      <c r="AC79" s="12">
        <f>IF(AND(AI79&gt;=0,AI79&lt;=Rates!$Y$3),AD79*(1+Info!$L$14),AD79)</f>
        <v/>
      </c>
      <c r="AD79" s="107">
        <f>IF(AI79&lt;&gt;0,AD78*(1+Info!$F$10),0)</f>
        <v/>
      </c>
      <c r="AE79" s="104">
        <f>IF(AI79&lt;&gt;0,AF79+AE78,0)</f>
        <v/>
      </c>
      <c r="AF79" s="12">
        <f>IF(AI79&gt;=0,IF(Info!$C$16="بله",AG79,AG79+L79),"")</f>
        <v/>
      </c>
      <c r="AG79" s="107">
        <f>IF(AI79&lt;&gt;0,AG78*(1+Info!$F$8),0)</f>
        <v/>
      </c>
      <c r="AH79" s="110">
        <f>IF(AJ79&lt;&gt;"",Info!$C$6+AJ79-1,0)</f>
        <v/>
      </c>
      <c r="AI79" s="14">
        <f>IF(AJ79&lt;&gt;"",IF(Info!$F$6+AJ79-1&lt;=Rates!$Y$11,Info!$F$6+AJ79-1,0),0)</f>
        <v/>
      </c>
      <c r="AJ79" s="15">
        <f>IF(AI78&lt;&gt;"",IF(AND(AJ78&lt;&gt;"",AI78+1&lt;=Rates!$Y$11),IF(AJ78&lt;&gt;0,IF(AJ78+1&lt;=Info!$I$6,AJ78+1,""),0),""),"")</f>
        <v/>
      </c>
    </row>
    <row r="80" ht="14.25" customFormat="1" customHeight="1" s="164">
      <c r="A80" s="16">
        <f>IF(B80&gt;0,IF(Info!$C$16="بله",AG80/B80,(AG80+L80)/B80),0)</f>
        <v/>
      </c>
      <c r="B80" s="16">
        <f>IF(AND(AI80&gt;=0,AJ80&lt;=Info!$I$6),LOOKUP(Info!$C$8,Rates!$I$2:$I$7,Rates!$F$2:$F$7),0)</f>
        <v/>
      </c>
      <c r="C80" s="13">
        <f>IF(AND(AI80&gt;=0,AJ80&lt;=Info!$I$6),F80+F80*(IF(AJ80&lt;3,VLOOKUP(Info!$C$10,Rates!$A$15:$B$19,2,FALSE),IF(AJ80&lt;5,VLOOKUP(Info!$C$10,Rates!$A$15:$C$19,3,FALSE),VLOOKUP(Info!$C$10,Rates!$A$15:$D$19,4,FALSE)))+(Info!$I$22-IF(AJ80&gt;4,LOOKUP(Info!$C$10,Rates!$D$2:$D$7,Rates!$A$2:$A$7),LOOKUP(Info!$C$10,Rates!$D$2:$D$7,Rates!$C$2:$C$7))))*LOOKUP(Info!$C$8,Rates!$I$2:$I$7,Rates!$G$2:$G$7)+C79*(1+IF(AJ80&lt;3,VLOOKUP(Info!$C$10,Rates!$A$15:$B$19,2,FALSE),IF(AJ80&lt;5,VLOOKUP(Info!$C$10,Rates!$A$15:$C$19,3,FALSE),VLOOKUP(Info!$C$10,Rates!$A$15:$D$19,4,FALSE)))+(Info!$I$22-IF(AJ80&lt;3,VLOOKUP(Info!$C$10,Rates!$A$15:$B$19,2,FALSE),IF(AJ80&lt;5,VLOOKUP(Info!$C$10,Rates!$A$15:$C$19,3,FALSE),VLOOKUP(Info!$C$10,Rates!$A$15:$D$19,4,FALSE))))),0)</f>
        <v/>
      </c>
      <c r="D80" s="13">
        <f>IF(AI80&lt;&gt;"",E80,"")</f>
        <v/>
      </c>
      <c r="E80" s="12">
        <f>IF(AI80&lt;&gt;0,F80*(1+IF(AJ80&lt;3,VLOOKUP(Info!$C$10,Rates!$A$14:$B$19,2,FALSE),IF(AJ80&lt;5,VLOOKUP(Info!$C$10,Rates!$A$14:$C$19,3,FALSE),VLOOKUP(Info!$C$10,Rates!$A$14:$D$19,4,FALSE)))*LOOKUP(Info!$C$8,Rates!$I$2:$I$8,Rates!$G$2:$G$8))+E79*(1+IF(AJ80&lt;3,VLOOKUP(Info!$C$10,Rates!$A$14:$B$19,2,FALSE),IF(AJ80&lt;5,VLOOKUP(Info!$C$10,Rates!$A$14:$C$19,3,FALSE),VLOOKUP(Info!$C$10,Rates!$A$14:$D$19,4,FALSE)))),0)</f>
        <v/>
      </c>
      <c r="F80" s="13">
        <f>IF(AI80&lt;&gt;"",IF(Info!$C$16="بله",IF(AND(AJ80&lt;=Info!$F$20,AJ80&gt;=Info!$I$20),Info!$C$20,0)+(AG80-Y80-L80-K80-J80-I80-H80-G80),IF(AND(AJ80&lt;=Info!$F$20,AJ80&gt;=Info!$I$20),Info!$C$20,0)+(AG80-Y80-K80-J80-I80-H80-G80)),"")</f>
        <v/>
      </c>
      <c r="G80" s="106">
        <f>IF(AI80&lt;&gt;"",Rates!$AA$11*(L80),"")</f>
        <v/>
      </c>
      <c r="H80" s="106">
        <f>IF(AI80&lt;&gt;"",(Rates!$AC$11+Rates!$AB$11)*(L80),"")</f>
        <v/>
      </c>
      <c r="I80" s="13">
        <f>IF(AI80&lt;&gt;"",LOOKUP(Info!$C$8,Rates!$I$2:$I$7,Rates!$H$2:$H$7)*(J80+K80+L80+Y80),"")</f>
        <v/>
      </c>
      <c r="J80" s="13">
        <f>IF(N80="",0,N80)+IF(P80="",0,P80)+IF(Q80="",0,Q80)</f>
        <v/>
      </c>
      <c r="K80" s="13">
        <f>IF(Y80&lt;&gt;"",Info!$C$18*Y80,"")</f>
        <v/>
      </c>
      <c r="L80" s="13">
        <f>IF(R80="",0,R80)+IF(U80="",0,U80)+IF(W80="",0,W80)+IF(V80="",0,V80)+IF(T80="",0,T80)</f>
        <v/>
      </c>
      <c r="M80" s="13" t="n">
        <v>0</v>
      </c>
      <c r="N80" s="13" t="n">
        <v>0</v>
      </c>
      <c r="O80" s="12">
        <f>IF(AJ80&lt;=10,(1-Info!$C$25)*IF(OR(Info!$F$8&gt;0,Info!$F$10&gt;0),IF(0.75*$X$4&lt;=0.03*$AD$4,0.75*(X80-X79),0.03*(AD80-AD79)),0),"")</f>
        <v/>
      </c>
      <c r="P80" s="13">
        <f>IF(AJ80&lt;=5,IF(AI80&lt;&gt;"",0.002*AD80,"")*(1-Info!$I$25),0)</f>
        <v/>
      </c>
      <c r="Q80" s="13">
        <f>(1-Info!$F$25)*IF(AI80&lt;&gt;"",IF(Info!$C$16="بله",0.07*X80,0.07*AG80),"")</f>
        <v/>
      </c>
      <c r="R80" s="13">
        <f>IF(X80&lt;&gt;0,S80*X80,0)*(1-Info!$F$29)</f>
        <v/>
      </c>
      <c r="S80" s="106">
        <f>IF(Info!$I$14="خیر",0,IF(Info!$F$14="بله",IF(Info!$C$14=1,2.3,IF(Info!$C$14=2,3.3,4.3)),1))*IF(AND(AH80&lt;=Rates!$Y$8,AH80&gt;0),(1+Info!$C$18)*(1+LOOKUP(Info!$F$18,Rates!$O$2:$O$9,Rates!$L$2:$L$9)/100)*(LOOKUP(Info!$C$6,Rates!$T$2:$T$108,Rates!$R$2:$R$108)/100),0)</f>
        <v/>
      </c>
      <c r="T80" s="13">
        <f>IF(AI80&lt;71,(1-Info!$F$27)*((AB80*0.0008*(1+(LOOKUP(Info!$I$18,Rates!$O$2:$O$9,Rates!$M$2:$M$9)/100)))),0)</f>
        <v/>
      </c>
      <c r="U80" s="13">
        <f>IF(AI80&lt;71,(1-Info!$I$27)*(((AD80*0.0008*Info!$L$14))*(1+(LOOKUP(Info!$I$18,Rates!$O:$O,Rates!$N:$N)/100))),0)</f>
        <v/>
      </c>
      <c r="V80" s="13">
        <f>((Z80*0.0008))*(1+(LOOKUP(Info!$I$18,Rates!$O$2:$O$9,Rates!$M$2:$M$9)/100))*(1-Info!$C$27)</f>
        <v/>
      </c>
      <c r="W80" s="13">
        <f>IF(AND(AI80&lt;=Rates!$Y$2,AJ80&lt;=Info!$I$6,Info!$F$16="معمولی"),VLOOKUP(AI80,Rates!$T$1:$X$108,5,0),IF(AND(AI80&lt;=Rates!$Y$2,AJ80&lt;=Info!$I$6,Info!$F$16="پایه"),VLOOKUP(AI80,Rates!$T$1:$X$108,2,0),IF(AND(AI80&lt;=Rates!$Y$2,AJ80&lt;=Info!$I$6,Info!$F$16="آسایش "),VLOOKUP(AI80,Rates!$T$1:$X$108,3,0),IF(AND(AI80&lt;=Rates!$Y$2,AJ80&lt;=Info!$I$6,Info!$F$16="ممتاز"),VLOOKUP(AI80,Rates!$T$1:$X$108,4,0),0))))*AA80/1000000*(1+Info!$C$18)*(1-Info!$I$29)</f>
        <v/>
      </c>
      <c r="X80" s="113">
        <f>IF(Info!$C$16="بله",(AG80-W80-U80-V80-T80)/(1+S80),AG80)</f>
        <v/>
      </c>
      <c r="Y80" s="106">
        <f>IF(AI80&lt;&gt;0,(AD80*LOOKUP(AI80,Rates!$T$2:$T$108,Rates!$S$2:$S$108))/SQRT(1.1),0)</f>
        <v/>
      </c>
      <c r="Z80" s="106">
        <f>IF(AND(AI80&lt;=Rates!$Y$10,AI80&gt;=0),Info!$C$12*(AC80-AD80),0)</f>
        <v/>
      </c>
      <c r="AA80" s="13">
        <f>IF(AND(AI80&gt;=0,AI80&lt;=Rates!$Y$2,AG80&gt;0),MIN(AA79*(1+Info!$F$10),5000000000),0)</f>
        <v/>
      </c>
      <c r="AB80" s="106">
        <f>IF(AND(AI80&gt;=0,AI80&lt;=65),AD80*Info!$L$16,0)</f>
        <v/>
      </c>
      <c r="AC80" s="13">
        <f>IF(AND(AI80&gt;=0,AI80&lt;=Rates!$Y$3),AD80*(1+Info!$L$14),AD80)</f>
        <v/>
      </c>
      <c r="AD80" s="106">
        <f>IF(AI80&lt;&gt;0,AD79*(1+Info!$F$10),0)</f>
        <v/>
      </c>
      <c r="AE80" s="105">
        <f>IF(AI80&lt;&gt;0,AF80+AE79,0)</f>
        <v/>
      </c>
      <c r="AF80" s="13">
        <f>IF(AI80&gt;=0,IF(Info!$C$16="بله",AG80,AG80+L80),"")</f>
        <v/>
      </c>
      <c r="AG80" s="107">
        <f>IF(AI80&lt;&gt;0,AG79*(1+Info!$F$8),0)</f>
        <v/>
      </c>
      <c r="AH80" s="111">
        <f>IF(AJ80&lt;&gt;"",Info!$C$6+AJ80-1,0)</f>
        <v/>
      </c>
      <c r="AI80" s="17">
        <f>IF(AJ80&lt;&gt;"",IF(Info!$F$6+AJ80-1&lt;=Rates!$Y$11,Info!$F$6+AJ80-1,0),0)</f>
        <v/>
      </c>
      <c r="AJ80" s="18">
        <f>IF(AI79&lt;&gt;"",IF(AND(AJ79&lt;&gt;"",AI79+1&lt;=Rates!$Y$11),IF(AJ79&lt;&gt;0,IF(AJ79+1&lt;=Info!$I$6,AJ79+1,""),0),""),"")</f>
        <v/>
      </c>
    </row>
    <row r="81" ht="14.25" customFormat="1" customHeight="1" s="164">
      <c r="A81" s="11">
        <f>IF(B81&gt;0,IF(Info!$C$16="بله",AG81/B81,(AG81+L81)/B81),0)</f>
        <v/>
      </c>
      <c r="B81" s="11">
        <f>IF(AND(AI81&gt;=0,AJ81&lt;=Info!$I$6),LOOKUP(Info!$C$8,Rates!$I$2:$I$7,Rates!$F$2:$F$7),0)</f>
        <v/>
      </c>
      <c r="C81" s="12">
        <f>IF(AND(AI81&gt;=0,AJ81&lt;=Info!$I$6),F81+F81*(IF(AJ81&lt;3,VLOOKUP(Info!$C$10,Rates!$A$15:$B$19,2,FALSE),IF(AJ81&lt;5,VLOOKUP(Info!$C$10,Rates!$A$15:$C$19,3,FALSE),VLOOKUP(Info!$C$10,Rates!$A$15:$D$19,4,FALSE)))+(Info!$I$22-IF(AJ81&gt;4,LOOKUP(Info!$C$10,Rates!$D$2:$D$7,Rates!$A$2:$A$7),LOOKUP(Info!$C$10,Rates!$D$2:$D$7,Rates!$C$2:$C$7))))*LOOKUP(Info!$C$8,Rates!$I$2:$I$7,Rates!$G$2:$G$7)+C80*(1+IF(AJ81&lt;3,VLOOKUP(Info!$C$10,Rates!$A$15:$B$19,2,FALSE),IF(AJ81&lt;5,VLOOKUP(Info!$C$10,Rates!$A$15:$C$19,3,FALSE),VLOOKUP(Info!$C$10,Rates!$A$15:$D$19,4,FALSE)))+(Info!$I$22-IF(AJ81&lt;3,VLOOKUP(Info!$C$10,Rates!$A$15:$B$19,2,FALSE),IF(AJ81&lt;5,VLOOKUP(Info!$C$10,Rates!$A$15:$C$19,3,FALSE),VLOOKUP(Info!$C$10,Rates!$A$15:$D$19,4,FALSE))))),0)</f>
        <v/>
      </c>
      <c r="D81" s="12">
        <f>IF(AI81&lt;&gt;"",E81,"")</f>
        <v/>
      </c>
      <c r="E81" s="12">
        <f>IF(AI81&lt;&gt;0,F81*(1+IF(AJ81&lt;3,VLOOKUP(Info!$C$10,Rates!$A$14:$B$19,2,FALSE),IF(AJ81&lt;5,VLOOKUP(Info!$C$10,Rates!$A$14:$C$19,3,FALSE),VLOOKUP(Info!$C$10,Rates!$A$14:$D$19,4,FALSE)))*LOOKUP(Info!$C$8,Rates!$I$2:$I$8,Rates!$G$2:$G$8))+E80*(1+IF(AJ81&lt;3,VLOOKUP(Info!$C$10,Rates!$A$14:$B$19,2,FALSE),IF(AJ81&lt;5,VLOOKUP(Info!$C$10,Rates!$A$14:$C$19,3,FALSE),VLOOKUP(Info!$C$10,Rates!$A$14:$D$19,4,FALSE)))),0)</f>
        <v/>
      </c>
      <c r="F81" s="12">
        <f>IF(AI81&lt;&gt;"",IF(Info!$C$16="بله",IF(AND(AJ81&lt;=Info!$F$20,AJ81&gt;=Info!$I$20),Info!$C$20,0)+(AG81-Y81-L81-K81-J81-I81-H81-G81),IF(AND(AJ81&lt;=Info!$F$20,AJ81&gt;=Info!$I$20),Info!$C$20,0)+(AG81-Y81-K81-J81-I81-H81-G81)),"")</f>
        <v/>
      </c>
      <c r="G81" s="107">
        <f>IF(AI81&lt;&gt;"",Rates!$AA$11*(L81),"")</f>
        <v/>
      </c>
      <c r="H81" s="107">
        <f>IF(AI81&lt;&gt;"",(Rates!$AC$11+Rates!$AB$11)*(L81),"")</f>
        <v/>
      </c>
      <c r="I81" s="12">
        <f>IF(AI81&lt;&gt;"",LOOKUP(Info!$C$8,Rates!$I$2:$I$7,Rates!$H$2:$H$7)*(J81+K81+L81+Y81),"")</f>
        <v/>
      </c>
      <c r="J81" s="12">
        <f>IF(N81="",0,N81)+IF(P81="",0,P81)+IF(Q81="",0,Q81)</f>
        <v/>
      </c>
      <c r="K81" s="12">
        <f>IF(Y81&lt;&gt;"",Info!$C$18*Y81,"")</f>
        <v/>
      </c>
      <c r="L81" s="12">
        <f>IF(R81="",0,R81)+IF(U81="",0,U81)+IF(W81="",0,W81)+IF(V81="",0,V81)+IF(T81="",0,T81)</f>
        <v/>
      </c>
      <c r="M81" s="12" t="n">
        <v>0</v>
      </c>
      <c r="N81" s="12" t="n">
        <v>0</v>
      </c>
      <c r="O81" s="12">
        <f>IF(AJ81&lt;=10,(1-Info!$C$25)*IF(OR(Info!$F$8&gt;0,Info!$F$10&gt;0),IF(0.75*$X$4&lt;=0.03*$AD$4,0.75*(X81-X80),0.03*(AD81-AD80)),0),"")</f>
        <v/>
      </c>
      <c r="P81" s="12">
        <f>IF(AJ81&lt;=5,IF(AI81&lt;&gt;"",0.002*AD81,"")*(1-Info!$I$25),0)</f>
        <v/>
      </c>
      <c r="Q81" s="12">
        <f>(1-Info!$F$25)*IF(AI81&lt;&gt;"",IF(Info!$C$16="بله",0.07*X81,0.07*AG81),"")</f>
        <v/>
      </c>
      <c r="R81" s="12">
        <f>IF(X81&lt;&gt;0,S81*X81,0)*(1-Info!$F$29)</f>
        <v/>
      </c>
      <c r="S81" s="107">
        <f>IF(Info!$I$14="خیر",0,IF(Info!$F$14="بله",IF(Info!$C$14=1,2.3,IF(Info!$C$14=2,3.3,4.3)),1))*IF(AND(AH81&lt;=Rates!$Y$8,AH81&gt;0),(1+Info!$C$18)*(1+LOOKUP(Info!$F$18,Rates!$O$2:$O$9,Rates!$L$2:$L$9)/100)*(LOOKUP(Info!$C$6,Rates!$T$2:$T$108,Rates!$R$2:$R$108)/100),0)</f>
        <v/>
      </c>
      <c r="T81" s="12">
        <f>IF(AI81&lt;71,(1-Info!$F$27)*((AB81*0.0008*(1+(LOOKUP(Info!$I$18,Rates!$O$2:$O$9,Rates!$M$2:$M$9)/100)))),0)</f>
        <v/>
      </c>
      <c r="U81" s="12">
        <f>IF(AI81&lt;71,(1-Info!$I$27)*(((AD81*0.0008*Info!$L$14))*(1+(LOOKUP(Info!$I$18,Rates!$O:$O,Rates!$N:$N)/100))),0)</f>
        <v/>
      </c>
      <c r="V81" s="12">
        <f>((Z81*0.0008))*(1+(LOOKUP(Info!$I$18,Rates!$O$2:$O$9,Rates!$M$2:$M$9)/100))*(1-Info!$C$27)</f>
        <v/>
      </c>
      <c r="W81" s="12">
        <f>IF(AND(AI81&lt;=Rates!$Y$2,AJ81&lt;=Info!$I$6,Info!$F$16="معمولی"),VLOOKUP(AI81,Rates!$T$1:$X$108,5,0),IF(AND(AI81&lt;=Rates!$Y$2,AJ81&lt;=Info!$I$6,Info!$F$16="پایه"),VLOOKUP(AI81,Rates!$T$1:$X$108,2,0),IF(AND(AI81&lt;=Rates!$Y$2,AJ81&lt;=Info!$I$6,Info!$F$16="آسایش "),VLOOKUP(AI81,Rates!$T$1:$X$108,3,0),IF(AND(AI81&lt;=Rates!$Y$2,AJ81&lt;=Info!$I$6,Info!$F$16="ممتاز"),VLOOKUP(AI81,Rates!$T$1:$X$108,4,0),0))))*AA81/1000000*(1+Info!$C$18)*(1-Info!$I$29)</f>
        <v/>
      </c>
      <c r="X81" s="12">
        <f>IF(Info!$C$16="بله",(AG81-W81-U81-V81-T81)/(1+S81),AG81)</f>
        <v/>
      </c>
      <c r="Y81" s="107">
        <f>IF(AI81&lt;&gt;0,(AD81*LOOKUP(AI81,Rates!$T$2:$T$108,Rates!$S$2:$S$108))/SQRT(1.1),0)</f>
        <v/>
      </c>
      <c r="Z81" s="107">
        <f>IF(AND(AI81&lt;=Rates!$Y$10,AI81&gt;=0),Info!$C$12*(AC81-AD81),0)</f>
        <v/>
      </c>
      <c r="AA81" s="12">
        <f>IF(AND(AI81&gt;=0,AI81&lt;=Rates!$Y$2,AG81&gt;0),MIN(AA80*(1+Info!$F$10),5000000000),0)</f>
        <v/>
      </c>
      <c r="AB81" s="107">
        <f>IF(AND(AI81&gt;=0,AI81&lt;=65),AD81*Info!$L$16,0)</f>
        <v/>
      </c>
      <c r="AC81" s="12">
        <f>IF(AND(AI81&gt;=0,AI81&lt;=Rates!$Y$3),AD81*(1+Info!$L$14),AD81)</f>
        <v/>
      </c>
      <c r="AD81" s="107">
        <f>IF(AI81&lt;&gt;0,AD80*(1+Info!$F$10),0)</f>
        <v/>
      </c>
      <c r="AE81" s="104">
        <f>IF(AI81&lt;&gt;0,AF81+AE80,0)</f>
        <v/>
      </c>
      <c r="AF81" s="12">
        <f>IF(AI81&gt;=0,IF(Info!$C$16="بله",AG81,AG81+L81),"")</f>
        <v/>
      </c>
      <c r="AG81" s="107">
        <f>IF(AI81&lt;&gt;0,AG80*(1+Info!$F$8),0)</f>
        <v/>
      </c>
      <c r="AH81" s="110">
        <f>IF(AJ81&lt;&gt;"",Info!$C$6+AJ81-1,0)</f>
        <v/>
      </c>
      <c r="AI81" s="14">
        <f>IF(AJ81&lt;&gt;"",IF(Info!$F$6+AJ81-1&lt;=Rates!$Y$11,Info!$F$6+AJ81-1,0),0)</f>
        <v/>
      </c>
      <c r="AJ81" s="15">
        <f>IF(AI80&lt;&gt;"",IF(AND(AJ80&lt;&gt;"",AI80+1&lt;=Rates!$Y$11),IF(AJ80&lt;&gt;0,IF(AJ80+1&lt;=Info!$I$6,AJ80+1,""),0),""),"")</f>
        <v/>
      </c>
    </row>
    <row r="82" ht="14.25" customFormat="1" customHeight="1" s="164">
      <c r="A82" s="16">
        <f>IF(B82&gt;0,IF(Info!$C$16="بله",AG82/B82,(AG82+L82)/B82),0)</f>
        <v/>
      </c>
      <c r="B82" s="16">
        <f>IF(AND(AI82&gt;=0,AJ82&lt;=Info!$I$6),LOOKUP(Info!$C$8,Rates!$I$2:$I$7,Rates!$F$2:$F$7),0)</f>
        <v/>
      </c>
      <c r="C82" s="13">
        <f>IF(AND(AI82&gt;=0,AJ82&lt;=Info!$I$6),F82+F82*(IF(AJ82&lt;3,VLOOKUP(Info!$C$10,Rates!$A$15:$B$19,2,FALSE),IF(AJ82&lt;5,VLOOKUP(Info!$C$10,Rates!$A$15:$C$19,3,FALSE),VLOOKUP(Info!$C$10,Rates!$A$15:$D$19,4,FALSE)))+(Info!$I$22-IF(AJ82&gt;4,LOOKUP(Info!$C$10,Rates!$D$2:$D$7,Rates!$A$2:$A$7),LOOKUP(Info!$C$10,Rates!$D$2:$D$7,Rates!$C$2:$C$7))))*LOOKUP(Info!$C$8,Rates!$I$2:$I$7,Rates!$G$2:$G$7)+C81*(1+IF(AJ82&lt;3,VLOOKUP(Info!$C$10,Rates!$A$15:$B$19,2,FALSE),IF(AJ82&lt;5,VLOOKUP(Info!$C$10,Rates!$A$15:$C$19,3,FALSE),VLOOKUP(Info!$C$10,Rates!$A$15:$D$19,4,FALSE)))+(Info!$I$22-IF(AJ82&lt;3,VLOOKUP(Info!$C$10,Rates!$A$15:$B$19,2,FALSE),IF(AJ82&lt;5,VLOOKUP(Info!$C$10,Rates!$A$15:$C$19,3,FALSE),VLOOKUP(Info!$C$10,Rates!$A$15:$D$19,4,FALSE))))),0)</f>
        <v/>
      </c>
      <c r="D82" s="13">
        <f>IF(AI82&lt;&gt;"",E82,"")</f>
        <v/>
      </c>
      <c r="E82" s="12">
        <f>IF(AI82&lt;&gt;0,F82*(1+IF(AJ82&lt;3,VLOOKUP(Info!$C$10,Rates!$A$14:$B$19,2,FALSE),IF(AJ82&lt;5,VLOOKUP(Info!$C$10,Rates!$A$14:$C$19,3,FALSE),VLOOKUP(Info!$C$10,Rates!$A$14:$D$19,4,FALSE)))*LOOKUP(Info!$C$8,Rates!$I$2:$I$8,Rates!$G$2:$G$8))+E81*(1+IF(AJ82&lt;3,VLOOKUP(Info!$C$10,Rates!$A$14:$B$19,2,FALSE),IF(AJ82&lt;5,VLOOKUP(Info!$C$10,Rates!$A$14:$C$19,3,FALSE),VLOOKUP(Info!$C$10,Rates!$A$14:$D$19,4,FALSE)))),0)</f>
        <v/>
      </c>
      <c r="F82" s="13">
        <f>IF(AI82&lt;&gt;"",IF(Info!$C$16="بله",IF(AND(AJ82&lt;=Info!$F$20,AJ82&gt;=Info!$I$20),Info!$C$20,0)+(AG82-Y82-L82-K82-J82-I82-H82-G82),IF(AND(AJ82&lt;=Info!$F$20,AJ82&gt;=Info!$I$20),Info!$C$20,0)+(AG82-Y82-K82-J82-I82-H82-G82)),"")</f>
        <v/>
      </c>
      <c r="G82" s="106">
        <f>IF(AI82&lt;&gt;"",Rates!$AA$11*(L82),"")</f>
        <v/>
      </c>
      <c r="H82" s="106">
        <f>IF(AI82&lt;&gt;"",(Rates!$AC$11+Rates!$AB$11)*(L82),"")</f>
        <v/>
      </c>
      <c r="I82" s="13">
        <f>IF(AI82&lt;&gt;"",LOOKUP(Info!$C$8,Rates!$I$2:$I$7,Rates!$H$2:$H$7)*(J82+K82+L82+Y82),"")</f>
        <v/>
      </c>
      <c r="J82" s="13">
        <f>IF(N82="",0,N82)+IF(P82="",0,P82)+IF(Q82="",0,Q82)</f>
        <v/>
      </c>
      <c r="K82" s="13">
        <f>IF(Y82&lt;&gt;"",Info!$C$18*Y82,"")</f>
        <v/>
      </c>
      <c r="L82" s="13">
        <f>IF(R82="",0,R82)+IF(U82="",0,U82)+IF(W82="",0,W82)+IF(V82="",0,V82)+IF(T82="",0,T82)</f>
        <v/>
      </c>
      <c r="M82" s="13" t="n">
        <v>0</v>
      </c>
      <c r="N82" s="13" t="n">
        <v>0</v>
      </c>
      <c r="O82" s="12">
        <f>IF(AJ82&lt;=10,(1-Info!$C$25)*IF(OR(Info!$F$8&gt;0,Info!$F$10&gt;0),IF(0.75*$X$4&lt;=0.03*$AD$4,0.75*(X82-X81),0.03*(AD82-AD81)),0),"")</f>
        <v/>
      </c>
      <c r="P82" s="13">
        <f>IF(AJ82&lt;=5,IF(AI82&lt;&gt;"",0.002*AD82,"")*(1-Info!$I$25),0)</f>
        <v/>
      </c>
      <c r="Q82" s="13">
        <f>(1-Info!$F$25)*IF(AI82&lt;&gt;"",IF(Info!$C$16="بله",0.07*X82,0.07*AG82),"")</f>
        <v/>
      </c>
      <c r="R82" s="13">
        <f>IF(X82&lt;&gt;0,S82*X82,0)*(1-Info!$F$29)</f>
        <v/>
      </c>
      <c r="S82" s="106">
        <f>IF(Info!$I$14="خیر",0,IF(Info!$F$14="بله",IF(Info!$C$14=1,2.3,IF(Info!$C$14=2,3.3,4.3)),1))*IF(AND(AH82&lt;=Rates!$Y$8,AH82&gt;0),(1+Info!$C$18)*(1+LOOKUP(Info!$F$18,Rates!$O$2:$O$9,Rates!$L$2:$L$9)/100)*(LOOKUP(Info!$C$6,Rates!$T$2:$T$108,Rates!$R$2:$R$108)/100),0)</f>
        <v/>
      </c>
      <c r="T82" s="13">
        <f>IF(AI82&lt;71,(1-Info!$F$27)*((AB82*0.0008*(1+(LOOKUP(Info!$I$18,Rates!$O$2:$O$9,Rates!$M$2:$M$9)/100)))),0)</f>
        <v/>
      </c>
      <c r="U82" s="13">
        <f>IF(AI82&lt;71,(1-Info!$I$27)*(((AD82*0.0008*Info!$L$14))*(1+(LOOKUP(Info!$I$18,Rates!$O:$O,Rates!$N:$N)/100))),0)</f>
        <v/>
      </c>
      <c r="V82" s="13">
        <f>((Z82*0.0008))*(1+(LOOKUP(Info!$I$18,Rates!$O$2:$O$9,Rates!$M$2:$M$9)/100))*(1-Info!$C$27)</f>
        <v/>
      </c>
      <c r="W82" s="13">
        <f>IF(AND(AI82&lt;=Rates!$Y$2,AJ82&lt;=Info!$I$6,Info!$F$16="معمولی"),VLOOKUP(AI82,Rates!$T$1:$X$108,5,0),IF(AND(AI82&lt;=Rates!$Y$2,AJ82&lt;=Info!$I$6,Info!$F$16="پایه"),VLOOKUP(AI82,Rates!$T$1:$X$108,2,0),IF(AND(AI82&lt;=Rates!$Y$2,AJ82&lt;=Info!$I$6,Info!$F$16="آسایش "),VLOOKUP(AI82,Rates!$T$1:$X$108,3,0),IF(AND(AI82&lt;=Rates!$Y$2,AJ82&lt;=Info!$I$6,Info!$F$16="ممتاز"),VLOOKUP(AI82,Rates!$T$1:$X$108,4,0),0))))*AA82/1000000*(1+Info!$C$18)*(1-Info!$I$29)</f>
        <v/>
      </c>
      <c r="X82" s="113">
        <f>IF(Info!$C$16="بله",(AG82-W82-U82-V82-T82)/(1+S82),AG82)</f>
        <v/>
      </c>
      <c r="Y82" s="106">
        <f>IF(AI82&lt;&gt;0,(AD82*LOOKUP(AI82,Rates!$T$2:$T$108,Rates!$S$2:$S$108))/SQRT(1.1),0)</f>
        <v/>
      </c>
      <c r="Z82" s="106">
        <f>IF(AND(AI82&lt;=Rates!$Y$10,AI82&gt;=0),Info!$C$12*(AC82-AD82),0)</f>
        <v/>
      </c>
      <c r="AA82" s="13">
        <f>IF(AND(AI82&gt;=0,AI82&lt;=Rates!$Y$2,AG82&gt;0),MIN(AA81*(1+Info!$F$10),5000000000),0)</f>
        <v/>
      </c>
      <c r="AB82" s="106">
        <f>IF(AND(AI82&gt;=0,AI82&lt;=65),AD82*Info!$L$16,0)</f>
        <v/>
      </c>
      <c r="AC82" s="13">
        <f>IF(AND(AI82&gt;=0,AI82&lt;=Rates!$Y$3),AD82*(1+Info!$L$14),AD82)</f>
        <v/>
      </c>
      <c r="AD82" s="106">
        <f>IF(AI82&lt;&gt;0,AD81*(1+Info!$F$10),0)</f>
        <v/>
      </c>
      <c r="AE82" s="105">
        <f>IF(AI82&lt;&gt;0,AF82+AE81,0)</f>
        <v/>
      </c>
      <c r="AF82" s="113">
        <f>IF(AI82&gt;=0,IF(Info!$C$16="بله",AG82,AG82+L82),"")</f>
        <v/>
      </c>
      <c r="AG82" s="107">
        <f>IF(AI82&lt;&gt;0,AG81*(1+Info!$F$8),0)</f>
        <v/>
      </c>
      <c r="AH82" s="111">
        <f>IF(AJ82&lt;&gt;"",Info!$C$6+AJ82-1,0)</f>
        <v/>
      </c>
      <c r="AI82" s="17">
        <f>IF(AJ82&lt;&gt;"",IF(Info!$F$6+AJ82-1&lt;=Rates!$Y$11,Info!$F$6+AJ82-1,0),0)</f>
        <v/>
      </c>
      <c r="AJ82" s="18">
        <f>IF(AI81&lt;&gt;"",IF(AND(AJ81&lt;&gt;"",AI81+1&lt;=Rates!$Y$11),IF(AJ81&lt;&gt;0,IF(AJ81+1&lt;=Info!$I$6,AJ81+1,""),0),""),"")</f>
        <v/>
      </c>
    </row>
    <row r="83" ht="14.25" customFormat="1" customHeight="1" s="164">
      <c r="A83" s="11">
        <f>IF(B83&gt;0,IF(Info!$C$16="بله",AG83/B83,(AG83+L83)/B83),0)</f>
        <v/>
      </c>
      <c r="B83" s="11">
        <f>IF(AND(AI83&gt;=0,AJ83&lt;=Info!$I$6),LOOKUP(Info!$C$8,Rates!$I$2:$I$7,Rates!$F$2:$F$7),0)</f>
        <v/>
      </c>
      <c r="C83" s="12">
        <f>IF(AND(AI83&gt;=0,AJ83&lt;=Info!$I$6),F83+F83*(IF(AJ83&lt;3,VLOOKUP(Info!$C$10,Rates!$A$15:$B$19,2,FALSE),IF(AJ83&lt;5,VLOOKUP(Info!$C$10,Rates!$A$15:$C$19,3,FALSE),VLOOKUP(Info!$C$10,Rates!$A$15:$D$19,4,FALSE)))+(Info!$I$22-IF(AJ83&gt;4,LOOKUP(Info!$C$10,Rates!$D$2:$D$7,Rates!$A$2:$A$7),LOOKUP(Info!$C$10,Rates!$D$2:$D$7,Rates!$C$2:$C$7))))*LOOKUP(Info!$C$8,Rates!$I$2:$I$7,Rates!$G$2:$G$7)+C82*(1+IF(AJ83&lt;3,VLOOKUP(Info!$C$10,Rates!$A$15:$B$19,2,FALSE),IF(AJ83&lt;5,VLOOKUP(Info!$C$10,Rates!$A$15:$C$19,3,FALSE),VLOOKUP(Info!$C$10,Rates!$A$15:$D$19,4,FALSE)))+(Info!$I$22-IF(AJ83&lt;3,VLOOKUP(Info!$C$10,Rates!$A$15:$B$19,2,FALSE),IF(AJ83&lt;5,VLOOKUP(Info!$C$10,Rates!$A$15:$C$19,3,FALSE),VLOOKUP(Info!$C$10,Rates!$A$15:$D$19,4,FALSE))))),0)</f>
        <v/>
      </c>
      <c r="D83" s="12">
        <f>IF(AI83&lt;&gt;"",E83,"")</f>
        <v/>
      </c>
      <c r="E83" s="12">
        <f>IF(AI83&lt;&gt;0,F83*(1+IF(AJ83&lt;3,VLOOKUP(Info!$C$10,Rates!$A$14:$B$19,2,FALSE),IF(AJ83&lt;5,VLOOKUP(Info!$C$10,Rates!$A$14:$C$19,3,FALSE),VLOOKUP(Info!$C$10,Rates!$A$14:$D$19,4,FALSE)))*LOOKUP(Info!$C$8,Rates!$I$2:$I$8,Rates!$G$2:$G$8))+E82*(1+IF(AJ83&lt;3,VLOOKUP(Info!$C$10,Rates!$A$14:$B$19,2,FALSE),IF(AJ83&lt;5,VLOOKUP(Info!$C$10,Rates!$A$14:$C$19,3,FALSE),VLOOKUP(Info!$C$10,Rates!$A$14:$D$19,4,FALSE)))),0)</f>
        <v/>
      </c>
      <c r="F83" s="12">
        <f>IF(AI83&lt;&gt;"",IF(Info!$C$16="بله",IF(AND(AJ83&lt;=Info!$F$20,AJ83&gt;=Info!$I$20),Info!$C$20,0)+(AG83-Y83-L83-K83-J83-I83-H83-G83),IF(AND(AJ83&lt;=Info!$F$20,AJ83&gt;=Info!$I$20),Info!$C$20,0)+(AG83-Y83-K83-J83-I83-H83-G83)),"")</f>
        <v/>
      </c>
      <c r="G83" s="107">
        <f>IF(AI83&lt;&gt;"",Rates!$AA$11*(L83),"")</f>
        <v/>
      </c>
      <c r="H83" s="107">
        <f>IF(AI83&lt;&gt;"",(Rates!$AC$11+Rates!$AB$11)*(L83),"")</f>
        <v/>
      </c>
      <c r="I83" s="12">
        <f>IF(AI83&lt;&gt;"",LOOKUP(Info!$C$8,Rates!$I$2:$I$7,Rates!$H$2:$H$7)*(J83+K83+L83+Y83),"")</f>
        <v/>
      </c>
      <c r="J83" s="12">
        <f>IF(N83="",0,N83)+IF(P83="",0,P83)+IF(Q83="",0,Q83)</f>
        <v/>
      </c>
      <c r="K83" s="12">
        <f>IF(Y83&lt;&gt;"",Info!$C$18*Y83,"")</f>
        <v/>
      </c>
      <c r="L83" s="12">
        <f>IF(R83="",0,R83)+IF(U83="",0,U83)+IF(W83="",0,W83)+IF(V83="",0,V83)+IF(T83="",0,T83)</f>
        <v/>
      </c>
      <c r="M83" s="12" t="n">
        <v>0</v>
      </c>
      <c r="N83" s="12" t="n">
        <v>0</v>
      </c>
      <c r="O83" s="12">
        <f>IF(AJ83&lt;=10,(1-Info!$C$25)*IF(OR(Info!$F$8&gt;0,Info!$F$10&gt;0),IF(0.75*$X$4&lt;=0.03*$AD$4,0.75*(X83-X82),0.03*(AD83-AD82)),0),"")</f>
        <v/>
      </c>
      <c r="P83" s="12">
        <f>IF(AJ83&lt;=5,IF(AI83&lt;&gt;"",0.002*AD83,"")*(1-Info!$I$25),0)</f>
        <v/>
      </c>
      <c r="Q83" s="12">
        <f>(1-Info!$F$25)*IF(AI83&lt;&gt;"",IF(Info!$C$16="بله",0.07*X83,0.07*AG83),"")</f>
        <v/>
      </c>
      <c r="R83" s="12">
        <f>IF(X83&lt;&gt;0,S83*X83,0)*(1-Info!$F$29)</f>
        <v/>
      </c>
      <c r="S83" s="107">
        <f>IF(Info!$I$14="خیر",0,IF(Info!$F$14="بله",IF(Info!$C$14=1,2.3,IF(Info!$C$14=2,3.3,4.3)),1))*IF(AND(AH83&lt;=Rates!$Y$8,AH83&gt;0),(1+Info!$C$18)*(1+LOOKUP(Info!$F$18,Rates!$O$2:$O$9,Rates!$L$2:$L$9)/100)*(LOOKUP(Info!$C$6,Rates!$T$2:$T$108,Rates!$R$2:$R$108)/100),0)</f>
        <v/>
      </c>
      <c r="T83" s="12">
        <f>IF(AI83&lt;71,(1-Info!$F$27)*((AB83*0.0008*(1+(LOOKUP(Info!$I$18,Rates!$O$2:$O$9,Rates!$M$2:$M$9)/100)))),0)</f>
        <v/>
      </c>
      <c r="U83" s="12">
        <f>IF(AI83&lt;71,(1-Info!$I$27)*(((AD83*0.0008*Info!$L$14))*(1+(LOOKUP(Info!$I$18,Rates!$O:$O,Rates!$N:$N)/100))),0)</f>
        <v/>
      </c>
      <c r="V83" s="12">
        <f>((Z83*0.0008))*(1+(LOOKUP(Info!$I$18,Rates!$O$2:$O$9,Rates!$M$2:$M$9)/100))*(1-Info!$C$27)</f>
        <v/>
      </c>
      <c r="W83" s="12">
        <f>IF(AND(AI83&lt;=Rates!$Y$2,AJ83&lt;=Info!$I$6,Info!$F$16="معمولی"),VLOOKUP(AI83,Rates!$T$1:$X$108,5,0),IF(AND(AI83&lt;=Rates!$Y$2,AJ83&lt;=Info!$I$6,Info!$F$16="پایه"),VLOOKUP(AI83,Rates!$T$1:$X$108,2,0),IF(AND(AI83&lt;=Rates!$Y$2,AJ83&lt;=Info!$I$6,Info!$F$16="آسایش "),VLOOKUP(AI83,Rates!$T$1:$X$108,3,0),IF(AND(AI83&lt;=Rates!$Y$2,AJ83&lt;=Info!$I$6,Info!$F$16="ممتاز"),VLOOKUP(AI83,Rates!$T$1:$X$108,4,0),0))))*AA83/1000000*(1+Info!$C$18)*(1-Info!$I$29)</f>
        <v/>
      </c>
      <c r="X83" s="12">
        <f>IF(Info!$C$16="بله",(AG83-W83-U83-V83-T83)/(1+S83),AG83)</f>
        <v/>
      </c>
      <c r="Y83" s="107">
        <f>IF(AI83&lt;&gt;0,(AD83*LOOKUP(AI83,Rates!$T$2:$T$108,Rates!$S$2:$S$108))/SQRT(1.1),0)</f>
        <v/>
      </c>
      <c r="Z83" s="107">
        <f>IF(AND(AI83&lt;=Rates!$Y$10,AI83&gt;=0),Info!$C$12*(AC83-AD83),0)</f>
        <v/>
      </c>
      <c r="AA83" s="12">
        <f>IF(AND(AI83&gt;=0,AI83&lt;=Rates!$Y$2,AG83&gt;0),MIN(AA82*(1+Info!$F$10),5000000000),0)</f>
        <v/>
      </c>
      <c r="AB83" s="107">
        <f>IF(AND(AI83&gt;=0,AI83&lt;=65),AD83*Info!$L$16,0)</f>
        <v/>
      </c>
      <c r="AC83" s="12">
        <f>IF(AND(AI83&gt;=0,AI83&lt;=Rates!$Y$3),AD83*(1+Info!$L$14),AD83)</f>
        <v/>
      </c>
      <c r="AD83" s="107">
        <f>IF(AI83&lt;&gt;0,AD82*(1+Info!$F$10),0)</f>
        <v/>
      </c>
      <c r="AE83" s="104">
        <f>IF(AI83&lt;&gt;0,AF83+AE82,0)</f>
        <v/>
      </c>
      <c r="AF83" s="12">
        <f>IF(AI83&gt;=0,IF(Info!$C$16="بله",AG83,AG83+L83),"")</f>
        <v/>
      </c>
      <c r="AG83" s="107">
        <f>IF(AI83&lt;&gt;0,AG82*(1+Info!$F$8),0)</f>
        <v/>
      </c>
      <c r="AH83" s="110">
        <f>IF(AJ83&lt;&gt;"",Info!$C$6+AJ83-1,0)</f>
        <v/>
      </c>
      <c r="AI83" s="14">
        <f>IF(AJ83&lt;&gt;"",IF(Info!$F$6+AJ83-1&lt;=Rates!$Y$11,Info!$F$6+AJ83-1,0),0)</f>
        <v/>
      </c>
      <c r="AJ83" s="15">
        <f>IF(AI82&lt;&gt;"",IF(AND(AJ82&lt;&gt;"",AI82+1&lt;=Rates!$Y$11),IF(AJ82&lt;&gt;0,IF(AJ82+1&lt;=Info!$I$6,AJ82+1,""),0),""),"")</f>
        <v/>
      </c>
    </row>
    <row r="84">
      <c r="A84" s="16">
        <f>IF(B84&gt;0,IF(Info!$C$16="بله",AG84/B84,(AG84+L84)/B84),0)</f>
        <v/>
      </c>
      <c r="B84" s="16">
        <f>IF(AND(AI84&gt;=0,AJ84&lt;=Info!$I$6),LOOKUP(Info!$C$8,Rates!$I$2:$I$7,Rates!$F$2:$F$7),0)</f>
        <v/>
      </c>
      <c r="C84" s="13">
        <f>IF(AND(AI84&gt;=0,AJ84&lt;=Info!$I$6),F84+F84*(IF(AJ84&lt;3,VLOOKUP(Info!$C$10,Rates!$A$15:$B$19,2,FALSE),IF(AJ84&lt;5,VLOOKUP(Info!$C$10,Rates!$A$15:$C$19,3,FALSE),VLOOKUP(Info!$C$10,Rates!$A$15:$D$19,4,FALSE)))+(Info!$I$22-IF(AJ84&gt;4,LOOKUP(Info!$C$10,Rates!$D$2:$D$7,Rates!$A$2:$A$7),LOOKUP(Info!$C$10,Rates!$D$2:$D$7,Rates!$C$2:$C$7))))*LOOKUP(Info!$C$8,Rates!$I$2:$I$7,Rates!$G$2:$G$7)+C83*(1+IF(AJ84&lt;3,VLOOKUP(Info!$C$10,Rates!$A$15:$B$19,2,FALSE),IF(AJ84&lt;5,VLOOKUP(Info!$C$10,Rates!$A$15:$C$19,3,FALSE),VLOOKUP(Info!$C$10,Rates!$A$15:$D$19,4,FALSE)))+(Info!$I$22-IF(AJ84&lt;3,VLOOKUP(Info!$C$10,Rates!$A$15:$B$19,2,FALSE),IF(AJ84&lt;5,VLOOKUP(Info!$C$10,Rates!$A$15:$C$19,3,FALSE),VLOOKUP(Info!$C$10,Rates!$A$15:$D$19,4,FALSE))))),0)</f>
        <v/>
      </c>
      <c r="D84" s="13">
        <f>IF(AI84&lt;&gt;"",E84,"")</f>
        <v/>
      </c>
      <c r="E84" s="12">
        <f>IF(AI84&lt;&gt;0,F84*(1+IF(AJ84&lt;3,VLOOKUP(Info!$C$10,Rates!$A$14:$B$19,2,FALSE),IF(AJ84&lt;5,VLOOKUP(Info!$C$10,Rates!$A$14:$C$19,3,FALSE),VLOOKUP(Info!$C$10,Rates!$A$14:$D$19,4,FALSE)))*LOOKUP(Info!$C$8,Rates!$I$2:$I$8,Rates!$G$2:$G$8))+E83*(1+IF(AJ84&lt;3,VLOOKUP(Info!$C$10,Rates!$A$14:$B$19,2,FALSE),IF(AJ84&lt;5,VLOOKUP(Info!$C$10,Rates!$A$14:$C$19,3,FALSE),VLOOKUP(Info!$C$10,Rates!$A$14:$D$19,4,FALSE)))),0)</f>
        <v/>
      </c>
      <c r="F84" s="13">
        <f>IF(AI84&lt;&gt;"",IF(Info!$C$16="بله",IF(AND(AJ84&lt;=Info!$F$20,AJ84&gt;=Info!$I$20),Info!$C$20,0)+(AG84-Y84-L84-K84-J84-I84-H84-G84),IF(AND(AJ84&lt;=Info!$F$20,AJ84&gt;=Info!$I$20),Info!$C$20,0)+(AG84-Y84-K84-J84-I84-H84-G84)),"")</f>
        <v/>
      </c>
      <c r="G84" s="106">
        <f>IF(AI84&lt;&gt;"",Rates!$AA$11*(L84),"")</f>
        <v/>
      </c>
      <c r="H84" s="106">
        <f>IF(AI84&lt;&gt;"",(Rates!$AC$11+Rates!$AB$11)*(L84),"")</f>
        <v/>
      </c>
      <c r="I84" s="13">
        <f>IF(AI84&lt;&gt;"",LOOKUP(Info!$C$8,Rates!$I$2:$I$7,Rates!$H$2:$H$7)*(J84+K84+L84+Y84),"")</f>
        <v/>
      </c>
      <c r="J84" s="13">
        <f>IF(N84="",0,N84)+IF(P84="",0,P84)+IF(Q84="",0,Q84)</f>
        <v/>
      </c>
      <c r="K84" s="13">
        <f>IF(Y84&lt;&gt;"",Info!$C$18*Y84,"")</f>
        <v/>
      </c>
      <c r="L84" s="13">
        <f>IF(R84="",0,R84)+IF(U84="",0,U84)+IF(W84="",0,W84)+IF(V84="",0,V84)+IF(T84="",0,T84)</f>
        <v/>
      </c>
      <c r="M84" s="13" t="n">
        <v>0</v>
      </c>
      <c r="N84" s="13" t="n">
        <v>0</v>
      </c>
      <c r="O84" s="12">
        <f>IF(AJ84&lt;=10,(1-Info!$C$25)*IF(OR(Info!$F$8&gt;0,Info!$F$10&gt;0),IF(0.75*$X$4&lt;=0.03*$AD$4,0.75*(X84-X83),0.03*(AD84-AD83)),0),"")</f>
        <v/>
      </c>
      <c r="P84" s="13">
        <f>IF(AJ84&lt;=5,IF(AI84&lt;&gt;"",0.002*AD84,"")*(1-Info!$I$25),0)</f>
        <v/>
      </c>
      <c r="Q84" s="13">
        <f>(1-Info!$F$25)*IF(AI84&lt;&gt;"",IF(Info!$C$16="بله",0.07*X84,0.07*AG84),"")</f>
        <v/>
      </c>
      <c r="R84" s="13">
        <f>IF(X84&lt;&gt;0,S84*X84,0)*(1-Info!$F$29)</f>
        <v/>
      </c>
      <c r="S84" s="106">
        <f>IF(Info!$I$14="خیر",0,IF(Info!$F$14="بله",IF(Info!$C$14=1,2.3,IF(Info!$C$14=2,3.3,4.3)),1))*IF(AND(AH84&lt;=Rates!$Y$8,AH84&gt;0),(1+Info!$C$18)*(1+LOOKUP(Info!$F$18,Rates!$O$2:$O$9,Rates!$L$2:$L$9)/100)*(LOOKUP(Info!$C$6,Rates!$T$2:$T$108,Rates!$R$2:$R$108)/100),0)</f>
        <v/>
      </c>
      <c r="T84" s="13">
        <f>IF(AI84&lt;71,(1-Info!$F$27)*((AB84*0.0008*(1+(LOOKUP(Info!$I$18,Rates!$O$2:$O$9,Rates!$M$2:$M$9)/100)))),0)</f>
        <v/>
      </c>
      <c r="U84" s="13">
        <f>IF(AI84&lt;71,(1-Info!$I$27)*(((AD84*0.0008*Info!$L$14))*(1+(LOOKUP(Info!$I$18,Rates!$O:$O,Rates!$N:$N)/100))),0)</f>
        <v/>
      </c>
      <c r="V84" s="13">
        <f>((Z84*0.0008))*(1+(LOOKUP(Info!$I$18,Rates!$O$2:$O$9,Rates!$M$2:$M$9)/100))*(1-Info!$C$27)</f>
        <v/>
      </c>
      <c r="W84" s="13">
        <f>IF(AND(AI84&lt;=Rates!$Y$2,AJ84&lt;=Info!$I$6,Info!$F$16="معمولی"),VLOOKUP(AI84,Rates!$T$1:$X$108,5,0),IF(AND(AI84&lt;=Rates!$Y$2,AJ84&lt;=Info!$I$6,Info!$F$16="پایه"),VLOOKUP(AI84,Rates!$T$1:$X$108,2,0),IF(AND(AI84&lt;=Rates!$Y$2,AJ84&lt;=Info!$I$6,Info!$F$16="آسایش "),VLOOKUP(AI84,Rates!$T$1:$X$108,3,0),IF(AND(AI84&lt;=Rates!$Y$2,AJ84&lt;=Info!$I$6,Info!$F$16="ممتاز"),VLOOKUP(AI84,Rates!$T$1:$X$108,4,0),0))))*AA84/1000000*(1+Info!$C$18)*(1-Info!$I$29)</f>
        <v/>
      </c>
      <c r="X84" s="113">
        <f>IF(Info!$C$16="بله",(AG84-W84-U84-V84-T84)/(1+S84),AG84)</f>
        <v/>
      </c>
      <c r="Y84" s="106">
        <f>IF(AI84&lt;&gt;0,(AD84*LOOKUP(AI84,Rates!$T$2:$T$108,Rates!$S$2:$S$108))/SQRT(1.1),0)</f>
        <v/>
      </c>
      <c r="Z84" s="106">
        <f>IF(AND(AI84&lt;=Rates!$Y$10,AI84&gt;=0),Info!$C$12*(AC84-AD84),0)</f>
        <v/>
      </c>
      <c r="AA84" s="13">
        <f>IF(AND(AI84&gt;=0,AI84&lt;=Rates!$Y$2,AG84&gt;0),MIN(AA83*(1+Info!$F$10),5000000000),0)</f>
        <v/>
      </c>
      <c r="AB84" s="106">
        <f>IF(AND(AI84&gt;=0,AI84&lt;=65),AD84*Info!$L$16,0)</f>
        <v/>
      </c>
      <c r="AC84" s="13">
        <f>IF(AND(AI84&gt;=0,AI84&lt;=Rates!$Y$3),AD84*(1+Info!$L$14),AD84)</f>
        <v/>
      </c>
      <c r="AD84" s="106">
        <f>IF(AI84&lt;&gt;0,AD83*(1+Info!$F$10),0)</f>
        <v/>
      </c>
      <c r="AE84" s="105">
        <f>IF(AI84&lt;&gt;0,AF84+AE83,0)</f>
        <v/>
      </c>
      <c r="AF84" s="13">
        <f>IF(AI84&gt;=0,IF(Info!$C$16="بله",AG84,AG84+L84),"")</f>
        <v/>
      </c>
      <c r="AG84" s="107">
        <f>IF(AI84&lt;&gt;0,AG83*(1+Info!$F$8),0)</f>
        <v/>
      </c>
      <c r="AH84" s="111">
        <f>IF(AJ84&lt;&gt;"",Info!$C$6+AJ84-1,0)</f>
        <v/>
      </c>
      <c r="AI84" s="17">
        <f>IF(AJ84&lt;&gt;"",IF(Info!$F$6+AJ84-1&lt;=Rates!$Y$11,Info!$F$6+AJ84-1,0),0)</f>
        <v/>
      </c>
      <c r="AJ84" s="18">
        <f>IF(AI83&lt;&gt;"",IF(AND(AJ83&lt;&gt;"",AI83+1&lt;=Rates!$Y$11),IF(AJ83&lt;&gt;0,IF(AJ83+1&lt;=Info!$I$6,AJ83+1,""),0),""),"")</f>
        <v/>
      </c>
    </row>
    <row r="85">
      <c r="A85" s="11">
        <f>IF(B85&gt;0,IF(Info!$C$16="بله",AG85/B85,(AG85+L85)/B85),0)</f>
        <v/>
      </c>
      <c r="B85" s="11">
        <f>IF(AND(AI85&gt;=0,AJ85&lt;=Info!$I$6),LOOKUP(Info!$C$8,Rates!$I$2:$I$7,Rates!$F$2:$F$7),0)</f>
        <v/>
      </c>
      <c r="C85" s="12">
        <f>IF(AND(AI85&gt;=0,AJ85&lt;=Info!$I$6),F85+F85*(IF(AJ85&lt;3,VLOOKUP(Info!$C$10,Rates!$A$15:$B$19,2,FALSE),IF(AJ85&lt;5,VLOOKUP(Info!$C$10,Rates!$A$15:$C$19,3,FALSE),VLOOKUP(Info!$C$10,Rates!$A$15:$D$19,4,FALSE)))+(Info!$I$22-IF(AJ85&gt;4,LOOKUP(Info!$C$10,Rates!$D$2:$D$7,Rates!$A$2:$A$7),LOOKUP(Info!$C$10,Rates!$D$2:$D$7,Rates!$C$2:$C$7))))*LOOKUP(Info!$C$8,Rates!$I$2:$I$7,Rates!$G$2:$G$7)+C84*(1+IF(AJ85&lt;3,VLOOKUP(Info!$C$10,Rates!$A$15:$B$19,2,FALSE),IF(AJ85&lt;5,VLOOKUP(Info!$C$10,Rates!$A$15:$C$19,3,FALSE),VLOOKUP(Info!$C$10,Rates!$A$15:$D$19,4,FALSE)))+(Info!$I$22-IF(AJ85&lt;3,VLOOKUP(Info!$C$10,Rates!$A$15:$B$19,2,FALSE),IF(AJ85&lt;5,VLOOKUP(Info!$C$10,Rates!$A$15:$C$19,3,FALSE),VLOOKUP(Info!$C$10,Rates!$A$15:$D$19,4,FALSE))))),0)</f>
        <v/>
      </c>
      <c r="D85" s="12">
        <f>IF(AI85&lt;&gt;"",E85,"")</f>
        <v/>
      </c>
      <c r="E85" s="12">
        <f>IF(AI85&lt;&gt;0,F85*(1+IF(AJ85&lt;3,VLOOKUP(Info!$C$10,Rates!$A$14:$B$19,2,FALSE),IF(AJ85&lt;5,VLOOKUP(Info!$C$10,Rates!$A$14:$C$19,3,FALSE),VLOOKUP(Info!$C$10,Rates!$A$14:$D$19,4,FALSE)))*LOOKUP(Info!$C$8,Rates!$I$2:$I$8,Rates!$G$2:$G$8))+E84*(1+IF(AJ85&lt;3,VLOOKUP(Info!$C$10,Rates!$A$14:$B$19,2,FALSE),IF(AJ85&lt;5,VLOOKUP(Info!$C$10,Rates!$A$14:$C$19,3,FALSE),VLOOKUP(Info!$C$10,Rates!$A$14:$D$19,4,FALSE)))),0)</f>
        <v/>
      </c>
      <c r="F85" s="12">
        <f>IF(AI85&lt;&gt;"",IF(Info!$C$16="بله",IF(AND(AJ85&lt;=Info!$F$20,AJ85&gt;=Info!$I$20),Info!$C$20,0)+(AG85-Y85-L85-K85-J85-I85-H85-G85),IF(AND(AJ85&lt;=Info!$F$20,AJ85&gt;=Info!$I$20),Info!$C$20,0)+(AG85-Y85-K85-J85-I85-H85-G85)),"")</f>
        <v/>
      </c>
      <c r="G85" s="107">
        <f>IF(AI85&lt;&gt;"",Rates!$AA$11*(L85),"")</f>
        <v/>
      </c>
      <c r="H85" s="107">
        <f>IF(AI85&lt;&gt;"",(Rates!$AC$11+Rates!$AB$11)*(L85),"")</f>
        <v/>
      </c>
      <c r="I85" s="12">
        <f>IF(AI85&lt;&gt;"",LOOKUP(Info!$C$8,Rates!$I$2:$I$7,Rates!$H$2:$H$7)*(J85+K85+L85+Y85),"")</f>
        <v/>
      </c>
      <c r="J85" s="12">
        <f>IF(N85="",0,N85)+IF(P85="",0,P85)+IF(Q85="",0,Q85)</f>
        <v/>
      </c>
      <c r="K85" s="12">
        <f>IF(Y85&lt;&gt;"",Info!$C$18*Y85,"")</f>
        <v/>
      </c>
      <c r="L85" s="12">
        <f>IF(R85="",0,R85)+IF(U85="",0,U85)+IF(W85="",0,W85)+IF(V85="",0,V85)+IF(T85="",0,T85)</f>
        <v/>
      </c>
      <c r="M85" s="12" t="n">
        <v>0</v>
      </c>
      <c r="N85" s="12" t="n">
        <v>0</v>
      </c>
      <c r="O85" s="12">
        <f>IF(AJ85&lt;=10,(1-Info!$C$25)*IF(OR(Info!$F$8&gt;0,Info!$F$10&gt;0),IF(0.75*$X$4&lt;=0.03*$AD$4,0.75*(X85-X84),0.03*(AD85-AD84)),0),"")</f>
        <v/>
      </c>
      <c r="P85" s="12">
        <f>IF(AJ85&lt;=5,IF(AI85&lt;&gt;"",0.002*AD85,"")*(1-Info!$I$25),0)</f>
        <v/>
      </c>
      <c r="Q85" s="12">
        <f>(1-Info!$F$25)*IF(AI85&lt;&gt;"",IF(Info!$C$16="بله",0.07*X85,0.07*AG85),"")</f>
        <v/>
      </c>
      <c r="R85" s="12">
        <f>IF(X85&lt;&gt;0,S85*X85,0)*(1-Info!$F$29)</f>
        <v/>
      </c>
      <c r="S85" s="107">
        <f>IF(Info!$I$14="خیر",0,IF(Info!$F$14="بله",IF(Info!$C$14=1,2.3,IF(Info!$C$14=2,3.3,4.3)),1))*IF(AND(AH85&lt;=Rates!$Y$8,AH85&gt;0),(1+Info!$C$18)*(1+LOOKUP(Info!$F$18,Rates!$O$2:$O$9,Rates!$L$2:$L$9)/100)*(LOOKUP(Info!$C$6,Rates!$T$2:$T$108,Rates!$R$2:$R$108)/100),0)</f>
        <v/>
      </c>
      <c r="T85" s="12">
        <f>IF(AI85&lt;71,(1-Info!$F$27)*((AB85*0.0008*(1+(LOOKUP(Info!$I$18,Rates!$O$2:$O$9,Rates!$M$2:$M$9)/100)))),0)</f>
        <v/>
      </c>
      <c r="U85" s="12">
        <f>IF(AI85&lt;71,(1-Info!$I$27)*(((AD85*0.0008*Info!$L$14))*(1+(LOOKUP(Info!$I$18,Rates!$O:$O,Rates!$N:$N)/100))),0)</f>
        <v/>
      </c>
      <c r="V85" s="12">
        <f>((Z85*0.0008))*(1+(LOOKUP(Info!$I$18,Rates!$O$2:$O$9,Rates!$M$2:$M$9)/100))*(1-Info!$C$27)</f>
        <v/>
      </c>
      <c r="W85" s="12">
        <f>IF(AND(AI85&lt;=Rates!$Y$2,AJ85&lt;=Info!$I$6,Info!$F$16="معمولی"),VLOOKUP(AI85,Rates!$T$1:$X$108,5,0),IF(AND(AI85&lt;=Rates!$Y$2,AJ85&lt;=Info!$I$6,Info!$F$16="پایه"),VLOOKUP(AI85,Rates!$T$1:$X$108,2,0),IF(AND(AI85&lt;=Rates!$Y$2,AJ85&lt;=Info!$I$6,Info!$F$16="آسایش "),VLOOKUP(AI85,Rates!$T$1:$X$108,3,0),IF(AND(AI85&lt;=Rates!$Y$2,AJ85&lt;=Info!$I$6,Info!$F$16="ممتاز"),VLOOKUP(AI85,Rates!$T$1:$X$108,4,0),0))))*AA85/1000000*(1+Info!$C$18)*(1-Info!$I$29)</f>
        <v/>
      </c>
      <c r="X85" s="12">
        <f>IF(Info!$C$16="بله",(AG85-W85-U85-V85-T85)/(1+S85),AG85)</f>
        <v/>
      </c>
      <c r="Y85" s="107">
        <f>IF(AI85&lt;&gt;0,(AD85*LOOKUP(AI85,Rates!$T$2:$T$108,Rates!$S$2:$S$108))/SQRT(1.1),0)</f>
        <v/>
      </c>
      <c r="Z85" s="107">
        <f>IF(AND(AI85&lt;=Rates!$Y$10,AI85&gt;=0),Info!$C$12*(AC85-AD85),0)</f>
        <v/>
      </c>
      <c r="AA85" s="12">
        <f>IF(AND(AI85&gt;=0,AI85&lt;=Rates!$Y$2,AG85&gt;0),MIN(AA84*(1+Info!$F$10),5000000000),0)</f>
        <v/>
      </c>
      <c r="AB85" s="107">
        <f>IF(AND(AI85&gt;=0,AI85&lt;=65),AD85*Info!$L$16,0)</f>
        <v/>
      </c>
      <c r="AC85" s="12">
        <f>IF(AND(AI85&gt;=0,AI85&lt;=Rates!$Y$3),AD85*(1+Info!$L$14),AD85)</f>
        <v/>
      </c>
      <c r="AD85" s="107">
        <f>IF(AI85&lt;&gt;0,AD84*(1+Info!$F$10),0)</f>
        <v/>
      </c>
      <c r="AE85" s="104">
        <f>IF(AI85&lt;&gt;0,AF85+AE84,0)</f>
        <v/>
      </c>
      <c r="AF85" s="12">
        <f>IF(AI85&gt;=0,IF(Info!$C$16="بله",AG85,AG85+L85),"")</f>
        <v/>
      </c>
      <c r="AG85" s="107">
        <f>IF(AI85&lt;&gt;0,AG84*(1+Info!$F$8),0)</f>
        <v/>
      </c>
      <c r="AH85" s="110">
        <f>IF(AJ85&lt;&gt;"",Info!$C$6+AJ85-1,0)</f>
        <v/>
      </c>
      <c r="AI85" s="14">
        <f>IF(AJ85&lt;&gt;"",IF(Info!$F$6+AJ85-1&lt;=Rates!$Y$11,Info!$F$6+AJ85-1,0),0)</f>
        <v/>
      </c>
      <c r="AJ85" s="15">
        <f>IF(AI84&lt;&gt;"",IF(AND(AJ84&lt;&gt;"",AI84+1&lt;=Rates!$Y$11),IF(AJ84&lt;&gt;0,IF(AJ84+1&lt;=Info!$I$6,AJ84+1,""),0),""),"")</f>
        <v/>
      </c>
    </row>
    <row r="86">
      <c r="A86" s="16">
        <f>IF(B86&gt;0,IF(Info!$C$16="بله",AG86/B86,(AG86+L86)/B86),0)</f>
        <v/>
      </c>
      <c r="B86" s="16">
        <f>IF(AND(AI86&gt;=0,AJ86&lt;=Info!$I$6),LOOKUP(Info!$C$8,Rates!$I$2:$I$7,Rates!$F$2:$F$7),0)</f>
        <v/>
      </c>
      <c r="C86" s="13">
        <f>IF(AND(AI86&gt;=0,AJ86&lt;=Info!$I$6),F86+F86*(IF(AJ86&lt;3,VLOOKUP(Info!$C$10,Rates!$A$15:$B$19,2,FALSE),IF(AJ86&lt;5,VLOOKUP(Info!$C$10,Rates!$A$15:$C$19,3,FALSE),VLOOKUP(Info!$C$10,Rates!$A$15:$D$19,4,FALSE)))+(Info!$I$22-IF(AJ86&gt;4,LOOKUP(Info!$C$10,Rates!$D$2:$D$7,Rates!$A$2:$A$7),LOOKUP(Info!$C$10,Rates!$D$2:$D$7,Rates!$C$2:$C$7))))*LOOKUP(Info!$C$8,Rates!$I$2:$I$7,Rates!$G$2:$G$7)+C85*(1+IF(AJ86&lt;3,VLOOKUP(Info!$C$10,Rates!$A$15:$B$19,2,FALSE),IF(AJ86&lt;5,VLOOKUP(Info!$C$10,Rates!$A$15:$C$19,3,FALSE),VLOOKUP(Info!$C$10,Rates!$A$15:$D$19,4,FALSE)))+(Info!$I$22-IF(AJ86&lt;3,VLOOKUP(Info!$C$10,Rates!$A$15:$B$19,2,FALSE),IF(AJ86&lt;5,VLOOKUP(Info!$C$10,Rates!$A$15:$C$19,3,FALSE),VLOOKUP(Info!$C$10,Rates!$A$15:$D$19,4,FALSE))))),0)</f>
        <v/>
      </c>
      <c r="D86" s="13">
        <f>IF(AI86&lt;&gt;"",E86,"")</f>
        <v/>
      </c>
      <c r="E86" s="12">
        <f>IF(AI86&lt;&gt;0,F86*(1+IF(AJ86&lt;3,VLOOKUP(Info!$C$10,Rates!$A$14:$B$19,2,FALSE),IF(AJ86&lt;5,VLOOKUP(Info!$C$10,Rates!$A$14:$C$19,3,FALSE),VLOOKUP(Info!$C$10,Rates!$A$14:$D$19,4,FALSE)))*LOOKUP(Info!$C$8,Rates!$I$2:$I$8,Rates!$G$2:$G$8))+E85*(1+IF(AJ86&lt;3,VLOOKUP(Info!$C$10,Rates!$A$14:$B$19,2,FALSE),IF(AJ86&lt;5,VLOOKUP(Info!$C$10,Rates!$A$14:$C$19,3,FALSE),VLOOKUP(Info!$C$10,Rates!$A$14:$D$19,4,FALSE)))),0)</f>
        <v/>
      </c>
      <c r="F86" s="13">
        <f>IF(AI86&lt;&gt;"",IF(Info!$C$16="بله",IF(AND(AJ86&lt;=Info!$F$20,AJ86&gt;=Info!$I$20),Info!$C$20,0)+(AG86-Y86-L86-K86-J86-I86-H86-G86),IF(AND(AJ86&lt;=Info!$F$20,AJ86&gt;=Info!$I$20),Info!$C$20,0)+(AG86-Y86-K86-J86-I86-H86-G86)),"")</f>
        <v/>
      </c>
      <c r="G86" s="106">
        <f>IF(AI86&lt;&gt;"",Rates!$AA$11*(L86),"")</f>
        <v/>
      </c>
      <c r="H86" s="106">
        <f>IF(AI86&lt;&gt;"",(Rates!$AC$11+Rates!$AB$11)*(L86),"")</f>
        <v/>
      </c>
      <c r="I86" s="13">
        <f>IF(AI86&lt;&gt;"",LOOKUP(Info!$C$8,Rates!$I$2:$I$7,Rates!$H$2:$H$7)*(J86+K86+L86+Y86),"")</f>
        <v/>
      </c>
      <c r="J86" s="13">
        <f>IF(N86="",0,N86)+IF(P86="",0,P86)+IF(Q86="",0,Q86)</f>
        <v/>
      </c>
      <c r="K86" s="13">
        <f>IF(Y86&lt;&gt;"",Info!$C$18*Y86,"")</f>
        <v/>
      </c>
      <c r="L86" s="13">
        <f>IF(R86="",0,R86)+IF(U86="",0,U86)+IF(W86="",0,W86)+IF(V86="",0,V86)+IF(T86="",0,T86)</f>
        <v/>
      </c>
      <c r="M86" s="13" t="n">
        <v>0</v>
      </c>
      <c r="N86" s="13" t="n">
        <v>0</v>
      </c>
      <c r="O86" s="12">
        <f>IF(AJ86&lt;=10,(1-Info!$C$25)*IF(OR(Info!$F$8&gt;0,Info!$F$10&gt;0),IF(0.75*$X$4&lt;=0.03*$AD$4,0.75*(X86-X85),0.03*(AD86-AD85)),0),"")</f>
        <v/>
      </c>
      <c r="P86" s="13">
        <f>IF(AJ86&lt;=5,IF(AI86&lt;&gt;"",0.002*AD86,"")*(1-Info!$I$25),0)</f>
        <v/>
      </c>
      <c r="Q86" s="13">
        <f>(1-Info!$F$25)*IF(AI86&lt;&gt;"",IF(Info!$C$16="بله",0.07*X86,0.07*AG86),"")</f>
        <v/>
      </c>
      <c r="R86" s="13">
        <f>IF(X86&lt;&gt;0,S86*X86,0)*(1-Info!$F$29)</f>
        <v/>
      </c>
      <c r="S86" s="106">
        <f>IF(Info!$I$14="خیر",0,IF(Info!$F$14="بله",IF(Info!$C$14=1,2.3,IF(Info!$C$14=2,3.3,4.3)),1))*IF(AND(AH86&lt;=Rates!$Y$8,AH86&gt;0),(1+Info!$C$18)*(1+LOOKUP(Info!$F$18,Rates!$O$2:$O$9,Rates!$L$2:$L$9)/100)*(LOOKUP(Info!$C$6,Rates!$T$2:$T$108,Rates!$R$2:$R$108)/100),0)</f>
        <v/>
      </c>
      <c r="T86" s="13">
        <f>IF(AI86&lt;71,(1-Info!$F$27)*((AB86*0.0008*(1+(LOOKUP(Info!$I$18,Rates!$O$2:$O$9,Rates!$M$2:$M$9)/100)))),0)</f>
        <v/>
      </c>
      <c r="U86" s="13">
        <f>IF(AI86&lt;71,(1-Info!$I$27)*(((AD86*0.0008*Info!$L$14))*(1+(LOOKUP(Info!$I$18,Rates!$O:$O,Rates!$N:$N)/100))),0)</f>
        <v/>
      </c>
      <c r="V86" s="13">
        <f>((Z86*0.0008))*(1+(LOOKUP(Info!$I$18,Rates!$O$2:$O$9,Rates!$M$2:$M$9)/100))*(1-Info!$C$27)</f>
        <v/>
      </c>
      <c r="W86" s="13">
        <f>IF(AND(AI86&lt;=Rates!$Y$2,AJ86&lt;=Info!$I$6,Info!$F$16="معمولی"),VLOOKUP(AI86,Rates!$T$1:$X$108,5,0),IF(AND(AI86&lt;=Rates!$Y$2,AJ86&lt;=Info!$I$6,Info!$F$16="پایه"),VLOOKUP(AI86,Rates!$T$1:$X$108,2,0),IF(AND(AI86&lt;=Rates!$Y$2,AJ86&lt;=Info!$I$6,Info!$F$16="آسایش "),VLOOKUP(AI86,Rates!$T$1:$X$108,3,0),IF(AND(AI86&lt;=Rates!$Y$2,AJ86&lt;=Info!$I$6,Info!$F$16="ممتاز"),VLOOKUP(AI86,Rates!$T$1:$X$108,4,0),0))))*AA86/1000000*(1+Info!$C$18)*(1-Info!$I$29)</f>
        <v/>
      </c>
      <c r="X86" s="113">
        <f>IF(Info!$C$16="بله",(AG86-W86-U86-V86-T86)/(1+S86),AG86)</f>
        <v/>
      </c>
      <c r="Y86" s="106">
        <f>IF(AI86&lt;&gt;0,(AD86*LOOKUP(AI86,Rates!$T$2:$T$108,Rates!$S$2:$S$108))/SQRT(1.1),0)</f>
        <v/>
      </c>
      <c r="Z86" s="106">
        <f>IF(AND(AI86&lt;=Rates!$Y$10,AI86&gt;=0),Info!$C$12*(AC86-AD86),0)</f>
        <v/>
      </c>
      <c r="AA86" s="13">
        <f>IF(AND(AI86&gt;=0,AI86&lt;=Rates!$Y$2,AG86&gt;0),MIN(AA85*(1+Info!$F$10),5000000000),0)</f>
        <v/>
      </c>
      <c r="AB86" s="106">
        <f>IF(AND(AI86&gt;=0,AI86&lt;=65),AD86*Info!$L$16,0)</f>
        <v/>
      </c>
      <c r="AC86" s="13">
        <f>IF(AND(AI86&gt;=0,AI86&lt;=Rates!$Y$3),AD86*(1+Info!$L$14),AD86)</f>
        <v/>
      </c>
      <c r="AD86" s="106">
        <f>IF(AI86&lt;&gt;0,AD85*(1+Info!$F$10),0)</f>
        <v/>
      </c>
      <c r="AE86" s="105">
        <f>IF(AI86&lt;&gt;0,AF86+AE85,0)</f>
        <v/>
      </c>
      <c r="AF86" s="13">
        <f>IF(AI86&gt;=0,IF(Info!$C$16="بله",AG86,AG86+L86),"")</f>
        <v/>
      </c>
      <c r="AG86" s="107">
        <f>IF(AI86&lt;&gt;0,AG85*(1+Info!$F$8),0)</f>
        <v/>
      </c>
      <c r="AH86" s="111">
        <f>IF(AJ86&lt;&gt;"",Info!$C$6+AJ86-1,0)</f>
        <v/>
      </c>
      <c r="AI86" s="17">
        <f>IF(AJ86&lt;&gt;"",IF(Info!$F$6+AJ86-1&lt;=Rates!$Y$11,Info!$F$6+AJ86-1,0),0)</f>
        <v/>
      </c>
      <c r="AJ86" s="18">
        <f>IF(AI85&lt;&gt;"",IF(AND(AJ85&lt;&gt;"",AI85+1&lt;=Rates!$Y$11),IF(AJ85&lt;&gt;0,IF(AJ85+1&lt;=Info!$I$6,AJ85+1,""),0),""),"")</f>
        <v/>
      </c>
    </row>
    <row r="87">
      <c r="A87" s="11">
        <f>IF(B87&gt;0,IF(Info!$C$16="بله",AG87/B87,(AG87+L87)/B87),0)</f>
        <v/>
      </c>
      <c r="B87" s="11">
        <f>IF(AND(AI87&gt;=0,AJ87&lt;=Info!$I$6),LOOKUP(Info!$C$8,Rates!$I$2:$I$7,Rates!$F$2:$F$7),0)</f>
        <v/>
      </c>
      <c r="C87" s="12">
        <f>IF(AND(AI87&gt;=0,AJ87&lt;=Info!$I$6),F87+F87*(IF(AJ87&lt;3,VLOOKUP(Info!$C$10,Rates!$A$15:$B$19,2,FALSE),IF(AJ87&lt;5,VLOOKUP(Info!$C$10,Rates!$A$15:$C$19,3,FALSE),VLOOKUP(Info!$C$10,Rates!$A$15:$D$19,4,FALSE)))+(Info!$I$22-IF(AJ87&gt;4,LOOKUP(Info!$C$10,Rates!$D$2:$D$7,Rates!$A$2:$A$7),LOOKUP(Info!$C$10,Rates!$D$2:$D$7,Rates!$C$2:$C$7))))*LOOKUP(Info!$C$8,Rates!$I$2:$I$7,Rates!$G$2:$G$7)+C86*(1+IF(AJ87&lt;3,VLOOKUP(Info!$C$10,Rates!$A$15:$B$19,2,FALSE),IF(AJ87&lt;5,VLOOKUP(Info!$C$10,Rates!$A$15:$C$19,3,FALSE),VLOOKUP(Info!$C$10,Rates!$A$15:$D$19,4,FALSE)))+(Info!$I$22-IF(AJ87&lt;3,VLOOKUP(Info!$C$10,Rates!$A$15:$B$19,2,FALSE),IF(AJ87&lt;5,VLOOKUP(Info!$C$10,Rates!$A$15:$C$19,3,FALSE),VLOOKUP(Info!$C$10,Rates!$A$15:$D$19,4,FALSE))))),0)</f>
        <v/>
      </c>
      <c r="D87" s="12">
        <f>IF(AI87&lt;&gt;"",E87,"")</f>
        <v/>
      </c>
      <c r="E87" s="12">
        <f>IF(AI87&lt;&gt;0,F87*(1+IF(AJ87&lt;3,VLOOKUP(Info!$C$10,Rates!$A$14:$B$19,2,FALSE),IF(AJ87&lt;5,VLOOKUP(Info!$C$10,Rates!$A$14:$C$19,3,FALSE),VLOOKUP(Info!$C$10,Rates!$A$14:$D$19,4,FALSE)))*LOOKUP(Info!$C$8,Rates!$I$2:$I$8,Rates!$G$2:$G$8))+E86*(1+IF(AJ87&lt;3,VLOOKUP(Info!$C$10,Rates!$A$14:$B$19,2,FALSE),IF(AJ87&lt;5,VLOOKUP(Info!$C$10,Rates!$A$14:$C$19,3,FALSE),VLOOKUP(Info!$C$10,Rates!$A$14:$D$19,4,FALSE)))),0)</f>
        <v/>
      </c>
      <c r="F87" s="12">
        <f>IF(AI87&lt;&gt;"",IF(Info!$C$16="بله",IF(AND(AJ87&lt;=Info!$F$20,AJ87&gt;=Info!$I$20),Info!$C$20,0)+(AG87-Y87-L87-K87-J87-I87-H87-G87),IF(AND(AJ87&lt;=Info!$F$20,AJ87&gt;=Info!$I$20),Info!$C$20,0)+(AG87-Y87-K87-J87-I87-H87-G87)),"")</f>
        <v/>
      </c>
      <c r="G87" s="107">
        <f>IF(AI87&lt;&gt;"",Rates!$AA$11*(L87),"")</f>
        <v/>
      </c>
      <c r="H87" s="107">
        <f>IF(AI87&lt;&gt;"",(Rates!$AC$11+Rates!$AB$11)*(L87),"")</f>
        <v/>
      </c>
      <c r="I87" s="12">
        <f>IF(AI87&lt;&gt;"",LOOKUP(Info!$C$8,Rates!$I$2:$I$7,Rates!$H$2:$H$7)*(J87+K87+L87+Y87),"")</f>
        <v/>
      </c>
      <c r="J87" s="12">
        <f>IF(N87="",0,N87)+IF(P87="",0,P87)+IF(Q87="",0,Q87)</f>
        <v/>
      </c>
      <c r="K87" s="12">
        <f>IF(Y87&lt;&gt;"",Info!$C$18*Y87,"")</f>
        <v/>
      </c>
      <c r="L87" s="12">
        <f>IF(R87="",0,R87)+IF(U87="",0,U87)+IF(W87="",0,W87)+IF(V87="",0,V87)+IF(T87="",0,T87)</f>
        <v/>
      </c>
      <c r="M87" s="12" t="n">
        <v>0</v>
      </c>
      <c r="N87" s="12" t="n">
        <v>0</v>
      </c>
      <c r="O87" s="12">
        <f>IF(AJ87&lt;=10,(1-Info!$C$25)*IF(OR(Info!$F$8&gt;0,Info!$F$10&gt;0),IF(0.75*$X$4&lt;=0.03*$AD$4,0.75*(X87-X86),0.03*(AD87-AD86)),0),"")</f>
        <v/>
      </c>
      <c r="P87" s="12">
        <f>IF(AJ87&lt;=5,IF(AI87&lt;&gt;"",0.002*AD87,"")*(1-Info!$I$25),0)</f>
        <v/>
      </c>
      <c r="Q87" s="12">
        <f>(1-Info!$F$25)*IF(AI87&lt;&gt;"",IF(Info!$C$16="بله",0.07*X87,0.07*AG87),"")</f>
        <v/>
      </c>
      <c r="R87" s="12">
        <f>IF(X87&lt;&gt;0,S87*X87,0)*(1-Info!$F$29)</f>
        <v/>
      </c>
      <c r="S87" s="107">
        <f>IF(Info!$I$14="خیر",0,IF(Info!$F$14="بله",IF(Info!$C$14=1,2.3,IF(Info!$C$14=2,3.3,4.3)),1))*IF(AND(AH87&lt;=Rates!$Y$8,AH87&gt;0),(1+Info!$C$18)*(1+LOOKUP(Info!$F$18,Rates!$O$2:$O$9,Rates!$L$2:$L$9)/100)*(LOOKUP(Info!$C$6,Rates!$T$2:$T$108,Rates!$R$2:$R$108)/100),0)</f>
        <v/>
      </c>
      <c r="T87" s="12">
        <f>IF(AI87&lt;71,(1-Info!$F$27)*((AB87*0.0008*(1+(LOOKUP(Info!$I$18,Rates!$O$2:$O$9,Rates!$M$2:$M$9)/100)))),0)</f>
        <v/>
      </c>
      <c r="U87" s="12">
        <f>IF(AI87&lt;71,(1-Info!$I$27)*(((AD87*0.0008*Info!$L$14))*(1+(LOOKUP(Info!$I$18,Rates!$O:$O,Rates!$N:$N)/100))),0)</f>
        <v/>
      </c>
      <c r="V87" s="12">
        <f>((Z87*0.0008))*(1+(LOOKUP(Info!$I$18,Rates!$O$2:$O$9,Rates!$M$2:$M$9)/100))*(1-Info!$C$27)</f>
        <v/>
      </c>
      <c r="W87" s="12">
        <f>IF(AND(AI87&lt;=Rates!$Y$2,AJ87&lt;=Info!$I$6,Info!$F$16="معمولی"),VLOOKUP(AI87,Rates!$T$1:$X$108,5,0),IF(AND(AI87&lt;=Rates!$Y$2,AJ87&lt;=Info!$I$6,Info!$F$16="پایه"),VLOOKUP(AI87,Rates!$T$1:$X$108,2,0),IF(AND(AI87&lt;=Rates!$Y$2,AJ87&lt;=Info!$I$6,Info!$F$16="آسایش "),VLOOKUP(AI87,Rates!$T$1:$X$108,3,0),IF(AND(AI87&lt;=Rates!$Y$2,AJ87&lt;=Info!$I$6,Info!$F$16="ممتاز"),VLOOKUP(AI87,Rates!$T$1:$X$108,4,0),0))))*AA87/1000000*(1+Info!$C$18)*(1-Info!$I$29)</f>
        <v/>
      </c>
      <c r="X87" s="12">
        <f>IF(Info!$C$16="بله",(AG87-W87-U87-V87-T87)/(1+S87),AG87)</f>
        <v/>
      </c>
      <c r="Y87" s="107">
        <f>IF(AI87&lt;&gt;0,(AD87*LOOKUP(AI87,Rates!$T$2:$T$108,Rates!$S$2:$S$108))/SQRT(1.1),0)</f>
        <v/>
      </c>
      <c r="Z87" s="107">
        <f>IF(AND(AI87&lt;=Rates!$Y$10,AI87&gt;=0),Info!$C$12*(AC87-AD87),0)</f>
        <v/>
      </c>
      <c r="AA87" s="12">
        <f>IF(AND(AI87&gt;=0,AI87&lt;=Rates!$Y$2,AG87&gt;0),MIN(AA86*(1+Info!$F$10),5000000000),0)</f>
        <v/>
      </c>
      <c r="AB87" s="107">
        <f>IF(AND(AI87&gt;=0,AI87&lt;=65),AD87*Info!$L$16,0)</f>
        <v/>
      </c>
      <c r="AC87" s="12">
        <f>IF(AND(AI87&gt;=0,AI87&lt;=Rates!$Y$3),AD87*(1+Info!$L$14),AD87)</f>
        <v/>
      </c>
      <c r="AD87" s="107">
        <f>IF(AI87&lt;&gt;0,AD86*(1+Info!$F$10),0)</f>
        <v/>
      </c>
      <c r="AE87" s="104">
        <f>IF(AI87&lt;&gt;0,AF87+AE86,0)</f>
        <v/>
      </c>
      <c r="AF87" s="12">
        <f>IF(AI87&gt;=0,IF(Info!$C$16="بله",AG87,AG87+L87),"")</f>
        <v/>
      </c>
      <c r="AG87" s="107">
        <f>IF(AI87&lt;&gt;0,AG86*(1+Info!$F$8),0)</f>
        <v/>
      </c>
      <c r="AH87" s="110">
        <f>IF(AJ87&lt;&gt;"",Info!$C$6+AJ87-1,0)</f>
        <v/>
      </c>
      <c r="AI87" s="14">
        <f>IF(AJ87&lt;&gt;"",IF(Info!$F$6+AJ87-1&lt;=Rates!$Y$11,Info!$F$6+AJ87-1,0),0)</f>
        <v/>
      </c>
      <c r="AJ87" s="15">
        <f>IF(AI86&lt;&gt;"",IF(AND(AJ86&lt;&gt;"",AI86+1&lt;=Rates!$Y$11),IF(AJ86&lt;&gt;0,IF(AJ86+1&lt;=Info!$I$6,AJ86+1,""),0),""),"")</f>
        <v/>
      </c>
    </row>
    <row r="88">
      <c r="A88" s="16">
        <f>IF(B88&gt;0,IF(Info!$C$16="بله",AG88/B88,(AG88+L88)/B88),0)</f>
        <v/>
      </c>
      <c r="B88" s="16">
        <f>IF(AND(AI88&gt;=0,AJ88&lt;=Info!$I$6),LOOKUP(Info!$C$8,Rates!$I$2:$I$7,Rates!$F$2:$F$7),0)</f>
        <v/>
      </c>
      <c r="C88" s="13">
        <f>IF(AND(AI88&gt;=0,AJ88&lt;=Info!$I$6),F88+F88*(IF(AJ88&lt;3,VLOOKUP(Info!$C$10,Rates!$A$15:$B$19,2,FALSE),IF(AJ88&lt;5,VLOOKUP(Info!$C$10,Rates!$A$15:$C$19,3,FALSE),VLOOKUP(Info!$C$10,Rates!$A$15:$D$19,4,FALSE)))+(Info!$I$22-IF(AJ88&gt;4,LOOKUP(Info!$C$10,Rates!$D$2:$D$7,Rates!$A$2:$A$7),LOOKUP(Info!$C$10,Rates!$D$2:$D$7,Rates!$C$2:$C$7))))*LOOKUP(Info!$C$8,Rates!$I$2:$I$7,Rates!$G$2:$G$7)+C87*(1+IF(AJ88&lt;3,VLOOKUP(Info!$C$10,Rates!$A$15:$B$19,2,FALSE),IF(AJ88&lt;5,VLOOKUP(Info!$C$10,Rates!$A$15:$C$19,3,FALSE),VLOOKUP(Info!$C$10,Rates!$A$15:$D$19,4,FALSE)))+(Info!$I$22-IF(AJ88&lt;3,VLOOKUP(Info!$C$10,Rates!$A$15:$B$19,2,FALSE),IF(AJ88&lt;5,VLOOKUP(Info!$C$10,Rates!$A$15:$C$19,3,FALSE),VLOOKUP(Info!$C$10,Rates!$A$15:$D$19,4,FALSE))))),0)</f>
        <v/>
      </c>
      <c r="D88" s="13">
        <f>IF(AI88&lt;&gt;"",E88,"")</f>
        <v/>
      </c>
      <c r="E88" s="12">
        <f>IF(AI88&lt;&gt;0,F88*(1+IF(AJ88&lt;3,VLOOKUP(Info!$C$10,Rates!$A$14:$B$19,2,FALSE),IF(AJ88&lt;5,VLOOKUP(Info!$C$10,Rates!$A$14:$C$19,3,FALSE),VLOOKUP(Info!$C$10,Rates!$A$14:$D$19,4,FALSE)))*LOOKUP(Info!$C$8,Rates!$I$2:$I$8,Rates!$G$2:$G$8))+E87*(1+IF(AJ88&lt;3,VLOOKUP(Info!$C$10,Rates!$A$14:$B$19,2,FALSE),IF(AJ88&lt;5,VLOOKUP(Info!$C$10,Rates!$A$14:$C$19,3,FALSE),VLOOKUP(Info!$C$10,Rates!$A$14:$D$19,4,FALSE)))),0)</f>
        <v/>
      </c>
      <c r="F88" s="13">
        <f>IF(AI88&lt;&gt;"",IF(Info!$C$16="بله",IF(AND(AJ88&lt;=Info!$F$20,AJ88&gt;=Info!$I$20),Info!$C$20,0)+(AG88-Y88-L88-K88-J88-I88-H88-G88),IF(AND(AJ88&lt;=Info!$F$20,AJ88&gt;=Info!$I$20),Info!$C$20,0)+(AG88-Y88-K88-J88-I88-H88-G88)),"")</f>
        <v/>
      </c>
      <c r="G88" s="106">
        <f>IF(AI88&lt;&gt;"",Rates!$AA$11*(L88),"")</f>
        <v/>
      </c>
      <c r="H88" s="106">
        <f>IF(AI88&lt;&gt;"",(Rates!$AC$11+Rates!$AB$11)*(L88),"")</f>
        <v/>
      </c>
      <c r="I88" s="13">
        <f>IF(AI88&lt;&gt;"",LOOKUP(Info!$C$8,Rates!$I$2:$I$7,Rates!$H$2:$H$7)*(J88+K88+L88+Y88),"")</f>
        <v/>
      </c>
      <c r="J88" s="13">
        <f>IF(N88="",0,N88)+IF(P88="",0,P88)+IF(Q88="",0,Q88)</f>
        <v/>
      </c>
      <c r="K88" s="13">
        <f>IF(Y88&lt;&gt;"",Info!$C$18*Y88,"")</f>
        <v/>
      </c>
      <c r="L88" s="13">
        <f>IF(R88="",0,R88)+IF(U88="",0,U88)+IF(W88="",0,W88)+IF(V88="",0,V88)+IF(T88="",0,T88)</f>
        <v/>
      </c>
      <c r="M88" s="13" t="n">
        <v>0</v>
      </c>
      <c r="N88" s="13" t="n">
        <v>0</v>
      </c>
      <c r="O88" s="12">
        <f>IF(AJ88&lt;=10,(1-Info!$C$25)*IF(OR(Info!$F$8&gt;0,Info!$F$10&gt;0),IF(0.75*$X$4&lt;=0.03*$AD$4,0.75*(X88-X87),0.03*(AD88-AD87)),0),"")</f>
        <v/>
      </c>
      <c r="P88" s="13">
        <f>IF(AJ88&lt;=5,IF(AI88&lt;&gt;"",0.002*AD88,"")*(1-Info!$I$25),0)</f>
        <v/>
      </c>
      <c r="Q88" s="13">
        <f>(1-Info!$F$25)*IF(AI88&lt;&gt;"",IF(Info!$C$16="بله",0.07*X88,0.07*AG88),"")</f>
        <v/>
      </c>
      <c r="R88" s="13">
        <f>IF(X88&lt;&gt;0,S88*X88,0)*(1-Info!$F$29)</f>
        <v/>
      </c>
      <c r="S88" s="106">
        <f>IF(Info!$I$14="خیر",0,IF(Info!$F$14="بله",IF(Info!$C$14=1,2.3,IF(Info!$C$14=2,3.3,4.3)),1))*IF(AND(AH88&lt;=Rates!$Y$8,AH88&gt;0),(1+Info!$C$18)*(1+LOOKUP(Info!$F$18,Rates!$O$2:$O$9,Rates!$L$2:$L$9)/100)*(LOOKUP(Info!$C$6,Rates!$T$2:$T$108,Rates!$R$2:$R$108)/100),0)</f>
        <v/>
      </c>
      <c r="T88" s="13">
        <f>IF(AI88&lt;71,(1-Info!$F$27)*((AB88*0.0008*(1+(LOOKUP(Info!$I$18,Rates!$O$2:$O$9,Rates!$M$2:$M$9)/100)))),0)</f>
        <v/>
      </c>
      <c r="U88" s="13">
        <f>IF(AI88&lt;71,(1-Info!$I$27)*(((AD88*0.0008*Info!$L$14))*(1+(LOOKUP(Info!$I$18,Rates!$O:$O,Rates!$N:$N)/100))),0)</f>
        <v/>
      </c>
      <c r="V88" s="13">
        <f>((Z88*0.0008))*(1+(LOOKUP(Info!$I$18,Rates!$O$2:$O$9,Rates!$M$2:$M$9)/100))*(1-Info!$C$27)</f>
        <v/>
      </c>
      <c r="W88" s="13">
        <f>IF(AND(AI88&lt;=Rates!$Y$2,AJ88&lt;=Info!$I$6,Info!$F$16="معمولی"),VLOOKUP(AI88,Rates!$T$1:$X$108,5,0),IF(AND(AI88&lt;=Rates!$Y$2,AJ88&lt;=Info!$I$6,Info!$F$16="پایه"),VLOOKUP(AI88,Rates!$T$1:$X$108,2,0),IF(AND(AI88&lt;=Rates!$Y$2,AJ88&lt;=Info!$I$6,Info!$F$16="آسایش "),VLOOKUP(AI88,Rates!$T$1:$X$108,3,0),IF(AND(AI88&lt;=Rates!$Y$2,AJ88&lt;=Info!$I$6,Info!$F$16="ممتاز"),VLOOKUP(AI88,Rates!$T$1:$X$108,4,0),0))))*AA88/1000000*(1+Info!$C$18)*(1-Info!$I$29)</f>
        <v/>
      </c>
      <c r="X88" s="113">
        <f>IF(Info!$C$16="بله",(AG88-W88-U88-V88-T88)/(1+S88),AG88)</f>
        <v/>
      </c>
      <c r="Y88" s="106">
        <f>IF(AI88&lt;&gt;0,(AD88*LOOKUP(AI88,Rates!$T$2:$T$108,Rates!$S$2:$S$108))/SQRT(1.1),0)</f>
        <v/>
      </c>
      <c r="Z88" s="106">
        <f>IF(AND(AI88&lt;=Rates!$Y$10,AI88&gt;=0),Info!$C$12*(AC88-AD88),0)</f>
        <v/>
      </c>
      <c r="AA88" s="13">
        <f>IF(AND(AI88&gt;=0,AI88&lt;=Rates!$Y$2,AG88&gt;0),MIN(AA87*(1+Info!$F$10),5000000000),0)</f>
        <v/>
      </c>
      <c r="AB88" s="106">
        <f>IF(AND(AI88&gt;=0,AI88&lt;=65),AD88*Info!$L$16,0)</f>
        <v/>
      </c>
      <c r="AC88" s="13">
        <f>IF(AND(AI88&gt;=0,AI88&lt;=Rates!$Y$3),AD88*(1+Info!$L$14),AD88)</f>
        <v/>
      </c>
      <c r="AD88" s="106">
        <f>IF(AI88&lt;&gt;0,AD87*(1+Info!$F$10),0)</f>
        <v/>
      </c>
      <c r="AE88" s="105">
        <f>IF(AI88&lt;&gt;0,AF88+AE87,0)</f>
        <v/>
      </c>
      <c r="AF88" s="13">
        <f>IF(AI88&gt;=0,IF(Info!$C$16="بله",AG88,AG88+L88),"")</f>
        <v/>
      </c>
      <c r="AG88" s="107">
        <f>IF(AI88&lt;&gt;0,AG87*(1+Info!$F$8),0)</f>
        <v/>
      </c>
      <c r="AH88" s="111">
        <f>IF(AJ88&lt;&gt;"",Info!$C$6+AJ88-1,0)</f>
        <v/>
      </c>
      <c r="AI88" s="17">
        <f>IF(AJ88&lt;&gt;"",IF(Info!$F$6+AJ88-1&lt;=Rates!$Y$11,Info!$F$6+AJ88-1,0),0)</f>
        <v/>
      </c>
      <c r="AJ88" s="18">
        <f>IF(AI87&lt;&gt;"",IF(AND(AJ87&lt;&gt;"",AI87+1&lt;=Rates!$Y$11),IF(AJ87&lt;&gt;0,IF(AJ87+1&lt;=Info!$I$6,AJ87+1,""),0),""),"")</f>
        <v/>
      </c>
    </row>
    <row r="89">
      <c r="A89" s="11">
        <f>IF(B89&gt;0,IF(Info!$C$16="بله",AG89/B89,(AG89+L89)/B89),0)</f>
        <v/>
      </c>
      <c r="B89" s="11">
        <f>IF(AND(AI89&gt;=0,AJ89&lt;=Info!$I$6),LOOKUP(Info!$C$8,Rates!$I$2:$I$7,Rates!$F$2:$F$7),0)</f>
        <v/>
      </c>
      <c r="C89" s="12">
        <f>IF(AND(AI89&gt;=0,AJ89&lt;=Info!$I$6),F89+F89*(IF(AJ89&lt;3,VLOOKUP(Info!$C$10,Rates!$A$15:$B$19,2,FALSE),IF(AJ89&lt;5,VLOOKUP(Info!$C$10,Rates!$A$15:$C$19,3,FALSE),VLOOKUP(Info!$C$10,Rates!$A$15:$D$19,4,FALSE)))+(Info!$I$22-IF(AJ89&gt;4,LOOKUP(Info!$C$10,Rates!$D$2:$D$7,Rates!$A$2:$A$7),LOOKUP(Info!$C$10,Rates!$D$2:$D$7,Rates!$C$2:$C$7))))*LOOKUP(Info!$C$8,Rates!$I$2:$I$7,Rates!$G$2:$G$7)+C88*(1+IF(AJ89&lt;3,VLOOKUP(Info!$C$10,Rates!$A$15:$B$19,2,FALSE),IF(AJ89&lt;5,VLOOKUP(Info!$C$10,Rates!$A$15:$C$19,3,FALSE),VLOOKUP(Info!$C$10,Rates!$A$15:$D$19,4,FALSE)))+(Info!$I$22-IF(AJ89&lt;3,VLOOKUP(Info!$C$10,Rates!$A$15:$B$19,2,FALSE),IF(AJ89&lt;5,VLOOKUP(Info!$C$10,Rates!$A$15:$C$19,3,FALSE),VLOOKUP(Info!$C$10,Rates!$A$15:$D$19,4,FALSE))))),0)</f>
        <v/>
      </c>
      <c r="D89" s="12">
        <f>IF(AI89&lt;&gt;"",E89,"")</f>
        <v/>
      </c>
      <c r="E89" s="12">
        <f>IF(AI89&lt;&gt;0,F89*(1+IF(AJ89&lt;3,VLOOKUP(Info!$C$10,Rates!$A$14:$B$19,2,FALSE),IF(AJ89&lt;5,VLOOKUP(Info!$C$10,Rates!$A$14:$C$19,3,FALSE),VLOOKUP(Info!$C$10,Rates!$A$14:$D$19,4,FALSE)))*LOOKUP(Info!$C$8,Rates!$I$2:$I$8,Rates!$G$2:$G$8))+E88*(1+IF(AJ89&lt;3,VLOOKUP(Info!$C$10,Rates!$A$14:$B$19,2,FALSE),IF(AJ89&lt;5,VLOOKUP(Info!$C$10,Rates!$A$14:$C$19,3,FALSE),VLOOKUP(Info!$C$10,Rates!$A$14:$D$19,4,FALSE)))),0)</f>
        <v/>
      </c>
      <c r="F89" s="12">
        <f>IF(AI89&lt;&gt;"",IF(Info!$C$16="بله",IF(AND(AJ89&lt;=Info!$F$20,AJ89&gt;=Info!$I$20),Info!$C$20,0)+(AG89-Y89-L89-K89-J89-I89-H89-G89),IF(AND(AJ89&lt;=Info!$F$20,AJ89&gt;=Info!$I$20),Info!$C$20,0)+(AG89-Y89-K89-J89-I89-H89-G89)),"")</f>
        <v/>
      </c>
      <c r="G89" s="107">
        <f>IF(AI89&lt;&gt;"",Rates!$AA$11*(L89),"")</f>
        <v/>
      </c>
      <c r="H89" s="107">
        <f>IF(AI89&lt;&gt;"",(Rates!$AC$11+Rates!$AB$11)*(L89),"")</f>
        <v/>
      </c>
      <c r="I89" s="12">
        <f>IF(AI89&lt;&gt;"",LOOKUP(Info!$C$8,Rates!$I$2:$I$7,Rates!$H$2:$H$7)*(J89+K89+L89+Y89),"")</f>
        <v/>
      </c>
      <c r="J89" s="12">
        <f>IF(N89="",0,N89)+IF(P89="",0,P89)+IF(Q89="",0,Q89)</f>
        <v/>
      </c>
      <c r="K89" s="12">
        <f>IF(Y89&lt;&gt;"",Info!$C$18*Y89,"")</f>
        <v/>
      </c>
      <c r="L89" s="12">
        <f>IF(R89="",0,R89)+IF(U89="",0,U89)+IF(W89="",0,W89)+IF(V89="",0,V89)+IF(T89="",0,T89)</f>
        <v/>
      </c>
      <c r="M89" s="12" t="n">
        <v>0</v>
      </c>
      <c r="N89" s="12" t="n">
        <v>0</v>
      </c>
      <c r="O89" s="12">
        <f>IF(AJ89&lt;=10,(1-Info!$C$25)*IF(OR(Info!$F$8&gt;0,Info!$F$10&gt;0),IF(0.75*$X$4&lt;=0.03*$AD$4,0.75*(X89-X88),0.03*(AD89-AD88)),0),"")</f>
        <v/>
      </c>
      <c r="P89" s="12">
        <f>IF(AJ89&lt;=5,IF(AI89&lt;&gt;"",0.002*AD89,"")*(1-Info!$I$25),0)</f>
        <v/>
      </c>
      <c r="Q89" s="12">
        <f>(1-Info!$F$25)*IF(AI89&lt;&gt;"",IF(Info!$C$16="بله",0.07*X89,0.07*AG89),"")</f>
        <v/>
      </c>
      <c r="R89" s="12">
        <f>IF(X89&lt;&gt;0,S89*X89,0)*(1-Info!$F$29)</f>
        <v/>
      </c>
      <c r="S89" s="107">
        <f>IF(Info!$I$14="خیر",0,IF(Info!$F$14="بله",IF(Info!$C$14=1,2.3,IF(Info!$C$14=2,3.3,4.3)),1))*IF(AND(AH89&lt;=Rates!$Y$8,AH89&gt;0),(1+Info!$C$18)*(1+LOOKUP(Info!$F$18,Rates!$O$2:$O$9,Rates!$L$2:$L$9)/100)*(LOOKUP(Info!$C$6,Rates!$T$2:$T$108,Rates!$R$2:$R$108)/100),0)</f>
        <v/>
      </c>
      <c r="T89" s="12">
        <f>IF(AI89&lt;71,(1-Info!$F$27)*((AB89*0.0008*(1+(LOOKUP(Info!$I$18,Rates!$O$2:$O$9,Rates!$M$2:$M$9)/100)))),0)</f>
        <v/>
      </c>
      <c r="U89" s="12">
        <f>IF(AI89&lt;71,(1-Info!$I$27)*(((AD89*0.0008*Info!$L$14))*(1+(LOOKUP(Info!$I$18,Rates!$O:$O,Rates!$N:$N)/100))),0)</f>
        <v/>
      </c>
      <c r="V89" s="12">
        <f>((Z89*0.0008))*(1+(LOOKUP(Info!$I$18,Rates!$O$2:$O$9,Rates!$M$2:$M$9)/100))*(1-Info!$C$27)</f>
        <v/>
      </c>
      <c r="W89" s="12">
        <f>IF(AND(AI89&lt;=Rates!$Y$2,AJ89&lt;=Info!$I$6,Info!$F$16="معمولی"),VLOOKUP(AI89,Rates!$T$1:$X$108,5,0),IF(AND(AI89&lt;=Rates!$Y$2,AJ89&lt;=Info!$I$6,Info!$F$16="پایه"),VLOOKUP(AI89,Rates!$T$1:$X$108,2,0),IF(AND(AI89&lt;=Rates!$Y$2,AJ89&lt;=Info!$I$6,Info!$F$16="آسایش "),VLOOKUP(AI89,Rates!$T$1:$X$108,3,0),IF(AND(AI89&lt;=Rates!$Y$2,AJ89&lt;=Info!$I$6,Info!$F$16="ممتاز"),VLOOKUP(AI89,Rates!$T$1:$X$108,4,0),0))))*AA89/1000000*(1+Info!$C$18)*(1-Info!$I$29)</f>
        <v/>
      </c>
      <c r="X89" s="12">
        <f>IF(Info!$C$16="بله",(AG89-W89-U89-V89-T89)/(1+S89),AG89)</f>
        <v/>
      </c>
      <c r="Y89" s="107">
        <f>IF(AI89&lt;&gt;0,(AD89*LOOKUP(AI89,Rates!$T$2:$T$108,Rates!$S$2:$S$108))/SQRT(1.1),0)</f>
        <v/>
      </c>
      <c r="Z89" s="107">
        <f>IF(AND(AI89&lt;=Rates!$Y$10,AI89&gt;=0),Info!$C$12*(AC89-AD89),0)</f>
        <v/>
      </c>
      <c r="AA89" s="12">
        <f>IF(AND(AI89&gt;=0,AI89&lt;=Rates!$Y$2,AG89&gt;0),MIN(AA88*(1+Info!$F$10),5000000000),0)</f>
        <v/>
      </c>
      <c r="AB89" s="107">
        <f>IF(AND(AI89&gt;=0,AI89&lt;=65),AD89*Info!$L$16,0)</f>
        <v/>
      </c>
      <c r="AC89" s="12">
        <f>IF(AND(AI89&gt;=0,AI89&lt;=Rates!$Y$3),AD89*(1+Info!$L$14),AD89)</f>
        <v/>
      </c>
      <c r="AD89" s="107">
        <f>IF(AI89&lt;&gt;0,AD88*(1+Info!$F$10),0)</f>
        <v/>
      </c>
      <c r="AE89" s="104">
        <f>IF(AI89&lt;&gt;0,AF89+AE88,0)</f>
        <v/>
      </c>
      <c r="AF89" s="12">
        <f>IF(AI89&gt;=0,IF(Info!$C$16="بله",AG89,AG89+L89),"")</f>
        <v/>
      </c>
      <c r="AG89" s="107">
        <f>IF(AI89&lt;&gt;0,AG88*(1+Info!$F$8),0)</f>
        <v/>
      </c>
      <c r="AH89" s="110">
        <f>IF(AJ89&lt;&gt;"",Info!$C$6+AJ89-1,0)</f>
        <v/>
      </c>
      <c r="AI89" s="14">
        <f>IF(AJ89&lt;&gt;"",IF(Info!$F$6+AJ89-1&lt;=Rates!$Y$11,Info!$F$6+AJ89-1,0),0)</f>
        <v/>
      </c>
      <c r="AJ89" s="15">
        <f>IF(AI88&lt;&gt;"",IF(AND(AJ88&lt;&gt;"",AI88+1&lt;=Rates!$Y$11),IF(AJ88&lt;&gt;0,IF(AJ88+1&lt;=Info!$I$6,AJ88+1,""),0),""),"")</f>
        <v/>
      </c>
    </row>
    <row r="90">
      <c r="A90" s="16">
        <f>IF(B90&gt;0,IF(Info!$C$16="بله",AG90/B90,(AG90+L90)/B90),0)</f>
        <v/>
      </c>
      <c r="B90" s="16">
        <f>IF(AND(AI90&gt;=0,AJ90&lt;=Info!$I$6),LOOKUP(Info!$C$8,Rates!$I$2:$I$7,Rates!$F$2:$F$7),0)</f>
        <v/>
      </c>
      <c r="C90" s="13">
        <f>IF(AND(AI90&gt;=0,AJ90&lt;=Info!$I$6),F90+F90*(IF(AJ90&lt;3,VLOOKUP(Info!$C$10,Rates!$A$15:$B$19,2,FALSE),IF(AJ90&lt;5,VLOOKUP(Info!$C$10,Rates!$A$15:$C$19,3,FALSE),VLOOKUP(Info!$C$10,Rates!$A$15:$D$19,4,FALSE)))+(Info!$I$22-IF(AJ90&gt;4,LOOKUP(Info!$C$10,Rates!$D$2:$D$7,Rates!$A$2:$A$7),LOOKUP(Info!$C$10,Rates!$D$2:$D$7,Rates!$C$2:$C$7))))*LOOKUP(Info!$C$8,Rates!$I$2:$I$7,Rates!$G$2:$G$7)+C89*(1+IF(AJ90&lt;3,VLOOKUP(Info!$C$10,Rates!$A$15:$B$19,2,FALSE),IF(AJ90&lt;5,VLOOKUP(Info!$C$10,Rates!$A$15:$C$19,3,FALSE),VLOOKUP(Info!$C$10,Rates!$A$15:$D$19,4,FALSE)))+(Info!$I$22-IF(AJ90&lt;3,VLOOKUP(Info!$C$10,Rates!$A$15:$B$19,2,FALSE),IF(AJ90&lt;5,VLOOKUP(Info!$C$10,Rates!$A$15:$C$19,3,FALSE),VLOOKUP(Info!$C$10,Rates!$A$15:$D$19,4,FALSE))))),0)</f>
        <v/>
      </c>
      <c r="D90" s="13">
        <f>IF(AI90&lt;&gt;"",E90,"")</f>
        <v/>
      </c>
      <c r="E90" s="12">
        <f>IF(AI90&lt;&gt;0,F90*(1+IF(AJ90&lt;3,VLOOKUP(Info!$C$10,Rates!$A$14:$B$19,2,FALSE),IF(AJ90&lt;5,VLOOKUP(Info!$C$10,Rates!$A$14:$C$19,3,FALSE),VLOOKUP(Info!$C$10,Rates!$A$14:$D$19,4,FALSE)))*LOOKUP(Info!$C$8,Rates!$I$2:$I$8,Rates!$G$2:$G$8))+E89*(1+IF(AJ90&lt;3,VLOOKUP(Info!$C$10,Rates!$A$14:$B$19,2,FALSE),IF(AJ90&lt;5,VLOOKUP(Info!$C$10,Rates!$A$14:$C$19,3,FALSE),VLOOKUP(Info!$C$10,Rates!$A$14:$D$19,4,FALSE)))),0)</f>
        <v/>
      </c>
      <c r="F90" s="13">
        <f>IF(AI90&lt;&gt;"",IF(Info!$C$16="بله",IF(AND(AJ90&lt;=Info!$F$20,AJ90&gt;=Info!$I$20),Info!$C$20,0)+(AG90-Y90-L90-K90-J90-I90-H90-G90),IF(AND(AJ90&lt;=Info!$F$20,AJ90&gt;=Info!$I$20),Info!$C$20,0)+(AG90-Y90-K90-J90-I90-H90-G90)),"")</f>
        <v/>
      </c>
      <c r="G90" s="106">
        <f>IF(AI90&lt;&gt;"",Rates!$AA$11*(L90),"")</f>
        <v/>
      </c>
      <c r="H90" s="106">
        <f>IF(AI90&lt;&gt;"",(Rates!$AC$11+Rates!$AB$11)*(L90),"")</f>
        <v/>
      </c>
      <c r="I90" s="13">
        <f>IF(AI90&lt;&gt;"",LOOKUP(Info!$C$8,Rates!$I$2:$I$7,Rates!$H$2:$H$7)*(J90+K90+L90+Y90),"")</f>
        <v/>
      </c>
      <c r="J90" s="13">
        <f>IF(N90="",0,N90)+IF(P90="",0,P90)+IF(Q90="",0,Q90)</f>
        <v/>
      </c>
      <c r="K90" s="13">
        <f>IF(Y90&lt;&gt;"",Info!$C$18*Y90,"")</f>
        <v/>
      </c>
      <c r="L90" s="13">
        <f>IF(R90="",0,R90)+IF(U90="",0,U90)+IF(W90="",0,W90)+IF(V90="",0,V90)+IF(T90="",0,T90)</f>
        <v/>
      </c>
      <c r="M90" s="13" t="n">
        <v>0</v>
      </c>
      <c r="N90" s="13" t="n">
        <v>0</v>
      </c>
      <c r="O90" s="12">
        <f>IF(AJ90&lt;=10,(1-Info!$C$25)*IF(OR(Info!$F$8&gt;0,Info!$F$10&gt;0),IF(0.75*$X$4&lt;=0.03*$AD$4,0.75*(X90-X89),0.03*(AD90-AD89)),0),"")</f>
        <v/>
      </c>
      <c r="P90" s="13">
        <f>IF(AJ90&lt;=5,IF(AI90&lt;&gt;"",0.002*AD90,"")*(1-Info!$I$25),0)</f>
        <v/>
      </c>
      <c r="Q90" s="13">
        <f>(1-Info!$F$25)*IF(AI90&lt;&gt;"",IF(Info!$C$16="بله",0.07*X90,0.07*AG90),"")</f>
        <v/>
      </c>
      <c r="R90" s="13">
        <f>IF(X90&lt;&gt;0,S90*X90,0)*(1-Info!$F$29)</f>
        <v/>
      </c>
      <c r="S90" s="106">
        <f>IF(Info!$I$14="خیر",0,IF(Info!$F$14="بله",IF(Info!$C$14=1,2.3,IF(Info!$C$14=2,3.3,4.3)),1))*IF(AND(AH90&lt;=Rates!$Y$8,AH90&gt;0),(1+Info!$C$18)*(1+LOOKUP(Info!$F$18,Rates!$O$2:$O$9,Rates!$L$2:$L$9)/100)*(LOOKUP(Info!$C$6,Rates!$T$2:$T$108,Rates!$R$2:$R$108)/100),0)</f>
        <v/>
      </c>
      <c r="T90" s="13">
        <f>IF(AI90&lt;71,(1-Info!$F$27)*((AB90*0.0008*(1+(LOOKUP(Info!$I$18,Rates!$O$2:$O$9,Rates!$M$2:$M$9)/100)))),0)</f>
        <v/>
      </c>
      <c r="U90" s="13">
        <f>IF(AI90&lt;71,(1-Info!$I$27)*(((AD90*0.0008*Info!$L$14))*(1+(LOOKUP(Info!$I$18,Rates!$O:$O,Rates!$N:$N)/100))),0)</f>
        <v/>
      </c>
      <c r="V90" s="13">
        <f>((Z90*0.0008))*(1+(LOOKUP(Info!$I$18,Rates!$O$2:$O$9,Rates!$M$2:$M$9)/100))*(1-Info!$C$27)</f>
        <v/>
      </c>
      <c r="W90" s="13">
        <f>IF(AND(AI90&lt;=Rates!$Y$2,AJ90&lt;=Info!$I$6,Info!$F$16="معمولی"),VLOOKUP(AI90,Rates!$T$1:$X$108,5,0),IF(AND(AI90&lt;=Rates!$Y$2,AJ90&lt;=Info!$I$6,Info!$F$16="پایه"),VLOOKUP(AI90,Rates!$T$1:$X$108,2,0),IF(AND(AI90&lt;=Rates!$Y$2,AJ90&lt;=Info!$I$6,Info!$F$16="آسایش "),VLOOKUP(AI90,Rates!$T$1:$X$108,3,0),IF(AND(AI90&lt;=Rates!$Y$2,AJ90&lt;=Info!$I$6,Info!$F$16="ممتاز"),VLOOKUP(AI90,Rates!$T$1:$X$108,4,0),0))))*AA90/1000000*(1+Info!$C$18)*(1-Info!$I$29)</f>
        <v/>
      </c>
      <c r="X90" s="113">
        <f>IF(Info!$C$16="بله",(AG90-W90-U90-V90-T90)/(1+S90),AG90)</f>
        <v/>
      </c>
      <c r="Y90" s="106">
        <f>IF(AI90&lt;&gt;0,(AD90*LOOKUP(AI90,Rates!$T$2:$T$108,Rates!$S$2:$S$108))/SQRT(1.1),0)</f>
        <v/>
      </c>
      <c r="Z90" s="106">
        <f>IF(AND(AI90&lt;=Rates!$Y$10,AI90&gt;=0),Info!$C$12*(AC90-AD90),0)</f>
        <v/>
      </c>
      <c r="AA90" s="13">
        <f>IF(AND(AI90&gt;=0,AI90&lt;=Rates!$Y$2,AG90&gt;0),MIN(AA89*(1+Info!$F$10),5000000000),0)</f>
        <v/>
      </c>
      <c r="AB90" s="106">
        <f>IF(AND(AI90&gt;=0,AI90&lt;=65),AD90*Info!$L$16,0)</f>
        <v/>
      </c>
      <c r="AC90" s="13">
        <f>IF(AND(AI90&gt;=0,AI90&lt;=Rates!$Y$3),AD90*(1+Info!$L$14),AD90)</f>
        <v/>
      </c>
      <c r="AD90" s="106">
        <f>IF(AI90&lt;&gt;0,AD89*(1+Info!$F$10),0)</f>
        <v/>
      </c>
      <c r="AE90" s="105">
        <f>IF(AI90&lt;&gt;0,AF90+AE89,0)</f>
        <v/>
      </c>
      <c r="AF90" s="13">
        <f>IF(AI90&gt;=0,IF(Info!$C$16="بله",AG90,AG90+L90),"")</f>
        <v/>
      </c>
      <c r="AG90" s="107">
        <f>IF(AI90&lt;&gt;0,AG89*(1+Info!$F$8),0)</f>
        <v/>
      </c>
      <c r="AH90" s="111">
        <f>IF(AJ90&lt;&gt;"",Info!$C$6+AJ90-1,0)</f>
        <v/>
      </c>
      <c r="AI90" s="17">
        <f>IF(AJ90&lt;&gt;"",IF(Info!$F$6+AJ90-1&lt;=Rates!$Y$11,Info!$F$6+AJ90-1,0),0)</f>
        <v/>
      </c>
      <c r="AJ90" s="18">
        <f>IF(AI89&lt;&gt;"",IF(AND(AJ89&lt;&gt;"",AI89+1&lt;=Rates!$Y$11),IF(AJ89&lt;&gt;0,IF(AJ89+1&lt;=Info!$I$6,AJ89+1,""),0),""),"")</f>
        <v/>
      </c>
    </row>
    <row r="91">
      <c r="A91" s="11">
        <f>IF(B91&gt;0,IF(Info!$C$16="بله",AG91/B91,(AG91+L91)/B91),0)</f>
        <v/>
      </c>
      <c r="B91" s="11">
        <f>IF(AND(AI91&gt;=0,AJ91&lt;=Info!$I$6),LOOKUP(Info!$C$8,Rates!$I$2:$I$7,Rates!$F$2:$F$7),0)</f>
        <v/>
      </c>
      <c r="C91" s="12">
        <f>IF(AND(AI91&gt;=0,AJ91&lt;=Info!$I$6),F91+F91*(IF(AJ91&lt;3,VLOOKUP(Info!$C$10,Rates!$A$15:$B$19,2,FALSE),IF(AJ91&lt;5,VLOOKUP(Info!$C$10,Rates!$A$15:$C$19,3,FALSE),VLOOKUP(Info!$C$10,Rates!$A$15:$D$19,4,FALSE)))+(Info!$I$22-IF(AJ91&gt;4,LOOKUP(Info!$C$10,Rates!$D$2:$D$7,Rates!$A$2:$A$7),LOOKUP(Info!$C$10,Rates!$D$2:$D$7,Rates!$C$2:$C$7))))*LOOKUP(Info!$C$8,Rates!$I$2:$I$7,Rates!$G$2:$G$7)+C90*(1+IF(AJ91&lt;3,VLOOKUP(Info!$C$10,Rates!$A$15:$B$19,2,FALSE),IF(AJ91&lt;5,VLOOKUP(Info!$C$10,Rates!$A$15:$C$19,3,FALSE),VLOOKUP(Info!$C$10,Rates!$A$15:$D$19,4,FALSE)))+(Info!$I$22-IF(AJ91&lt;3,VLOOKUP(Info!$C$10,Rates!$A$15:$B$19,2,FALSE),IF(AJ91&lt;5,VLOOKUP(Info!$C$10,Rates!$A$15:$C$19,3,FALSE),VLOOKUP(Info!$C$10,Rates!$A$15:$D$19,4,FALSE))))),0)</f>
        <v/>
      </c>
      <c r="D91" s="12">
        <f>IF(AI91&lt;&gt;"",E91,"")</f>
        <v/>
      </c>
      <c r="E91" s="12">
        <f>IF(AI91&lt;&gt;0,F91*(1+IF(AJ91&lt;3,VLOOKUP(Info!$C$10,Rates!$A$14:$B$19,2,FALSE),IF(AJ91&lt;5,VLOOKUP(Info!$C$10,Rates!$A$14:$C$19,3,FALSE),VLOOKUP(Info!$C$10,Rates!$A$14:$D$19,4,FALSE)))*LOOKUP(Info!$C$8,Rates!$I$2:$I$8,Rates!$G$2:$G$8))+E90*(1+IF(AJ91&lt;3,VLOOKUP(Info!$C$10,Rates!$A$14:$B$19,2,FALSE),IF(AJ91&lt;5,VLOOKUP(Info!$C$10,Rates!$A$14:$C$19,3,FALSE),VLOOKUP(Info!$C$10,Rates!$A$14:$D$19,4,FALSE)))),0)</f>
        <v/>
      </c>
      <c r="F91" s="12">
        <f>IF(AI91&lt;&gt;"",IF(Info!$C$16="بله",IF(AND(AJ91&lt;=Info!$F$20,AJ91&gt;=Info!$I$20),Info!$C$20,0)+(AG91-Y91-L91-K91-J91-I91-H91-G91),IF(AND(AJ91&lt;=Info!$F$20,AJ91&gt;=Info!$I$20),Info!$C$20,0)+(AG91-Y91-K91-J91-I91-H91-G91)),"")</f>
        <v/>
      </c>
      <c r="G91" s="107">
        <f>IF(AI91&lt;&gt;"",Rates!$AA$11*(L91),"")</f>
        <v/>
      </c>
      <c r="H91" s="107">
        <f>IF(AI91&lt;&gt;"",(Rates!$AC$11+Rates!$AB$11)*(L91),"")</f>
        <v/>
      </c>
      <c r="I91" s="12">
        <f>IF(AI91&lt;&gt;"",LOOKUP(Info!$C$8,Rates!$I$2:$I$7,Rates!$H$2:$H$7)*(J91+K91+L91+Y91),"")</f>
        <v/>
      </c>
      <c r="J91" s="12">
        <f>IF(N91="",0,N91)+IF(P91="",0,P91)+IF(Q91="",0,Q91)</f>
        <v/>
      </c>
      <c r="K91" s="12">
        <f>IF(Y91&lt;&gt;"",Info!$C$18*Y91,"")</f>
        <v/>
      </c>
      <c r="L91" s="12">
        <f>IF(R91="",0,R91)+IF(U91="",0,U91)+IF(W91="",0,W91)+IF(V91="",0,V91)+IF(T91="",0,T91)</f>
        <v/>
      </c>
      <c r="M91" s="12" t="n">
        <v>0</v>
      </c>
      <c r="N91" s="12" t="n">
        <v>0</v>
      </c>
      <c r="O91" s="12">
        <f>IF(AJ91&lt;=10,(1-Info!$C$25)*IF(OR(Info!$F$8&gt;0,Info!$F$10&gt;0),IF(0.75*$X$4&lt;=0.03*$AD$4,0.75*(X91-X90),0.03*(AD91-AD90)),0),"")</f>
        <v/>
      </c>
      <c r="P91" s="12">
        <f>IF(AJ91&lt;=5,IF(AI91&lt;&gt;"",0.002*AD91,"")*(1-Info!$I$25),0)</f>
        <v/>
      </c>
      <c r="Q91" s="12">
        <f>(1-Info!$F$25)*IF(AI91&lt;&gt;"",IF(Info!$C$16="بله",0.07*X91,0.07*AG91),"")</f>
        <v/>
      </c>
      <c r="R91" s="12">
        <f>IF(X91&lt;&gt;0,S91*X91,0)*(1-Info!$F$29)</f>
        <v/>
      </c>
      <c r="S91" s="107">
        <f>IF(Info!$I$14="خیر",0,IF(Info!$F$14="بله",IF(Info!$C$14=1,2.3,IF(Info!$C$14=2,3.3,4.3)),1))*IF(AND(AH91&lt;=Rates!$Y$8,AH91&gt;0),(1+Info!$C$18)*(1+LOOKUP(Info!$F$18,Rates!$O$2:$O$9,Rates!$L$2:$L$9)/100)*(LOOKUP(Info!$C$6,Rates!$T$2:$T$108,Rates!$R$2:$R$108)/100),0)</f>
        <v/>
      </c>
      <c r="T91" s="12">
        <f>IF(AI91&lt;71,(1-Info!$F$27)*((AB91*0.0008*(1+(LOOKUP(Info!$I$18,Rates!$O$2:$O$9,Rates!$M$2:$M$9)/100)))),0)</f>
        <v/>
      </c>
      <c r="U91" s="12">
        <f>IF(AI91&lt;71,(1-Info!$I$27)*(((AD91*0.0008*Info!$L$14))*(1+(LOOKUP(Info!$I$18,Rates!$O:$O,Rates!$N:$N)/100))),0)</f>
        <v/>
      </c>
      <c r="V91" s="12">
        <f>((Z91*0.0008))*(1+(LOOKUP(Info!$I$18,Rates!$O$2:$O$9,Rates!$M$2:$M$9)/100))*(1-Info!$C$27)</f>
        <v/>
      </c>
      <c r="W91" s="12">
        <f>IF(AND(AI91&lt;=Rates!$Y$2,AJ91&lt;=Info!$I$6,Info!$F$16="معمولی"),VLOOKUP(AI91,Rates!$T$1:$X$108,5,0),IF(AND(AI91&lt;=Rates!$Y$2,AJ91&lt;=Info!$I$6,Info!$F$16="پایه"),VLOOKUP(AI91,Rates!$T$1:$X$108,2,0),IF(AND(AI91&lt;=Rates!$Y$2,AJ91&lt;=Info!$I$6,Info!$F$16="آسایش "),VLOOKUP(AI91,Rates!$T$1:$X$108,3,0),IF(AND(AI91&lt;=Rates!$Y$2,AJ91&lt;=Info!$I$6,Info!$F$16="ممتاز"),VLOOKUP(AI91,Rates!$T$1:$X$108,4,0),0))))*AA91/1000000*(1+Info!$C$18)*(1-Info!$I$29)</f>
        <v/>
      </c>
      <c r="X91" s="12">
        <f>IF(Info!$C$16="بله",(AG91-W91-U91-V91-T91)/(1+S91),AG91)</f>
        <v/>
      </c>
      <c r="Y91" s="107">
        <f>IF(AI91&lt;&gt;0,(AD91*LOOKUP(AI91,Rates!$T$2:$T$108,Rates!$S$2:$S$108))/SQRT(1.1),0)</f>
        <v/>
      </c>
      <c r="Z91" s="107">
        <f>IF(AND(AI91&lt;=Rates!$Y$10,AI91&gt;=0),Info!$C$12*(AC91-AD91),0)</f>
        <v/>
      </c>
      <c r="AA91" s="12">
        <f>IF(AND(AI91&gt;=0,AI91&lt;=Rates!$Y$2,AG91&gt;0),MIN(AA90*(1+Info!$F$10),5000000000),0)</f>
        <v/>
      </c>
      <c r="AB91" s="107">
        <f>IF(AND(AI91&gt;=0,AI91&lt;=65),AD91*Info!$L$16,0)</f>
        <v/>
      </c>
      <c r="AC91" s="12">
        <f>IF(AND(AI91&gt;=0,AI91&lt;=Rates!$Y$3),AD91*(1+Info!$L$14),AD91)</f>
        <v/>
      </c>
      <c r="AD91" s="107">
        <f>IF(AI91&lt;&gt;0,AD90*(1+Info!$F$10),0)</f>
        <v/>
      </c>
      <c r="AE91" s="104">
        <f>IF(AI91&lt;&gt;0,AF91+AE90,0)</f>
        <v/>
      </c>
      <c r="AF91" s="12">
        <f>IF(AI91&gt;=0,IF(Info!$C$16="بله",AG91,AG91+L91),"")</f>
        <v/>
      </c>
      <c r="AG91" s="107">
        <f>IF(AI91&lt;&gt;0,AG90*(1+Info!$F$8),0)</f>
        <v/>
      </c>
      <c r="AH91" s="110">
        <f>IF(AJ91&lt;&gt;"",Info!$C$6+AJ91-1,0)</f>
        <v/>
      </c>
      <c r="AI91" s="14">
        <f>IF(AJ91&lt;&gt;"",IF(Info!$F$6+AJ91-1&lt;=Rates!$Y$11,Info!$F$6+AJ91-1,0),0)</f>
        <v/>
      </c>
      <c r="AJ91" s="15">
        <f>IF(AI90&lt;&gt;"",IF(AND(AJ90&lt;&gt;"",AI90+1&lt;=Rates!$Y$11),IF(AJ90&lt;&gt;0,IF(AJ90+1&lt;=Info!$I$6,AJ90+1,""),0),""),"")</f>
        <v/>
      </c>
    </row>
    <row r="92">
      <c r="A92" s="16">
        <f>IF(B92&gt;0,IF(Info!$C$16="بله",AG92/B92,(AG92+L92)/B92),0)</f>
        <v/>
      </c>
      <c r="B92" s="16">
        <f>IF(AND(AI92&gt;=0,AJ92&lt;=Info!$I$6),LOOKUP(Info!$C$8,Rates!$I$2:$I$7,Rates!$F$2:$F$7),0)</f>
        <v/>
      </c>
      <c r="C92" s="13">
        <f>IF(AND(AI92&gt;=0,AJ92&lt;=Info!$I$6),F92+F92*(IF(AJ92&lt;3,VLOOKUP(Info!$C$10,Rates!$A$15:$B$19,2,FALSE),IF(AJ92&lt;5,VLOOKUP(Info!$C$10,Rates!$A$15:$C$19,3,FALSE),VLOOKUP(Info!$C$10,Rates!$A$15:$D$19,4,FALSE)))+(Info!$I$22-IF(AJ92&gt;4,LOOKUP(Info!$C$10,Rates!$D$2:$D$7,Rates!$A$2:$A$7),LOOKUP(Info!$C$10,Rates!$D$2:$D$7,Rates!$C$2:$C$7))))*LOOKUP(Info!$C$8,Rates!$I$2:$I$7,Rates!$G$2:$G$7)+C91*(1+IF(AJ92&lt;3,VLOOKUP(Info!$C$10,Rates!$A$15:$B$19,2,FALSE),IF(AJ92&lt;5,VLOOKUP(Info!$C$10,Rates!$A$15:$C$19,3,FALSE),VLOOKUP(Info!$C$10,Rates!$A$15:$D$19,4,FALSE)))+(Info!$I$22-IF(AJ92&lt;3,VLOOKUP(Info!$C$10,Rates!$A$15:$B$19,2,FALSE),IF(AJ92&lt;5,VLOOKUP(Info!$C$10,Rates!$A$15:$C$19,3,FALSE),VLOOKUP(Info!$C$10,Rates!$A$15:$D$19,4,FALSE))))),0)</f>
        <v/>
      </c>
      <c r="D92" s="13">
        <f>IF(AI92&lt;&gt;"",E92,"")</f>
        <v/>
      </c>
      <c r="E92" s="12">
        <f>IF(AI92&lt;&gt;0,F92*(1+IF(AJ92&lt;3,VLOOKUP(Info!$C$10,Rates!$A$14:$B$19,2,FALSE),IF(AJ92&lt;5,VLOOKUP(Info!$C$10,Rates!$A$14:$C$19,3,FALSE),VLOOKUP(Info!$C$10,Rates!$A$14:$D$19,4,FALSE)))*LOOKUP(Info!$C$8,Rates!$I$2:$I$8,Rates!$G$2:$G$8))+E91*(1+IF(AJ92&lt;3,VLOOKUP(Info!$C$10,Rates!$A$14:$B$19,2,FALSE),IF(AJ92&lt;5,VLOOKUP(Info!$C$10,Rates!$A$14:$C$19,3,FALSE),VLOOKUP(Info!$C$10,Rates!$A$14:$D$19,4,FALSE)))),0)</f>
        <v/>
      </c>
      <c r="F92" s="13">
        <f>IF(AI92&lt;&gt;"",IF(Info!$C$16="بله",IF(AND(AJ92&lt;=Info!$F$20,AJ92&gt;=Info!$I$20),Info!$C$20,0)+(AG92-Y92-L92-K92-J92-I92-H92-G92),IF(AND(AJ92&lt;=Info!$F$20,AJ92&gt;=Info!$I$20),Info!$C$20,0)+(AG92-Y92-K92-J92-I92-H92-G92)),"")</f>
        <v/>
      </c>
      <c r="G92" s="106">
        <f>IF(AI92&lt;&gt;"",Rates!$AA$11*(L92),"")</f>
        <v/>
      </c>
      <c r="H92" s="106">
        <f>IF(AI92&lt;&gt;"",(Rates!$AC$11+Rates!$AB$11)*(L92),"")</f>
        <v/>
      </c>
      <c r="I92" s="13">
        <f>IF(AI92&lt;&gt;"",LOOKUP(Info!$C$8,Rates!$I$2:$I$7,Rates!$H$2:$H$7)*(J92+K92+L92+Y92),"")</f>
        <v/>
      </c>
      <c r="J92" s="13">
        <f>IF(N92="",0,N92)+IF(P92="",0,P92)+IF(Q92="",0,Q92)</f>
        <v/>
      </c>
      <c r="K92" s="13">
        <f>IF(Y92&lt;&gt;"",Info!$C$18*Y92,"")</f>
        <v/>
      </c>
      <c r="L92" s="13">
        <f>IF(R92="",0,R92)+IF(U92="",0,U92)+IF(W92="",0,W92)+IF(V92="",0,V92)+IF(T92="",0,T92)</f>
        <v/>
      </c>
      <c r="M92" s="13" t="n">
        <v>0</v>
      </c>
      <c r="N92" s="13" t="n">
        <v>0</v>
      </c>
      <c r="O92" s="12">
        <f>IF(AJ92&lt;=10,(1-Info!$C$25)*IF(OR(Info!$F$8&gt;0,Info!$F$10&gt;0),IF(0.75*$X$4&lt;=0.03*$AD$4,0.75*(X92-X91),0.03*(AD92-AD91)),0),"")</f>
        <v/>
      </c>
      <c r="P92" s="13">
        <f>IF(AJ92&lt;=5,IF(AI92&lt;&gt;"",0.002*AD92,"")*(1-Info!$I$25),0)</f>
        <v/>
      </c>
      <c r="Q92" s="13">
        <f>(1-Info!$F$25)*IF(AI92&lt;&gt;"",IF(Info!$C$16="بله",0.07*X92,0.07*AG92),"")</f>
        <v/>
      </c>
      <c r="R92" s="13">
        <f>IF(X92&lt;&gt;0,S92*X92,0)*(1-Info!$F$29)</f>
        <v/>
      </c>
      <c r="S92" s="106">
        <f>IF(Info!$I$14="خیر",0,IF(Info!$F$14="بله",IF(Info!$C$14=1,2.3,IF(Info!$C$14=2,3.3,4.3)),1))*IF(AND(AH92&lt;=Rates!$Y$8,AH92&gt;0),(1+Info!$C$18)*(1+LOOKUP(Info!$F$18,Rates!$O$2:$O$9,Rates!$L$2:$L$9)/100)*(LOOKUP(Info!$C$6,Rates!$T$2:$T$108,Rates!$R$2:$R$108)/100),0)</f>
        <v/>
      </c>
      <c r="T92" s="13">
        <f>IF(AI92&lt;71,(1-Info!$F$27)*((AB92*0.0008*(1+(LOOKUP(Info!$I$18,Rates!$O$2:$O$9,Rates!$M$2:$M$9)/100)))),0)</f>
        <v/>
      </c>
      <c r="U92" s="13">
        <f>IF(AI92&lt;71,(1-Info!$I$27)*(((AD92*0.0008*Info!$L$14))*(1+(LOOKUP(Info!$I$18,Rates!$O:$O,Rates!$N:$N)/100))),0)</f>
        <v/>
      </c>
      <c r="V92" s="13">
        <f>((Z92*0.0008))*(1+(LOOKUP(Info!$I$18,Rates!$O$2:$O$9,Rates!$M$2:$M$9)/100))*(1-Info!$C$27)</f>
        <v/>
      </c>
      <c r="W92" s="13">
        <f>IF(AND(AI92&lt;=Rates!$Y$2,AJ92&lt;=Info!$I$6,Info!$F$16="معمولی"),VLOOKUP(AI92,Rates!$T$1:$X$108,5,0),IF(AND(AI92&lt;=Rates!$Y$2,AJ92&lt;=Info!$I$6,Info!$F$16="پایه"),VLOOKUP(AI92,Rates!$T$1:$X$108,2,0),IF(AND(AI92&lt;=Rates!$Y$2,AJ92&lt;=Info!$I$6,Info!$F$16="آسایش "),VLOOKUP(AI92,Rates!$T$1:$X$108,3,0),IF(AND(AI92&lt;=Rates!$Y$2,AJ92&lt;=Info!$I$6,Info!$F$16="ممتاز"),VLOOKUP(AI92,Rates!$T$1:$X$108,4,0),0))))*AA92/1000000*(1+Info!$C$18)*(1-Info!$I$29)</f>
        <v/>
      </c>
      <c r="X92" s="113">
        <f>IF(Info!$C$16="بله",(AG92-W92-U92-V92-T92)/(1+S92),AG92)</f>
        <v/>
      </c>
      <c r="Y92" s="106">
        <f>IF(AI92&lt;&gt;0,(AD92*LOOKUP(AI92,Rates!$T$2:$T$108,Rates!$S$2:$S$108))/SQRT(1.1),0)</f>
        <v/>
      </c>
      <c r="Z92" s="106">
        <f>IF(AND(AI92&lt;=Rates!$Y$10,AI92&gt;=0),Info!$C$12*(AC92-AD92),0)</f>
        <v/>
      </c>
      <c r="AA92" s="13">
        <f>IF(AND(AI92&gt;=0,AI92&lt;=Rates!$Y$2,AG92&gt;0),MIN(AA91*(1+Info!$F$10),5000000000),0)</f>
        <v/>
      </c>
      <c r="AB92" s="106">
        <f>IF(AND(AI92&gt;=0,AI92&lt;=65),AD92*Info!$L$16,0)</f>
        <v/>
      </c>
      <c r="AC92" s="13">
        <f>IF(AND(AI92&gt;=0,AI92&lt;=Rates!$Y$3),AD92*(1+Info!$L$14),AD92)</f>
        <v/>
      </c>
      <c r="AD92" s="106">
        <f>IF(AI92&lt;&gt;0,AD91*(1+Info!$F$10),0)</f>
        <v/>
      </c>
      <c r="AE92" s="105">
        <f>IF(AI92&lt;&gt;0,AF92+AE91,0)</f>
        <v/>
      </c>
      <c r="AF92" s="13">
        <f>IF(AI92&gt;=0,IF(Info!$C$16="بله",AG92,AG92+L92),"")</f>
        <v/>
      </c>
      <c r="AG92" s="107">
        <f>IF(AI92&lt;&gt;0,AG91*(1+Info!$F$8),0)</f>
        <v/>
      </c>
      <c r="AH92" s="111">
        <f>IF(AJ92&lt;&gt;"",Info!$C$6+AJ92-1,0)</f>
        <v/>
      </c>
      <c r="AI92" s="17">
        <f>IF(AJ92&lt;&gt;"",IF(Info!$F$6+AJ92-1&lt;=Rates!$Y$11,Info!$F$6+AJ92-1,0),0)</f>
        <v/>
      </c>
      <c r="AJ92" s="18">
        <f>IF(AI91&lt;&gt;"",IF(AND(AJ91&lt;&gt;"",AI91+1&lt;=Rates!$Y$11),IF(AJ91&lt;&gt;0,IF(AJ91+1&lt;=Info!$I$6,AJ91+1,""),0),""),"")</f>
        <v/>
      </c>
    </row>
    <row r="93">
      <c r="A93" s="11">
        <f>IF(B93&gt;0,IF(Info!$C$16="بله",AG93/B93,(AG93+L93)/B93),0)</f>
        <v/>
      </c>
      <c r="B93" s="11">
        <f>IF(AND(AI93&gt;=0,AJ93&lt;=Info!$I$6),LOOKUP(Info!$C$8,Rates!$I$2:$I$7,Rates!$F$2:$F$7),0)</f>
        <v/>
      </c>
      <c r="C93" s="12">
        <f>IF(AND(AI93&gt;=0,AJ93&lt;=Info!$I$6),F93+F93*(IF(AJ93&lt;3,VLOOKUP(Info!$C$10,Rates!$A$15:$B$19,2,FALSE),IF(AJ93&lt;5,VLOOKUP(Info!$C$10,Rates!$A$15:$C$19,3,FALSE),VLOOKUP(Info!$C$10,Rates!$A$15:$D$19,4,FALSE)))+(Info!$I$22-IF(AJ93&gt;4,LOOKUP(Info!$C$10,Rates!$D$2:$D$7,Rates!$A$2:$A$7),LOOKUP(Info!$C$10,Rates!$D$2:$D$7,Rates!$C$2:$C$7))))*LOOKUP(Info!$C$8,Rates!$I$2:$I$7,Rates!$G$2:$G$7)+C92*(1+IF(AJ93&lt;3,VLOOKUP(Info!$C$10,Rates!$A$15:$B$19,2,FALSE),IF(AJ93&lt;5,VLOOKUP(Info!$C$10,Rates!$A$15:$C$19,3,FALSE),VLOOKUP(Info!$C$10,Rates!$A$15:$D$19,4,FALSE)))+(Info!$I$22-IF(AJ93&lt;3,VLOOKUP(Info!$C$10,Rates!$A$15:$B$19,2,FALSE),IF(AJ93&lt;5,VLOOKUP(Info!$C$10,Rates!$A$15:$C$19,3,FALSE),VLOOKUP(Info!$C$10,Rates!$A$15:$D$19,4,FALSE))))),0)</f>
        <v/>
      </c>
      <c r="D93" s="12">
        <f>IF(AI93&lt;&gt;"",E93,"")</f>
        <v/>
      </c>
      <c r="E93" s="12">
        <f>IF(AI93&lt;&gt;0,F93*(1+IF(AJ93&lt;3,VLOOKUP(Info!$C$10,Rates!$A$14:$B$19,2,FALSE),IF(AJ93&lt;5,VLOOKUP(Info!$C$10,Rates!$A$14:$C$19,3,FALSE),VLOOKUP(Info!$C$10,Rates!$A$14:$D$19,4,FALSE)))*LOOKUP(Info!$C$8,Rates!$I$2:$I$8,Rates!$G$2:$G$8))+E92*(1+IF(AJ93&lt;3,VLOOKUP(Info!$C$10,Rates!$A$14:$B$19,2,FALSE),IF(AJ93&lt;5,VLOOKUP(Info!$C$10,Rates!$A$14:$C$19,3,FALSE),VLOOKUP(Info!$C$10,Rates!$A$14:$D$19,4,FALSE)))),0)</f>
        <v/>
      </c>
      <c r="F93" s="12">
        <f>IF(AI93&lt;&gt;"",IF(Info!$C$16="بله",IF(AND(AJ93&lt;=Info!$F$20,AJ93&gt;=Info!$I$20),Info!$C$20,0)+(AG93-Y93-L93-K93-J93-I93-H93-G93),IF(AND(AJ93&lt;=Info!$F$20,AJ93&gt;=Info!$I$20),Info!$C$20,0)+(AG93-Y93-K93-J93-I93-H93-G93)),"")</f>
        <v/>
      </c>
      <c r="G93" s="107">
        <f>IF(AI93&lt;&gt;"",Rates!$AA$11*(L93),"")</f>
        <v/>
      </c>
      <c r="H93" s="107">
        <f>IF(AI93&lt;&gt;"",(Rates!$AC$11+Rates!$AB$11)*(L93),"")</f>
        <v/>
      </c>
      <c r="I93" s="12">
        <f>IF(AI93&lt;&gt;"",LOOKUP(Info!$C$8,Rates!$I$2:$I$7,Rates!$H$2:$H$7)*(J93+K93+L93+Y93),"")</f>
        <v/>
      </c>
      <c r="J93" s="12">
        <f>IF(N93="",0,N93)+IF(P93="",0,P93)+IF(Q93="",0,Q93)</f>
        <v/>
      </c>
      <c r="K93" s="12">
        <f>IF(Y93&lt;&gt;"",Info!$C$18*Y93,"")</f>
        <v/>
      </c>
      <c r="L93" s="12">
        <f>IF(R93="",0,R93)+IF(U93="",0,U93)+IF(W93="",0,W93)+IF(V93="",0,V93)+IF(T93="",0,T93)</f>
        <v/>
      </c>
      <c r="M93" s="12" t="n">
        <v>0</v>
      </c>
      <c r="N93" s="12" t="n">
        <v>0</v>
      </c>
      <c r="O93" s="12">
        <f>IF(AJ93&lt;=10,(1-Info!$C$25)*IF(OR(Info!$F$8&gt;0,Info!$F$10&gt;0),IF(0.75*$X$4&lt;=0.03*$AD$4,0.75*(X93-X92),0.03*(AD93-AD92)),0),"")</f>
        <v/>
      </c>
      <c r="P93" s="12">
        <f>IF(AJ93&lt;=5,IF(AI93&lt;&gt;"",0.002*AD93,"")*(1-Info!$I$25),0)</f>
        <v/>
      </c>
      <c r="Q93" s="12">
        <f>(1-Info!$F$25)*IF(AI93&lt;&gt;"",IF(Info!$C$16="بله",0.07*X93,0.07*AG93),"")</f>
        <v/>
      </c>
      <c r="R93" s="12">
        <f>IF(X93&lt;&gt;0,S93*X93,0)*(1-Info!$F$29)</f>
        <v/>
      </c>
      <c r="S93" s="107">
        <f>IF(Info!$I$14="خیر",0,IF(Info!$F$14="بله",IF(Info!$C$14=1,2.3,IF(Info!$C$14=2,3.3,4.3)),1))*IF(AND(AH93&lt;=Rates!$Y$8,AH93&gt;0),(1+Info!$C$18)*(1+LOOKUP(Info!$F$18,Rates!$O$2:$O$9,Rates!$L$2:$L$9)/100)*(LOOKUP(Info!$C$6,Rates!$T$2:$T$108,Rates!$R$2:$R$108)/100),0)</f>
        <v/>
      </c>
      <c r="T93" s="12">
        <f>IF(AI93&lt;71,(1-Info!$F$27)*((AB93*0.0008*(1+(LOOKUP(Info!$I$18,Rates!$O$2:$O$9,Rates!$M$2:$M$9)/100)))),0)</f>
        <v/>
      </c>
      <c r="U93" s="12">
        <f>IF(AI93&lt;71,(1-Info!$I$27)*(((AD93*0.0008*Info!$L$14))*(1+(LOOKUP(Info!$I$18,Rates!$O:$O,Rates!$N:$N)/100))),0)</f>
        <v/>
      </c>
      <c r="V93" s="12">
        <f>((Z93*0.0008))*(1+(LOOKUP(Info!$I$18,Rates!$O$2:$O$9,Rates!$M$2:$M$9)/100))*(1-Info!$C$27)</f>
        <v/>
      </c>
      <c r="W93" s="12">
        <f>IF(AND(AI93&lt;=Rates!$Y$2,AJ93&lt;=Info!$I$6,Info!$F$16="معمولی"),VLOOKUP(AI93,Rates!$T$1:$X$108,5,0),IF(AND(AI93&lt;=Rates!$Y$2,AJ93&lt;=Info!$I$6,Info!$F$16="پایه"),VLOOKUP(AI93,Rates!$T$1:$X$108,2,0),IF(AND(AI93&lt;=Rates!$Y$2,AJ93&lt;=Info!$I$6,Info!$F$16="آسایش "),VLOOKUP(AI93,Rates!$T$1:$X$108,3,0),IF(AND(AI93&lt;=Rates!$Y$2,AJ93&lt;=Info!$I$6,Info!$F$16="ممتاز"),VLOOKUP(AI93,Rates!$T$1:$X$108,4,0),0))))*AA93/1000000*(1+Info!$C$18)*(1-Info!$I$29)</f>
        <v/>
      </c>
      <c r="X93" s="12">
        <f>IF(Info!$C$16="بله",(AG93-W93-U93-V93-T93)/(1+S93),AG93)</f>
        <v/>
      </c>
      <c r="Y93" s="107">
        <f>IF(AI93&lt;&gt;0,(AD93*LOOKUP(AI93,Rates!$T$2:$T$108,Rates!$S$2:$S$108))/SQRT(1.1),0)</f>
        <v/>
      </c>
      <c r="Z93" s="107">
        <f>IF(AND(AI93&lt;=Rates!$Y$10,AI93&gt;=0),Info!$C$12*(AC93-AD93),0)</f>
        <v/>
      </c>
      <c r="AA93" s="12">
        <f>IF(AND(AI93&gt;=0,AI93&lt;=Rates!$Y$2,AG93&gt;0),MIN(AA92*(1+Info!$F$10),5000000000),0)</f>
        <v/>
      </c>
      <c r="AB93" s="107">
        <f>IF(AND(AI93&gt;=0,AI93&lt;=65),AD93*Info!$L$16,0)</f>
        <v/>
      </c>
      <c r="AC93" s="12">
        <f>IF(AND(AI93&gt;=0,AI93&lt;=Rates!$Y$3),AD93*(1+Info!$L$14),AD93)</f>
        <v/>
      </c>
      <c r="AD93" s="107">
        <f>IF(AI93&lt;&gt;0,AD92*(1+Info!$F$10),0)</f>
        <v/>
      </c>
      <c r="AE93" s="104">
        <f>IF(AI93&lt;&gt;0,AF93+AE92,0)</f>
        <v/>
      </c>
      <c r="AF93" s="12">
        <f>IF(AI93&gt;=0,IF(Info!$C$16="بله",AG93,AG93+L93),"")</f>
        <v/>
      </c>
      <c r="AG93" s="107">
        <f>IF(AI93&lt;&gt;0,AG92*(1+Info!$F$8),0)</f>
        <v/>
      </c>
      <c r="AH93" s="110">
        <f>IF(AJ93&lt;&gt;"",Info!$C$6+AJ93-1,0)</f>
        <v/>
      </c>
      <c r="AI93" s="14">
        <f>IF(AJ93&lt;&gt;"",IF(Info!$F$6+AJ93-1&lt;=Rates!$Y$11,Info!$F$6+AJ93-1,0),0)</f>
        <v/>
      </c>
      <c r="AJ93" s="15">
        <f>IF(AI92&lt;&gt;"",IF(AND(AJ92&lt;&gt;"",AI92+1&lt;=Rates!$Y$11),IF(AJ92&lt;&gt;0,IF(AJ92+1&lt;=Info!$I$6,AJ92+1,""),0),""),"")</f>
        <v/>
      </c>
    </row>
    <row r="94">
      <c r="A94" s="16">
        <f>IF(B94&gt;0,IF(Info!$C$16="بله",AG94/B94,(AG94+L94)/B94),0)</f>
        <v/>
      </c>
      <c r="B94" s="16">
        <f>IF(AND(AI94&gt;=0,AJ94&lt;=Info!$I$6),LOOKUP(Info!$C$8,Rates!$I$2:$I$7,Rates!$F$2:$F$7),0)</f>
        <v/>
      </c>
      <c r="C94" s="13">
        <f>IF(AND(AI94&gt;=0,AJ94&lt;=Info!$I$6),F94+F94*(IF(AJ94&lt;3,VLOOKUP(Info!$C$10,Rates!$A$15:$B$19,2,FALSE),IF(AJ94&lt;5,VLOOKUP(Info!$C$10,Rates!$A$15:$C$19,3,FALSE),VLOOKUP(Info!$C$10,Rates!$A$15:$D$19,4,FALSE)))+(Info!$I$22-IF(AJ94&gt;4,LOOKUP(Info!$C$10,Rates!$D$2:$D$7,Rates!$A$2:$A$7),LOOKUP(Info!$C$10,Rates!$D$2:$D$7,Rates!$C$2:$C$7))))*LOOKUP(Info!$C$8,Rates!$I$2:$I$7,Rates!$G$2:$G$7)+C93*(1+IF(AJ94&lt;3,VLOOKUP(Info!$C$10,Rates!$A$15:$B$19,2,FALSE),IF(AJ94&lt;5,VLOOKUP(Info!$C$10,Rates!$A$15:$C$19,3,FALSE),VLOOKUP(Info!$C$10,Rates!$A$15:$D$19,4,FALSE)))+(Info!$I$22-IF(AJ94&lt;3,VLOOKUP(Info!$C$10,Rates!$A$15:$B$19,2,FALSE),IF(AJ94&lt;5,VLOOKUP(Info!$C$10,Rates!$A$15:$C$19,3,FALSE),VLOOKUP(Info!$C$10,Rates!$A$15:$D$19,4,FALSE))))),0)</f>
        <v/>
      </c>
      <c r="D94" s="13">
        <f>IF(AI94&lt;&gt;"",E94,"")</f>
        <v/>
      </c>
      <c r="E94" s="12">
        <f>IF(AI94&lt;&gt;0,F94*(1+IF(AJ94&lt;3,VLOOKUP(Info!$C$10,Rates!$A$14:$B$19,2,FALSE),IF(AJ94&lt;5,VLOOKUP(Info!$C$10,Rates!$A$14:$C$19,3,FALSE),VLOOKUP(Info!$C$10,Rates!$A$14:$D$19,4,FALSE)))*LOOKUP(Info!$C$8,Rates!$I$2:$I$8,Rates!$G$2:$G$8))+E93*(1+IF(AJ94&lt;3,VLOOKUP(Info!$C$10,Rates!$A$14:$B$19,2,FALSE),IF(AJ94&lt;5,VLOOKUP(Info!$C$10,Rates!$A$14:$C$19,3,FALSE),VLOOKUP(Info!$C$10,Rates!$A$14:$D$19,4,FALSE)))),0)</f>
        <v/>
      </c>
      <c r="F94" s="13">
        <f>IF(AI94&lt;&gt;"",IF(Info!$C$16="بله",IF(AND(AJ94&lt;=Info!$F$20,AJ94&gt;=Info!$I$20),Info!$C$20,0)+(AG94-Y94-L94-K94-J94-I94-H94-G94),IF(AND(AJ94&lt;=Info!$F$20,AJ94&gt;=Info!$I$20),Info!$C$20,0)+(AG94-Y94-K94-J94-I94-H94-G94)),"")</f>
        <v/>
      </c>
      <c r="G94" s="106">
        <f>IF(AI94&lt;&gt;"",Rates!$AA$11*(L94),"")</f>
        <v/>
      </c>
      <c r="H94" s="106">
        <f>IF(AI94&lt;&gt;"",(Rates!$AC$11+Rates!$AB$11)*(L94),"")</f>
        <v/>
      </c>
      <c r="I94" s="13">
        <f>IF(AI94&lt;&gt;"",LOOKUP(Info!$C$8,Rates!$I$2:$I$7,Rates!$H$2:$H$7)*(J94+K94+L94+Y94),"")</f>
        <v/>
      </c>
      <c r="J94" s="13">
        <f>IF(N94="",0,N94)+IF(P94="",0,P94)+IF(Q94="",0,Q94)</f>
        <v/>
      </c>
      <c r="K94" s="13">
        <f>IF(Y94&lt;&gt;"",Info!$C$18*Y94,"")</f>
        <v/>
      </c>
      <c r="L94" s="13">
        <f>IF(R94="",0,R94)+IF(U94="",0,U94)+IF(W94="",0,W94)+IF(V94="",0,V94)+IF(T94="",0,T94)</f>
        <v/>
      </c>
      <c r="M94" s="13" t="n">
        <v>0</v>
      </c>
      <c r="N94" s="13" t="n">
        <v>0</v>
      </c>
      <c r="O94" s="12">
        <f>IF(AJ94&lt;=10,(1-Info!$C$25)*IF(OR(Info!$F$8&gt;0,Info!$F$10&gt;0),IF(0.75*$X$4&lt;=0.03*$AD$4,0.75*(X94-X93),0.03*(AD94-AD93)),0),"")</f>
        <v/>
      </c>
      <c r="P94" s="13">
        <f>IF(AJ94&lt;=5,IF(AI94&lt;&gt;"",0.002*AD94,"")*(1-Info!$I$25),0)</f>
        <v/>
      </c>
      <c r="Q94" s="13">
        <f>(1-Info!$F$25)*IF(AI94&lt;&gt;"",IF(Info!$C$16="بله",0.07*X94,0.07*AG94),"")</f>
        <v/>
      </c>
      <c r="R94" s="13">
        <f>IF(X94&lt;&gt;0,S94*X94,0)*(1-Info!$F$29)</f>
        <v/>
      </c>
      <c r="S94" s="106">
        <f>IF(Info!$I$14="خیر",0,IF(Info!$F$14="بله",IF(Info!$C$14=1,2.3,IF(Info!$C$14=2,3.3,4.3)),1))*IF(AND(AH94&lt;=Rates!$Y$8,AH94&gt;0),(1+Info!$C$18)*(1+LOOKUP(Info!$F$18,Rates!$O$2:$O$9,Rates!$L$2:$L$9)/100)*(LOOKUP(Info!$C$6,Rates!$T$2:$T$108,Rates!$R$2:$R$108)/100),0)</f>
        <v/>
      </c>
      <c r="T94" s="13">
        <f>IF(AI94&lt;71,(1-Info!$F$27)*((AB94*0.0008*(1+(LOOKUP(Info!$I$18,Rates!$O$2:$O$9,Rates!$M$2:$M$9)/100)))),0)</f>
        <v/>
      </c>
      <c r="U94" s="13">
        <f>IF(AI94&lt;71,(1-Info!$I$27)*(((AD94*0.0008*Info!$L$14))*(1+(LOOKUP(Info!$I$18,Rates!$O:$O,Rates!$N:$N)/100))),0)</f>
        <v/>
      </c>
      <c r="V94" s="13">
        <f>((Z94*0.0008))*(1+(LOOKUP(Info!$I$18,Rates!$O$2:$O$9,Rates!$M$2:$M$9)/100))*(1-Info!$C$27)</f>
        <v/>
      </c>
      <c r="W94" s="13">
        <f>IF(AND(AI94&lt;=Rates!$Y$2,AJ94&lt;=Info!$I$6,Info!$F$16="معمولی"),VLOOKUP(AI94,Rates!$T$1:$X$108,5,0),IF(AND(AI94&lt;=Rates!$Y$2,AJ94&lt;=Info!$I$6,Info!$F$16="پایه"),VLOOKUP(AI94,Rates!$T$1:$X$108,2,0),IF(AND(AI94&lt;=Rates!$Y$2,AJ94&lt;=Info!$I$6,Info!$F$16="آسایش "),VLOOKUP(AI94,Rates!$T$1:$X$108,3,0),IF(AND(AI94&lt;=Rates!$Y$2,AJ94&lt;=Info!$I$6,Info!$F$16="ممتاز"),VLOOKUP(AI94,Rates!$T$1:$X$108,4,0),0))))*AA94/1000000*(1+Info!$C$18)*(1-Info!$I$29)</f>
        <v/>
      </c>
      <c r="X94" s="113">
        <f>IF(Info!$C$16="بله",(AG94-W94-U94-V94-T94)/(1+S94),AG94)</f>
        <v/>
      </c>
      <c r="Y94" s="106">
        <f>IF(AI94&lt;&gt;0,(AD94*LOOKUP(AI94,Rates!$T$2:$T$108,Rates!$S$2:$S$108))/SQRT(1.1),0)</f>
        <v/>
      </c>
      <c r="Z94" s="106">
        <f>IF(AND(AI94&lt;=Rates!$Y$10,AI94&gt;=0),Info!$C$12*(AC94-AD94),0)</f>
        <v/>
      </c>
      <c r="AA94" s="13">
        <f>IF(AND(AI94&gt;=0,AI94&lt;=Rates!$Y$2,AG94&gt;0),MIN(AA93*(1+Info!$F$10),5000000000),0)</f>
        <v/>
      </c>
      <c r="AB94" s="106">
        <f>IF(AND(AI94&gt;=0,AI94&lt;=65),AD94*Info!$L$16,0)</f>
        <v/>
      </c>
      <c r="AC94" s="13">
        <f>IF(AND(AI94&gt;=0,AI94&lt;=Rates!$Y$3),AD94*(1+Info!$L$14),AD94)</f>
        <v/>
      </c>
      <c r="AD94" s="106">
        <f>IF(AI94&lt;&gt;0,AD93*(1+Info!$F$10),0)</f>
        <v/>
      </c>
      <c r="AE94" s="105">
        <f>IF(AI94&lt;&gt;0,AF94+AE93,0)</f>
        <v/>
      </c>
      <c r="AF94" s="13">
        <f>IF(AI94&gt;=0,IF(Info!$C$16="بله",AG94,AG94+L94),"")</f>
        <v/>
      </c>
      <c r="AG94" s="107">
        <f>IF(AI94&lt;&gt;0,AG93*(1+Info!$F$8),0)</f>
        <v/>
      </c>
      <c r="AH94" s="111">
        <f>IF(AJ94&lt;&gt;"",Info!$C$6+AJ94-1,0)</f>
        <v/>
      </c>
      <c r="AI94" s="17">
        <f>IF(AJ94&lt;&gt;"",IF(Info!$F$6+AJ94-1&lt;=Rates!$Y$11,Info!$F$6+AJ94-1,0),0)</f>
        <v/>
      </c>
      <c r="AJ94" s="18">
        <f>IF(AI93&lt;&gt;"",IF(AND(AJ93&lt;&gt;"",AI93+1&lt;=Rates!$Y$11),IF(AJ93&lt;&gt;0,IF(AJ93+1&lt;=Info!$I$6,AJ93+1,""),0),""),"")</f>
        <v/>
      </c>
    </row>
    <row r="95">
      <c r="A95" s="11">
        <f>IF(B95&gt;0,IF(Info!$C$16="بله",AG95/B95,(AG95+L95)/B95),0)</f>
        <v/>
      </c>
      <c r="B95" s="11">
        <f>IF(AND(AI95&gt;=0,AJ95&lt;=Info!$I$6),LOOKUP(Info!$C$8,Rates!$I$2:$I$7,Rates!$F$2:$F$7),0)</f>
        <v/>
      </c>
      <c r="C95" s="12">
        <f>IF(AND(AI95&gt;=0,AJ95&lt;=Info!$I$6),F95+F95*(IF(AJ95&lt;3,VLOOKUP(Info!$C$10,Rates!$A$15:$B$19,2,FALSE),IF(AJ95&lt;5,VLOOKUP(Info!$C$10,Rates!$A$15:$C$19,3,FALSE),VLOOKUP(Info!$C$10,Rates!$A$15:$D$19,4,FALSE)))+(Info!$I$22-IF(AJ95&gt;4,LOOKUP(Info!$C$10,Rates!$D$2:$D$7,Rates!$A$2:$A$7),LOOKUP(Info!$C$10,Rates!$D$2:$D$7,Rates!$C$2:$C$7))))*LOOKUP(Info!$C$8,Rates!$I$2:$I$7,Rates!$G$2:$G$7)+C94*(1+IF(AJ95&lt;3,VLOOKUP(Info!$C$10,Rates!$A$15:$B$19,2,FALSE),IF(AJ95&lt;5,VLOOKUP(Info!$C$10,Rates!$A$15:$C$19,3,FALSE),VLOOKUP(Info!$C$10,Rates!$A$15:$D$19,4,FALSE)))+(Info!$I$22-IF(AJ95&lt;3,VLOOKUP(Info!$C$10,Rates!$A$15:$B$19,2,FALSE),IF(AJ95&lt;5,VLOOKUP(Info!$C$10,Rates!$A$15:$C$19,3,FALSE),VLOOKUP(Info!$C$10,Rates!$A$15:$D$19,4,FALSE))))),0)</f>
        <v/>
      </c>
      <c r="D95" s="12">
        <f>IF(AI95&lt;&gt;"",E95,"")</f>
        <v/>
      </c>
      <c r="E95" s="12">
        <f>IF(AI95&lt;&gt;0,F95*(1+IF(AJ95&lt;3,VLOOKUP(Info!$C$10,Rates!$A$14:$B$19,2,FALSE),IF(AJ95&lt;5,VLOOKUP(Info!$C$10,Rates!$A$14:$C$19,3,FALSE),VLOOKUP(Info!$C$10,Rates!$A$14:$D$19,4,FALSE)))*LOOKUP(Info!$C$8,Rates!$I$2:$I$8,Rates!$G$2:$G$8))+E94*(1+IF(AJ95&lt;3,VLOOKUP(Info!$C$10,Rates!$A$14:$B$19,2,FALSE),IF(AJ95&lt;5,VLOOKUP(Info!$C$10,Rates!$A$14:$C$19,3,FALSE),VLOOKUP(Info!$C$10,Rates!$A$14:$D$19,4,FALSE)))),0)</f>
        <v/>
      </c>
      <c r="F95" s="12">
        <f>IF(AI95&lt;&gt;"",IF(Info!$C$16="بله",IF(AND(AJ95&lt;=Info!$F$20,AJ95&gt;=Info!$I$20),Info!$C$20,0)+(AG95-Y95-L95-K95-J95-I95-H95-G95),IF(AND(AJ95&lt;=Info!$F$20,AJ95&gt;=Info!$I$20),Info!$C$20,0)+(AG95-Y95-K95-J95-I95-H95-G95)),"")</f>
        <v/>
      </c>
      <c r="G95" s="107">
        <f>IF(AI95&lt;&gt;"",Rates!$AA$11*(L95),"")</f>
        <v/>
      </c>
      <c r="H95" s="107">
        <f>IF(AI95&lt;&gt;"",(Rates!$AC$11+Rates!$AB$11)*(L95),"")</f>
        <v/>
      </c>
      <c r="I95" s="12">
        <f>IF(AI95&lt;&gt;"",LOOKUP(Info!$C$8,Rates!$I$2:$I$7,Rates!$H$2:$H$7)*(J95+K95+L95+Y95),"")</f>
        <v/>
      </c>
      <c r="J95" s="12">
        <f>IF(N95="",0,N95)+IF(P95="",0,P95)+IF(Q95="",0,Q95)</f>
        <v/>
      </c>
      <c r="K95" s="12">
        <f>IF(Y95&lt;&gt;"",Info!$C$18*Y95,"")</f>
        <v/>
      </c>
      <c r="L95" s="12">
        <f>IF(R95="",0,R95)+IF(U95="",0,U95)+IF(W95="",0,W95)+IF(V95="",0,V95)+IF(T95="",0,T95)</f>
        <v/>
      </c>
      <c r="M95" s="12" t="n">
        <v>0</v>
      </c>
      <c r="N95" s="12" t="n">
        <v>0</v>
      </c>
      <c r="O95" s="12">
        <f>IF(AJ95&lt;=10,(1-Info!$C$25)*IF(OR(Info!$F$8&gt;0,Info!$F$10&gt;0),IF(0.75*$X$4&lt;=0.03*$AD$4,0.75*(X95-X94),0.03*(AD95-AD94)),0),"")</f>
        <v/>
      </c>
      <c r="P95" s="12">
        <f>IF(AJ95&lt;=5,IF(AI95&lt;&gt;"",0.002*AD95,"")*(1-Info!$I$25),0)</f>
        <v/>
      </c>
      <c r="Q95" s="12">
        <f>(1-Info!$F$25)*IF(AI95&lt;&gt;"",IF(Info!$C$16="بله",0.07*X95,0.07*AG95),"")</f>
        <v/>
      </c>
      <c r="R95" s="12">
        <f>IF(X95&lt;&gt;0,S95*X95,0)*(1-Info!$F$29)</f>
        <v/>
      </c>
      <c r="S95" s="107">
        <f>IF(Info!$I$14="خیر",0,IF(Info!$F$14="بله",IF(Info!$C$14=1,2.3,IF(Info!$C$14=2,3.3,4.3)),1))*IF(AND(AH95&lt;=Rates!$Y$8,AH95&gt;0),(1+Info!$C$18)*(1+LOOKUP(Info!$F$18,Rates!$O$2:$O$9,Rates!$L$2:$L$9)/100)*(LOOKUP(Info!$C$6,Rates!$T$2:$T$108,Rates!$R$2:$R$108)/100),0)</f>
        <v/>
      </c>
      <c r="T95" s="12">
        <f>IF(AI95&lt;71,(1-Info!$F$27)*((AB95*0.0008*(1+(LOOKUP(Info!$I$18,Rates!$O$2:$O$9,Rates!$M$2:$M$9)/100)))),0)</f>
        <v/>
      </c>
      <c r="U95" s="12">
        <f>IF(AI95&lt;71,(1-Info!$I$27)*(((AD95*0.0008*Info!$L$14))*(1+(LOOKUP(Info!$I$18,Rates!$O:$O,Rates!$N:$N)/100))),0)</f>
        <v/>
      </c>
      <c r="V95" s="12">
        <f>((Z95*0.0008))*(1+(LOOKUP(Info!$I$18,Rates!$O$2:$O$9,Rates!$M$2:$M$9)/100))*(1-Info!$C$27)</f>
        <v/>
      </c>
      <c r="W95" s="12">
        <f>IF(AND(AI95&lt;=Rates!$Y$2,AJ95&lt;=Info!$I$6,Info!$F$16="معمولی"),VLOOKUP(AI95,Rates!$T$1:$X$108,5,0),IF(AND(AI95&lt;=Rates!$Y$2,AJ95&lt;=Info!$I$6,Info!$F$16="پایه"),VLOOKUP(AI95,Rates!$T$1:$X$108,2,0),IF(AND(AI95&lt;=Rates!$Y$2,AJ95&lt;=Info!$I$6,Info!$F$16="آسایش "),VLOOKUP(AI95,Rates!$T$1:$X$108,3,0),IF(AND(AI95&lt;=Rates!$Y$2,AJ95&lt;=Info!$I$6,Info!$F$16="ممتاز"),VLOOKUP(AI95,Rates!$T$1:$X$108,4,0),0))))*AA95/1000000*(1+Info!$C$18)*(1-Info!$I$29)</f>
        <v/>
      </c>
      <c r="X95" s="12">
        <f>IF(Info!$C$16="بله",(AG95-W95-U95-V95-T95)/(1+S95),AG95)</f>
        <v/>
      </c>
      <c r="Y95" s="107">
        <f>IF(AI95&lt;&gt;0,(AD95*LOOKUP(AI95,Rates!$T$2:$T$108,Rates!$S$2:$S$108))/SQRT(1.1),0)</f>
        <v/>
      </c>
      <c r="Z95" s="107">
        <f>IF(AND(AI95&lt;=Rates!$Y$10,AI95&gt;=0),Info!$C$12*(AC95-AD95),0)</f>
        <v/>
      </c>
      <c r="AA95" s="12">
        <f>IF(AND(AI95&gt;=0,AI95&lt;=Rates!$Y$2,AG95&gt;0),MIN(AA94*(1+Info!$F$10),5000000000),0)</f>
        <v/>
      </c>
      <c r="AB95" s="107">
        <f>IF(AND(AI95&gt;=0,AI95&lt;=65),AD95*Info!$L$16,0)</f>
        <v/>
      </c>
      <c r="AC95" s="12">
        <f>IF(AND(AI95&gt;=0,AI95&lt;=Rates!$Y$3),AD95*(1+Info!$L$14),AD95)</f>
        <v/>
      </c>
      <c r="AD95" s="107">
        <f>IF(AI95&lt;&gt;0,AD94*(1+Info!$F$10),0)</f>
        <v/>
      </c>
      <c r="AE95" s="104">
        <f>IF(AI95&lt;&gt;0,AF95+AE94,0)</f>
        <v/>
      </c>
      <c r="AF95" s="12">
        <f>IF(AI95&gt;=0,IF(Info!$C$16="بله",AG95,AG95+L95),"")</f>
        <v/>
      </c>
      <c r="AG95" s="107">
        <f>IF(AI95&lt;&gt;0,AG94*(1+Info!$F$8),0)</f>
        <v/>
      </c>
      <c r="AH95" s="110">
        <f>IF(AJ95&lt;&gt;"",Info!$C$6+AJ95-1,0)</f>
        <v/>
      </c>
      <c r="AI95" s="14">
        <f>IF(AJ95&lt;&gt;"",IF(Info!$F$6+AJ95-1&lt;=Rates!$Y$11,Info!$F$6+AJ95-1,0),0)</f>
        <v/>
      </c>
      <c r="AJ95" s="15">
        <f>IF(AI94&lt;&gt;"",IF(AND(AJ94&lt;&gt;"",AI94+1&lt;=Rates!$Y$11),IF(AJ94&lt;&gt;0,IF(AJ94+1&lt;=Info!$I$6,AJ94+1,""),0),""),"")</f>
        <v/>
      </c>
    </row>
    <row r="96">
      <c r="A96" s="16">
        <f>IF(B96&gt;0,IF(Info!$C$16="بله",AG96/B96,(AG96+L96)/B96),0)</f>
        <v/>
      </c>
      <c r="B96" s="16">
        <f>IF(AND(AI96&gt;=0,AJ96&lt;=Info!$I$6),LOOKUP(Info!$C$8,Rates!$I$2:$I$7,Rates!$F$2:$F$7),0)</f>
        <v/>
      </c>
      <c r="C96" s="13">
        <f>IF(AND(AI96&gt;=0,AJ96&lt;=Info!$I$6),F96+F96*(IF(AJ96&lt;3,VLOOKUP(Info!$C$10,Rates!$A$15:$B$19,2,FALSE),IF(AJ96&lt;5,VLOOKUP(Info!$C$10,Rates!$A$15:$C$19,3,FALSE),VLOOKUP(Info!$C$10,Rates!$A$15:$D$19,4,FALSE)))+(Info!$I$22-IF(AJ96&gt;4,LOOKUP(Info!$C$10,Rates!$D$2:$D$7,Rates!$A$2:$A$7),LOOKUP(Info!$C$10,Rates!$D$2:$D$7,Rates!$C$2:$C$7))))*LOOKUP(Info!$C$8,Rates!$I$2:$I$7,Rates!$G$2:$G$7)+C95*(1+IF(AJ96&lt;3,VLOOKUP(Info!$C$10,Rates!$A$15:$B$19,2,FALSE),IF(AJ96&lt;5,VLOOKUP(Info!$C$10,Rates!$A$15:$C$19,3,FALSE),VLOOKUP(Info!$C$10,Rates!$A$15:$D$19,4,FALSE)))+(Info!$I$22-IF(AJ96&lt;3,VLOOKUP(Info!$C$10,Rates!$A$15:$B$19,2,FALSE),IF(AJ96&lt;5,VLOOKUP(Info!$C$10,Rates!$A$15:$C$19,3,FALSE),VLOOKUP(Info!$C$10,Rates!$A$15:$D$19,4,FALSE))))),0)</f>
        <v/>
      </c>
      <c r="D96" s="13">
        <f>IF(AI96&lt;&gt;"",E96,"")</f>
        <v/>
      </c>
      <c r="E96" s="12">
        <f>IF(AI96&lt;&gt;0,F96*(1+IF(AJ96&lt;3,VLOOKUP(Info!$C$10,Rates!$A$14:$B$19,2,FALSE),IF(AJ96&lt;5,VLOOKUP(Info!$C$10,Rates!$A$14:$C$19,3,FALSE),VLOOKUP(Info!$C$10,Rates!$A$14:$D$19,4,FALSE)))*LOOKUP(Info!$C$8,Rates!$I$2:$I$8,Rates!$G$2:$G$8))+E95*(1+IF(AJ96&lt;3,VLOOKUP(Info!$C$10,Rates!$A$14:$B$19,2,FALSE),IF(AJ96&lt;5,VLOOKUP(Info!$C$10,Rates!$A$14:$C$19,3,FALSE),VLOOKUP(Info!$C$10,Rates!$A$14:$D$19,4,FALSE)))),0)</f>
        <v/>
      </c>
      <c r="F96" s="13">
        <f>IF(AI96&lt;&gt;"",IF(Info!$C$16="بله",IF(AND(AJ96&lt;=Info!$F$20,AJ96&gt;=Info!$I$20),Info!$C$20,0)+(AG96-Y96-L96-K96-J96-I96-H96-G96),IF(AND(AJ96&lt;=Info!$F$20,AJ96&gt;=Info!$I$20),Info!$C$20,0)+(AG96-Y96-K96-J96-I96-H96-G96)),"")</f>
        <v/>
      </c>
      <c r="G96" s="106">
        <f>IF(AI96&lt;&gt;"",Rates!$AA$11*(L96),"")</f>
        <v/>
      </c>
      <c r="H96" s="106">
        <f>IF(AI96&lt;&gt;"",(Rates!$AC$11+Rates!$AB$11)*(L96),"")</f>
        <v/>
      </c>
      <c r="I96" s="13">
        <f>IF(AI96&lt;&gt;"",LOOKUP(Info!$C$8,Rates!$I$2:$I$7,Rates!$H$2:$H$7)*(J96+K96+L96+Y96),"")</f>
        <v/>
      </c>
      <c r="J96" s="13">
        <f>IF(N96="",0,N96)+IF(P96="",0,P96)+IF(Q96="",0,Q96)</f>
        <v/>
      </c>
      <c r="K96" s="13">
        <f>IF(Y96&lt;&gt;"",Info!$C$18*Y96,"")</f>
        <v/>
      </c>
      <c r="L96" s="13">
        <f>IF(R96="",0,R96)+IF(U96="",0,U96)+IF(W96="",0,W96)+IF(V96="",0,V96)+IF(T96="",0,T96)</f>
        <v/>
      </c>
      <c r="M96" s="13" t="n">
        <v>0</v>
      </c>
      <c r="N96" s="13" t="n">
        <v>0</v>
      </c>
      <c r="O96" s="12">
        <f>IF(AJ96&lt;=10,(1-Info!$C$25)*IF(OR(Info!$F$8&gt;0,Info!$F$10&gt;0),IF(0.75*$X$4&lt;=0.03*$AD$4,0.75*(X96-X95),0.03*(AD96-AD95)),0),"")</f>
        <v/>
      </c>
      <c r="P96" s="13">
        <f>IF(AJ96&lt;=5,IF(AI96&lt;&gt;"",0.002*AD96,"")*(1-Info!$I$25),0)</f>
        <v/>
      </c>
      <c r="Q96" s="13">
        <f>(1-Info!$F$25)*IF(AI96&lt;&gt;"",IF(Info!$C$16="بله",0.07*X96,0.07*AG96),"")</f>
        <v/>
      </c>
      <c r="R96" s="13">
        <f>IF(X96&lt;&gt;0,S96*X96,0)*(1-Info!$F$29)</f>
        <v/>
      </c>
      <c r="S96" s="106">
        <f>IF(Info!$I$14="خیر",0,IF(Info!$F$14="بله",IF(Info!$C$14=1,2.3,IF(Info!$C$14=2,3.3,4.3)),1))*IF(AND(AH96&lt;=Rates!$Y$8,AH96&gt;0),(1+Info!$C$18)*(1+LOOKUP(Info!$F$18,Rates!$O$2:$O$9,Rates!$L$2:$L$9)/100)*(LOOKUP(Info!$C$6,Rates!$T$2:$T$108,Rates!$R$2:$R$108)/100),0)</f>
        <v/>
      </c>
      <c r="T96" s="13">
        <f>IF(AI96&lt;71,(1-Info!$F$27)*((AB96*0.0008*(1+(LOOKUP(Info!$I$18,Rates!$O$2:$O$9,Rates!$M$2:$M$9)/100)))),0)</f>
        <v/>
      </c>
      <c r="U96" s="13">
        <f>IF(AI96&lt;71,(1-Info!$I$27)*(((AD96*0.0008*Info!$L$14))*(1+(LOOKUP(Info!$I$18,Rates!$O:$O,Rates!$N:$N)/100))),0)</f>
        <v/>
      </c>
      <c r="V96" s="13">
        <f>((Z96*0.0008))*(1+(LOOKUP(Info!$I$18,Rates!$O$2:$O$9,Rates!$M$2:$M$9)/100))*(1-Info!$C$27)</f>
        <v/>
      </c>
      <c r="W96" s="13">
        <f>IF(AND(AI96&lt;=Rates!$Y$2,AJ96&lt;=Info!$I$6,Info!$F$16="معمولی"),VLOOKUP(AI96,Rates!$T$1:$X$108,5,0),IF(AND(AI96&lt;=Rates!$Y$2,AJ96&lt;=Info!$I$6,Info!$F$16="پایه"),VLOOKUP(AI96,Rates!$T$1:$X$108,2,0),IF(AND(AI96&lt;=Rates!$Y$2,AJ96&lt;=Info!$I$6,Info!$F$16="آسایش "),VLOOKUP(AI96,Rates!$T$1:$X$108,3,0),IF(AND(AI96&lt;=Rates!$Y$2,AJ96&lt;=Info!$I$6,Info!$F$16="ممتاز"),VLOOKUP(AI96,Rates!$T$1:$X$108,4,0),0))))*AA96/1000000*(1+Info!$C$18)*(1-Info!$I$29)</f>
        <v/>
      </c>
      <c r="X96" s="113">
        <f>IF(Info!$C$16="بله",(AG96-W96-U96-V96-T96)/(1+S96),AG96)</f>
        <v/>
      </c>
      <c r="Y96" s="106">
        <f>IF(AI96&lt;&gt;0,(AD96*LOOKUP(AI96,Rates!$T$2:$T$108,Rates!$S$2:$S$108))/SQRT(1.1),0)</f>
        <v/>
      </c>
      <c r="Z96" s="106">
        <f>IF(AND(AI96&lt;=Rates!$Y$10,AI96&gt;=0),Info!$C$12*(AC96-AD96),0)</f>
        <v/>
      </c>
      <c r="AA96" s="13">
        <f>IF(AND(AI96&gt;=0,AI96&lt;=Rates!$Y$2,AG96&gt;0),MIN(AA95*(1+Info!$F$10),5000000000),0)</f>
        <v/>
      </c>
      <c r="AB96" s="106">
        <f>IF(AND(AI96&gt;=0,AI96&lt;=65),AD96*Info!$L$16,0)</f>
        <v/>
      </c>
      <c r="AC96" s="13">
        <f>IF(AND(AI96&gt;=0,AI96&lt;=Rates!$Y$3),AD96*(1+Info!$L$14),AD96)</f>
        <v/>
      </c>
      <c r="AD96" s="106">
        <f>IF(AI96&lt;&gt;0,AD95*(1+Info!$F$10),0)</f>
        <v/>
      </c>
      <c r="AE96" s="105">
        <f>IF(AI96&lt;&gt;0,AF96+AE95,0)</f>
        <v/>
      </c>
      <c r="AF96" s="13">
        <f>IF(AI96&gt;=0,IF(Info!$C$16="بله",AG96,AG96+L96),"")</f>
        <v/>
      </c>
      <c r="AG96" s="107">
        <f>IF(AI96&lt;&gt;0,AG95*(1+Info!$F$8),0)</f>
        <v/>
      </c>
      <c r="AH96" s="111">
        <f>IF(AJ96&lt;&gt;"",Info!$C$6+AJ96-1,0)</f>
        <v/>
      </c>
      <c r="AI96" s="17">
        <f>IF(AJ96&lt;&gt;"",IF(Info!$F$6+AJ96-1&lt;=Rates!$Y$11,Info!$F$6+AJ96-1,0),0)</f>
        <v/>
      </c>
      <c r="AJ96" s="18">
        <f>IF(AI95&lt;&gt;"",IF(AND(AJ95&lt;&gt;"",AI95+1&lt;=Rates!$Y$11),IF(AJ95&lt;&gt;0,IF(AJ95+1&lt;=Info!$I$6,AJ95+1,""),0),""),"")</f>
        <v/>
      </c>
    </row>
    <row r="97">
      <c r="A97" s="11">
        <f>IF(B97&gt;0,IF(Info!$C$16="بله",AG97/B97,(AG97+L97)/B97),0)</f>
        <v/>
      </c>
      <c r="B97" s="11">
        <f>IF(AND(AI97&gt;=0,AJ97&lt;=Info!$I$6),LOOKUP(Info!$C$8,Rates!$I$2:$I$7,Rates!$F$2:$F$7),0)</f>
        <v/>
      </c>
      <c r="C97" s="12">
        <f>IF(AND(AI97&gt;=0,AJ97&lt;=Info!$I$6),F97+F97*(IF(AJ97&lt;3,VLOOKUP(Info!$C$10,Rates!$A$15:$B$19,2,FALSE),IF(AJ97&lt;5,VLOOKUP(Info!$C$10,Rates!$A$15:$C$19,3,FALSE),VLOOKUP(Info!$C$10,Rates!$A$15:$D$19,4,FALSE)))+(Info!$I$22-IF(AJ97&gt;4,LOOKUP(Info!$C$10,Rates!$D$2:$D$7,Rates!$A$2:$A$7),LOOKUP(Info!$C$10,Rates!$D$2:$D$7,Rates!$C$2:$C$7))))*LOOKUP(Info!$C$8,Rates!$I$2:$I$7,Rates!$G$2:$G$7)+C96*(1+IF(AJ97&lt;3,VLOOKUP(Info!$C$10,Rates!$A$15:$B$19,2,FALSE),IF(AJ97&lt;5,VLOOKUP(Info!$C$10,Rates!$A$15:$C$19,3,FALSE),VLOOKUP(Info!$C$10,Rates!$A$15:$D$19,4,FALSE)))+(Info!$I$22-IF(AJ97&lt;3,VLOOKUP(Info!$C$10,Rates!$A$15:$B$19,2,FALSE),IF(AJ97&lt;5,VLOOKUP(Info!$C$10,Rates!$A$15:$C$19,3,FALSE),VLOOKUP(Info!$C$10,Rates!$A$15:$D$19,4,FALSE))))),0)</f>
        <v/>
      </c>
      <c r="D97" s="12">
        <f>IF(AI97&lt;&gt;"",E97,"")</f>
        <v/>
      </c>
      <c r="E97" s="12">
        <f>IF(AI97&lt;&gt;0,F97*(1+IF(AJ97&lt;3,VLOOKUP(Info!$C$10,Rates!$A$14:$B$19,2,FALSE),IF(AJ97&lt;5,VLOOKUP(Info!$C$10,Rates!$A$14:$C$19,3,FALSE),VLOOKUP(Info!$C$10,Rates!$A$14:$D$19,4,FALSE)))*LOOKUP(Info!$C$8,Rates!$I$2:$I$8,Rates!$G$2:$G$8))+E96*(1+IF(AJ97&lt;3,VLOOKUP(Info!$C$10,Rates!$A$14:$B$19,2,FALSE),IF(AJ97&lt;5,VLOOKUP(Info!$C$10,Rates!$A$14:$C$19,3,FALSE),VLOOKUP(Info!$C$10,Rates!$A$14:$D$19,4,FALSE)))),0)</f>
        <v/>
      </c>
      <c r="F97" s="12">
        <f>IF(AI97&lt;&gt;"",IF(Info!$C$16="بله",IF(AND(AJ97&lt;=Info!$F$20,AJ97&gt;=Info!$I$20),Info!$C$20,0)+(AG97-Y97-L97-K97-J97-I97-H97-G97),IF(AND(AJ97&lt;=Info!$F$20,AJ97&gt;=Info!$I$20),Info!$C$20,0)+(AG97-Y97-K97-J97-I97-H97-G97)),"")</f>
        <v/>
      </c>
      <c r="G97" s="107">
        <f>IF(AI97&lt;&gt;"",Rates!$AA$11*(L97),"")</f>
        <v/>
      </c>
      <c r="H97" s="107">
        <f>IF(AI97&lt;&gt;"",(Rates!$AC$11+Rates!$AB$11)*(L97),"")</f>
        <v/>
      </c>
      <c r="I97" s="12">
        <f>IF(AI97&lt;&gt;"",LOOKUP(Info!$C$8,Rates!$I$2:$I$7,Rates!$H$2:$H$7)*(J97+K97+L97+Y97),"")</f>
        <v/>
      </c>
      <c r="J97" s="12">
        <f>IF(N97="",0,N97)+IF(P97="",0,P97)+IF(Q97="",0,Q97)</f>
        <v/>
      </c>
      <c r="K97" s="12">
        <f>IF(Y97&lt;&gt;"",Info!$C$18*Y97,"")</f>
        <v/>
      </c>
      <c r="L97" s="12">
        <f>IF(R97="",0,R97)+IF(U97="",0,U97)+IF(W97="",0,W97)+IF(V97="",0,V97)+IF(T97="",0,T97)</f>
        <v/>
      </c>
      <c r="M97" s="12" t="n">
        <v>0</v>
      </c>
      <c r="N97" s="12" t="n">
        <v>0</v>
      </c>
      <c r="O97" s="12">
        <f>IF(AJ97&lt;=10,(1-Info!$C$25)*IF(OR(Info!$F$8&gt;0,Info!$F$10&gt;0),IF(0.75*$X$4&lt;=0.03*$AD$4,0.75*(X97-X96),0.03*(AD97-AD96)),0),"")</f>
        <v/>
      </c>
      <c r="P97" s="12">
        <f>IF(AJ97&lt;=5,IF(AI97&lt;&gt;"",0.002*AD97,"")*(1-Info!$I$25),0)</f>
        <v/>
      </c>
      <c r="Q97" s="12">
        <f>(1-Info!$F$25)*IF(AI97&lt;&gt;"",IF(Info!$C$16="بله",0.07*X97,0.07*AG97),"")</f>
        <v/>
      </c>
      <c r="R97" s="12">
        <f>IF(X97&lt;&gt;0,S97*X97,0)*(1-Info!$F$29)</f>
        <v/>
      </c>
      <c r="S97" s="107">
        <f>IF(Info!$I$14="خیر",0,IF(Info!$F$14="بله",IF(Info!$C$14=1,2.3,IF(Info!$C$14=2,3.3,4.3)),1))*IF(AND(AH97&lt;=Rates!$Y$8,AH97&gt;0),(1+Info!$C$18)*(1+LOOKUP(Info!$F$18,Rates!$O$2:$O$9,Rates!$L$2:$L$9)/100)*(LOOKUP(Info!$C$6,Rates!$T$2:$T$108,Rates!$R$2:$R$108)/100),0)</f>
        <v/>
      </c>
      <c r="T97" s="12">
        <f>IF(AI97&lt;71,(1-Info!$F$27)*((AB97*0.0008*(1+(LOOKUP(Info!$I$18,Rates!$O$2:$O$9,Rates!$M$2:$M$9)/100)))),0)</f>
        <v/>
      </c>
      <c r="U97" s="12">
        <f>IF(AI97&lt;71,(1-Info!$I$27)*(((AD97*0.0008*Info!$L$14))*(1+(LOOKUP(Info!$I$18,Rates!$O:$O,Rates!$N:$N)/100))),0)</f>
        <v/>
      </c>
      <c r="V97" s="12">
        <f>((Z97*0.0008))*(1+(LOOKUP(Info!$I$18,Rates!$O$2:$O$9,Rates!$M$2:$M$9)/100))*(1-Info!$C$27)</f>
        <v/>
      </c>
      <c r="W97" s="12">
        <f>IF(AND(AI97&lt;=Rates!$Y$2,AJ97&lt;=Info!$I$6,Info!$F$16="معمولی"),VLOOKUP(AI97,Rates!$T$1:$X$108,5,0),IF(AND(AI97&lt;=Rates!$Y$2,AJ97&lt;=Info!$I$6,Info!$F$16="پایه"),VLOOKUP(AI97,Rates!$T$1:$X$108,2,0),IF(AND(AI97&lt;=Rates!$Y$2,AJ97&lt;=Info!$I$6,Info!$F$16="آسایش "),VLOOKUP(AI97,Rates!$T$1:$X$108,3,0),IF(AND(AI97&lt;=Rates!$Y$2,AJ97&lt;=Info!$I$6,Info!$F$16="ممتاز"),VLOOKUP(AI97,Rates!$T$1:$X$108,4,0),0))))*AA97/1000000*(1+Info!$C$18)*(1-Info!$I$29)</f>
        <v/>
      </c>
      <c r="X97" s="12">
        <f>IF(Info!$C$16="بله",(AG97-W97-U97-V97-T97)/(1+S97),AG97)</f>
        <v/>
      </c>
      <c r="Y97" s="107">
        <f>IF(AI97&lt;&gt;0,(AD97*LOOKUP(AI97,Rates!$T$2:$T$108,Rates!$S$2:$S$108))/SQRT(1.1),0)</f>
        <v/>
      </c>
      <c r="Z97" s="107">
        <f>IF(AND(AI97&lt;=Rates!$Y$10,AI97&gt;=0),Info!$C$12*(AC97-AD97),0)</f>
        <v/>
      </c>
      <c r="AA97" s="12">
        <f>IF(AND(AI97&gt;=0,AI97&lt;=Rates!$Y$2,AG97&gt;0),MIN(AA96*(1+Info!$F$10),5000000000),0)</f>
        <v/>
      </c>
      <c r="AB97" s="107">
        <f>IF(AND(AI97&gt;=0,AI97&lt;=65),AD97*Info!$L$16,0)</f>
        <v/>
      </c>
      <c r="AC97" s="12">
        <f>IF(AND(AI97&gt;=0,AI97&lt;=Rates!$Y$3),AD97*(1+Info!$L$14),AD97)</f>
        <v/>
      </c>
      <c r="AD97" s="107">
        <f>IF(AI97&lt;&gt;0,AD96*(1+Info!$F$10),0)</f>
        <v/>
      </c>
      <c r="AE97" s="104">
        <f>IF(AI97&lt;&gt;0,AF97+AE96,0)</f>
        <v/>
      </c>
      <c r="AF97" s="12">
        <f>IF(AI97&gt;=0,IF(Info!$C$16="بله",AG97,AG97+L97),"")</f>
        <v/>
      </c>
      <c r="AG97" s="107">
        <f>IF(AI97&lt;&gt;0,AG96*(1+Info!$F$8),0)</f>
        <v/>
      </c>
      <c r="AH97" s="110">
        <f>IF(AJ97&lt;&gt;"",Info!$C$6+AJ97-1,0)</f>
        <v/>
      </c>
      <c r="AI97" s="14">
        <f>IF(AJ97&lt;&gt;"",IF(Info!$F$6+AJ97-1&lt;=Rates!$Y$11,Info!$F$6+AJ97-1,0),0)</f>
        <v/>
      </c>
      <c r="AJ97" s="15">
        <f>IF(AI96&lt;&gt;"",IF(AND(AJ96&lt;&gt;"",AI96+1&lt;=Rates!$Y$11),IF(AJ96&lt;&gt;0,IF(AJ96+1&lt;=Info!$I$6,AJ96+1,""),0),""),"")</f>
        <v/>
      </c>
    </row>
    <row r="98">
      <c r="A98" s="16">
        <f>IF(B98&gt;0,IF(Info!$C$16="بله",AG98/B98,(AG98+L98)/B98),0)</f>
        <v/>
      </c>
      <c r="B98" s="16">
        <f>IF(AND(AI98&gt;=0,AJ98&lt;=Info!$I$6),LOOKUP(Info!$C$8,Rates!$I$2:$I$7,Rates!$F$2:$F$7),0)</f>
        <v/>
      </c>
      <c r="C98" s="13">
        <f>IF(AND(AI98&gt;=0,AJ98&lt;=Info!$I$6),F98+F98*(IF(AJ98&lt;3,VLOOKUP(Info!$C$10,Rates!$A$15:$B$19,2,FALSE),IF(AJ98&lt;5,VLOOKUP(Info!$C$10,Rates!$A$15:$C$19,3,FALSE),VLOOKUP(Info!$C$10,Rates!$A$15:$D$19,4,FALSE)))+(Info!$I$22-IF(AJ98&gt;4,LOOKUP(Info!$C$10,Rates!$D$2:$D$7,Rates!$A$2:$A$7),LOOKUP(Info!$C$10,Rates!$D$2:$D$7,Rates!$C$2:$C$7))))*LOOKUP(Info!$C$8,Rates!$I$2:$I$7,Rates!$G$2:$G$7)+C97*(1+IF(AJ98&lt;3,VLOOKUP(Info!$C$10,Rates!$A$15:$B$19,2,FALSE),IF(AJ98&lt;5,VLOOKUP(Info!$C$10,Rates!$A$15:$C$19,3,FALSE),VLOOKUP(Info!$C$10,Rates!$A$15:$D$19,4,FALSE)))+(Info!$I$22-IF(AJ98&lt;3,VLOOKUP(Info!$C$10,Rates!$A$15:$B$19,2,FALSE),IF(AJ98&lt;5,VLOOKUP(Info!$C$10,Rates!$A$15:$C$19,3,FALSE),VLOOKUP(Info!$C$10,Rates!$A$15:$D$19,4,FALSE))))),0)</f>
        <v/>
      </c>
      <c r="D98" s="13">
        <f>IF(AI98&lt;&gt;"",E98,"")</f>
        <v/>
      </c>
      <c r="E98" s="12">
        <f>IF(AI98&lt;&gt;0,F98*(1+IF(AJ98&lt;3,VLOOKUP(Info!$C$10,Rates!$A$14:$B$19,2,FALSE),IF(AJ98&lt;5,VLOOKUP(Info!$C$10,Rates!$A$14:$C$19,3,FALSE),VLOOKUP(Info!$C$10,Rates!$A$14:$D$19,4,FALSE)))*LOOKUP(Info!$C$8,Rates!$I$2:$I$8,Rates!$G$2:$G$8))+E97*(1+IF(AJ98&lt;3,VLOOKUP(Info!$C$10,Rates!$A$14:$B$19,2,FALSE),IF(AJ98&lt;5,VLOOKUP(Info!$C$10,Rates!$A$14:$C$19,3,FALSE),VLOOKUP(Info!$C$10,Rates!$A$14:$D$19,4,FALSE)))),0)</f>
        <v/>
      </c>
      <c r="F98" s="13">
        <f>IF(AI98&lt;&gt;"",IF(Info!$C$16="بله",IF(AND(AJ98&lt;=Info!$F$20,AJ98&gt;=Info!$I$20),Info!$C$20,0)+(AG98-Y98-L98-K98-J98-I98-H98-G98),IF(AND(AJ98&lt;=Info!$F$20,AJ98&gt;=Info!$I$20),Info!$C$20,0)+(AG98-Y98-K98-J98-I98-H98-G98)),"")</f>
        <v/>
      </c>
      <c r="G98" s="106">
        <f>IF(AI98&lt;&gt;"",Rates!$AA$11*(L98),"")</f>
        <v/>
      </c>
      <c r="H98" s="106">
        <f>IF(AI98&lt;&gt;"",(Rates!$AC$11+Rates!$AB$11)*(L98),"")</f>
        <v/>
      </c>
      <c r="I98" s="13">
        <f>IF(AI98&lt;&gt;"",LOOKUP(Info!$C$8,Rates!$I$2:$I$7,Rates!$H$2:$H$7)*(J98+K98+L98+Y98),"")</f>
        <v/>
      </c>
      <c r="J98" s="13">
        <f>IF(N98="",0,N98)+IF(P98="",0,P98)+IF(Q98="",0,Q98)</f>
        <v/>
      </c>
      <c r="K98" s="13">
        <f>IF(Y98&lt;&gt;"",Info!$C$18*Y98,"")</f>
        <v/>
      </c>
      <c r="L98" s="13">
        <f>IF(R98="",0,R98)+IF(U98="",0,U98)+IF(W98="",0,W98)+IF(V98="",0,V98)+IF(T98="",0,T98)</f>
        <v/>
      </c>
      <c r="M98" s="13" t="n">
        <v>0</v>
      </c>
      <c r="N98" s="13" t="n">
        <v>0</v>
      </c>
      <c r="O98" s="12">
        <f>IF(AJ98&lt;=10,(1-Info!$C$25)*IF(OR(Info!$F$8&gt;0,Info!$F$10&gt;0),IF(0.75*$X$4&lt;=0.03*$AD$4,0.75*(X98-X97),0.03*(AD98-AD97)),0),"")</f>
        <v/>
      </c>
      <c r="P98" s="13">
        <f>IF(AJ98&lt;=5,IF(AI98&lt;&gt;"",0.002*AD98,"")*(1-Info!$I$25),0)</f>
        <v/>
      </c>
      <c r="Q98" s="13">
        <f>(1-Info!$F$25)*IF(AI98&lt;&gt;"",IF(Info!$C$16="بله",0.07*X98,0.07*AG98),"")</f>
        <v/>
      </c>
      <c r="R98" s="13">
        <f>IF(X98&lt;&gt;0,S98*X98,0)*(1-Info!$F$29)</f>
        <v/>
      </c>
      <c r="S98" s="106">
        <f>IF(Info!$I$14="خیر",0,IF(Info!$F$14="بله",IF(Info!$C$14=1,2.3,IF(Info!$C$14=2,3.3,4.3)),1))*IF(AND(AH98&lt;=Rates!$Y$8,AH98&gt;0),(1+Info!$C$18)*(1+LOOKUP(Info!$F$18,Rates!$O$2:$O$9,Rates!$L$2:$L$9)/100)*(LOOKUP(Info!$C$6,Rates!$T$2:$T$108,Rates!$R$2:$R$108)/100),0)</f>
        <v/>
      </c>
      <c r="T98" s="13">
        <f>IF(AI98&lt;71,(1-Info!$F$27)*((AB98*0.0008*(1+(LOOKUP(Info!$I$18,Rates!$O$2:$O$9,Rates!$M$2:$M$9)/100)))),0)</f>
        <v/>
      </c>
      <c r="U98" s="13">
        <f>IF(AI98&lt;71,(1-Info!$I$27)*(((AD98*0.0008*Info!$L$14))*(1+(LOOKUP(Info!$I$18,Rates!$O:$O,Rates!$N:$N)/100))),0)</f>
        <v/>
      </c>
      <c r="V98" s="13">
        <f>((Z98*0.0008))*(1+(LOOKUP(Info!$I$18,Rates!$O$2:$O$9,Rates!$M$2:$M$9)/100))*(1-Info!$C$27)</f>
        <v/>
      </c>
      <c r="W98" s="13">
        <f>IF(AND(AI98&lt;=Rates!$Y$2,AJ98&lt;=Info!$I$6,Info!$F$16="معمولی"),VLOOKUP(AI98,Rates!$T$1:$X$108,5,0),IF(AND(AI98&lt;=Rates!$Y$2,AJ98&lt;=Info!$I$6,Info!$F$16="پایه"),VLOOKUP(AI98,Rates!$T$1:$X$108,2,0),IF(AND(AI98&lt;=Rates!$Y$2,AJ98&lt;=Info!$I$6,Info!$F$16="آسایش "),VLOOKUP(AI98,Rates!$T$1:$X$108,3,0),IF(AND(AI98&lt;=Rates!$Y$2,AJ98&lt;=Info!$I$6,Info!$F$16="ممتاز"),VLOOKUP(AI98,Rates!$T$1:$X$108,4,0),0))))*AA98/1000000*(1+Info!$C$18)*(1-Info!$I$29)</f>
        <v/>
      </c>
      <c r="X98" s="113">
        <f>IF(Info!$C$16="بله",(AG98-W98-U98-V98-T98)/(1+S98),AG98)</f>
        <v/>
      </c>
      <c r="Y98" s="106">
        <f>IF(AI98&lt;&gt;0,(AD98*LOOKUP(AI98,Rates!$T$2:$T$108,Rates!$S$2:$S$108))/SQRT(1.1),0)</f>
        <v/>
      </c>
      <c r="Z98" s="106">
        <f>IF(AND(AI98&lt;=Rates!$Y$10,AI98&gt;=0),Info!$C$12*(AC98-AD98),0)</f>
        <v/>
      </c>
      <c r="AA98" s="13">
        <f>IF(AND(AI98&gt;=0,AI98&lt;=Rates!$Y$2,AG98&gt;0),MIN(AA97*(1+Info!$F$10),5000000000),0)</f>
        <v/>
      </c>
      <c r="AB98" s="106">
        <f>IF(AND(AI98&gt;=0,AI98&lt;=65),AD98*Info!$L$16,0)</f>
        <v/>
      </c>
      <c r="AC98" s="13">
        <f>IF(AND(AI98&gt;=0,AI98&lt;=Rates!$Y$3),AD98*(1+Info!$L$14),AD98)</f>
        <v/>
      </c>
      <c r="AD98" s="106">
        <f>IF(AI98&lt;&gt;0,AD97*(1+Info!$F$10),0)</f>
        <v/>
      </c>
      <c r="AE98" s="105">
        <f>IF(AI98&lt;&gt;0,AF98+AE97,0)</f>
        <v/>
      </c>
      <c r="AF98" s="13">
        <f>IF(AI98&gt;=0,IF(Info!$C$16="بله",AG98,AG98+L98),"")</f>
        <v/>
      </c>
      <c r="AG98" s="107">
        <f>IF(AI98&lt;&gt;0,AG97*(1+Info!$F$8),0)</f>
        <v/>
      </c>
      <c r="AH98" s="111">
        <f>IF(AJ98&lt;&gt;"",Info!$C$6+AJ98-1,0)</f>
        <v/>
      </c>
      <c r="AI98" s="17">
        <f>IF(AJ98&lt;&gt;"",IF(Info!$F$6+AJ98-1&lt;=Rates!$Y$11,Info!$F$6+AJ98-1,0),0)</f>
        <v/>
      </c>
      <c r="AJ98" s="18">
        <f>IF(AI97&lt;&gt;"",IF(AND(AJ97&lt;&gt;"",AI97+1&lt;=Rates!$Y$11),IF(AJ97&lt;&gt;0,IF(AJ97+1&lt;=Info!$I$6,AJ97+1,""),0),""),"")</f>
        <v/>
      </c>
    </row>
    <row r="99">
      <c r="A99" s="11">
        <f>IF(B99&gt;0,IF(Info!$C$16="بله",AG99/B99,(AG99+L99)/B99),0)</f>
        <v/>
      </c>
      <c r="B99" s="11">
        <f>IF(AND(AI99&gt;=0,AJ99&lt;=Info!$I$6),LOOKUP(Info!$C$8,Rates!$I$2:$I$7,Rates!$F$2:$F$7),0)</f>
        <v/>
      </c>
      <c r="C99" s="12">
        <f>IF(AND(AI99&gt;=0,AJ99&lt;=Info!$I$6),F99+F99*(IF(AJ99&lt;3,VLOOKUP(Info!$C$10,Rates!$A$15:$B$19,2,FALSE),IF(AJ99&lt;5,VLOOKUP(Info!$C$10,Rates!$A$15:$C$19,3,FALSE),VLOOKUP(Info!$C$10,Rates!$A$15:$D$19,4,FALSE)))+(Info!$I$22-IF(AJ99&gt;4,LOOKUP(Info!$C$10,Rates!$D$2:$D$7,Rates!$A$2:$A$7),LOOKUP(Info!$C$10,Rates!$D$2:$D$7,Rates!$C$2:$C$7))))*LOOKUP(Info!$C$8,Rates!$I$2:$I$7,Rates!$G$2:$G$7)+C98*(1+IF(AJ99&lt;3,VLOOKUP(Info!$C$10,Rates!$A$15:$B$19,2,FALSE),IF(AJ99&lt;5,VLOOKUP(Info!$C$10,Rates!$A$15:$C$19,3,FALSE),VLOOKUP(Info!$C$10,Rates!$A$15:$D$19,4,FALSE)))+(Info!$I$22-IF(AJ99&lt;3,VLOOKUP(Info!$C$10,Rates!$A$15:$B$19,2,FALSE),IF(AJ99&lt;5,VLOOKUP(Info!$C$10,Rates!$A$15:$C$19,3,FALSE),VLOOKUP(Info!$C$10,Rates!$A$15:$D$19,4,FALSE))))),0)</f>
        <v/>
      </c>
      <c r="D99" s="12">
        <f>IF(AI99&lt;&gt;"",E99,"")</f>
        <v/>
      </c>
      <c r="E99" s="12">
        <f>IF(AI99&lt;&gt;0,F99*(1+IF(AJ99&lt;3,VLOOKUP(Info!$C$10,Rates!$A$14:$B$19,2,FALSE),IF(AJ99&lt;5,VLOOKUP(Info!$C$10,Rates!$A$14:$C$19,3,FALSE),VLOOKUP(Info!$C$10,Rates!$A$14:$D$19,4,FALSE)))*LOOKUP(Info!$C$8,Rates!$I$2:$I$8,Rates!$G$2:$G$8))+E98*(1+IF(AJ99&lt;3,VLOOKUP(Info!$C$10,Rates!$A$14:$B$19,2,FALSE),IF(AJ99&lt;5,VLOOKUP(Info!$C$10,Rates!$A$14:$C$19,3,FALSE),VLOOKUP(Info!$C$10,Rates!$A$14:$D$19,4,FALSE)))),0)</f>
        <v/>
      </c>
      <c r="F99" s="12">
        <f>IF(AI99&lt;&gt;"",IF(Info!$C$16="بله",IF(AND(AJ99&lt;=Info!$F$20,AJ99&gt;=Info!$I$20),Info!$C$20,0)+(AG99-Y99-L99-K99-J99-I99-H99-G99),IF(AND(AJ99&lt;=Info!$F$20,AJ99&gt;=Info!$I$20),Info!$C$20,0)+(AG99-Y99-K99-J99-I99-H99-G99)),"")</f>
        <v/>
      </c>
      <c r="G99" s="107">
        <f>IF(AI99&lt;&gt;"",Rates!$AA$11*(L99),"")</f>
        <v/>
      </c>
      <c r="H99" s="107">
        <f>IF(AI99&lt;&gt;"",(Rates!$AC$11+Rates!$AB$11)*(L99),"")</f>
        <v/>
      </c>
      <c r="I99" s="12">
        <f>IF(AI99&lt;&gt;"",LOOKUP(Info!$C$8,Rates!$I$2:$I$7,Rates!$H$2:$H$7)*(J99+K99+L99+Y99),"")</f>
        <v/>
      </c>
      <c r="J99" s="12">
        <f>IF(N99="",0,N99)+IF(P99="",0,P99)+IF(Q99="",0,Q99)</f>
        <v/>
      </c>
      <c r="K99" s="12">
        <f>IF(Y99&lt;&gt;"",Info!$C$18*Y99,"")</f>
        <v/>
      </c>
      <c r="L99" s="12">
        <f>IF(R99="",0,R99)+IF(U99="",0,U99)+IF(W99="",0,W99)+IF(V99="",0,V99)+IF(T99="",0,T99)</f>
        <v/>
      </c>
      <c r="M99" s="12" t="n">
        <v>0</v>
      </c>
      <c r="N99" s="12" t="n">
        <v>0</v>
      </c>
      <c r="O99" s="12">
        <f>IF(AJ99&lt;=10,(1-Info!$C$25)*IF(OR(Info!$F$8&gt;0,Info!$F$10&gt;0),IF(0.75*$X$4&lt;=0.03*$AD$4,0.75*(X99-X98),0.03*(AD99-AD98)),0),"")</f>
        <v/>
      </c>
      <c r="P99" s="12">
        <f>IF(AJ99&lt;=5,IF(AI99&lt;&gt;"",0.002*AD99,"")*(1-Info!$I$25),0)</f>
        <v/>
      </c>
      <c r="Q99" s="12">
        <f>(1-Info!$F$25)*IF(AI99&lt;&gt;"",IF(Info!$C$16="بله",0.07*X99,0.07*AG99),"")</f>
        <v/>
      </c>
      <c r="R99" s="12">
        <f>IF(X99&lt;&gt;0,S99*X99,0)*(1-Info!$F$29)</f>
        <v/>
      </c>
      <c r="S99" s="107">
        <f>IF(Info!$I$14="خیر",0,IF(Info!$F$14="بله",IF(Info!$C$14=1,2.3,IF(Info!$C$14=2,3.3,4.3)),1))*IF(AND(AH99&lt;=Rates!$Y$8,AH99&gt;0),(1+Info!$C$18)*(1+LOOKUP(Info!$F$18,Rates!$O$2:$O$9,Rates!$L$2:$L$9)/100)*(LOOKUP(Info!$C$6,Rates!$T$2:$T$108,Rates!$R$2:$R$108)/100),0)</f>
        <v/>
      </c>
      <c r="T99" s="12">
        <f>IF(AI99&lt;71,(1-Info!$F$27)*((AB99*0.0008*(1+(LOOKUP(Info!$I$18,Rates!$O$2:$O$9,Rates!$M$2:$M$9)/100)))),0)</f>
        <v/>
      </c>
      <c r="U99" s="12">
        <f>IF(AI99&lt;71,(1-Info!$I$27)*(((AD99*0.0008*Info!$L$14))*(1+(LOOKUP(Info!$I$18,Rates!$O:$O,Rates!$N:$N)/100))),0)</f>
        <v/>
      </c>
      <c r="V99" s="12">
        <f>((Z99*0.0008))*(1+(LOOKUP(Info!$I$18,Rates!$O$2:$O$9,Rates!$M$2:$M$9)/100))*(1-Info!$C$27)</f>
        <v/>
      </c>
      <c r="W99" s="12">
        <f>IF(AND(AI99&lt;=Rates!$Y$2,AJ99&lt;=Info!$I$6,Info!$F$16="معمولی"),VLOOKUP(AI99,Rates!$T$1:$X$108,5,0),IF(AND(AI99&lt;=Rates!$Y$2,AJ99&lt;=Info!$I$6,Info!$F$16="پایه"),VLOOKUP(AI99,Rates!$T$1:$X$108,2,0),IF(AND(AI99&lt;=Rates!$Y$2,AJ99&lt;=Info!$I$6,Info!$F$16="آسایش "),VLOOKUP(AI99,Rates!$T$1:$X$108,3,0),IF(AND(AI99&lt;=Rates!$Y$2,AJ99&lt;=Info!$I$6,Info!$F$16="ممتاز"),VLOOKUP(AI99,Rates!$T$1:$X$108,4,0),0))))*AA99/1000000*(1+Info!$C$18)*(1-Info!$I$29)</f>
        <v/>
      </c>
      <c r="X99" s="12">
        <f>IF(Info!$C$16="بله",(AG99-W99-U99-V99-T99)/(1+S99),AG99)</f>
        <v/>
      </c>
      <c r="Y99" s="107">
        <f>IF(AI99&lt;&gt;0,(AD99*LOOKUP(AI99,Rates!$T$2:$T$108,Rates!$S$2:$S$108))/SQRT(1.1),0)</f>
        <v/>
      </c>
      <c r="Z99" s="107">
        <f>IF(AND(AI99&lt;=Rates!$Y$10,AI99&gt;=0),Info!$C$12*(AC99-AD99),0)</f>
        <v/>
      </c>
      <c r="AA99" s="12">
        <f>IF(AND(AI99&gt;=0,AI99&lt;=Rates!$Y$2,AG99&gt;0),MIN(AA98*(1+Info!$F$10),5000000000),0)</f>
        <v/>
      </c>
      <c r="AB99" s="107">
        <f>IF(AND(AI99&gt;=0,AI99&lt;=65),AD99*Info!$L$16,0)</f>
        <v/>
      </c>
      <c r="AC99" s="12">
        <f>IF(AND(AI99&gt;=0,AI99&lt;=Rates!$Y$3),AD99*(1+Info!$L$14),AD99)</f>
        <v/>
      </c>
      <c r="AD99" s="107">
        <f>IF(AI99&lt;&gt;0,AD98*(1+Info!$F$10),0)</f>
        <v/>
      </c>
      <c r="AE99" s="104">
        <f>IF(AI99&lt;&gt;0,AF99+AE98,0)</f>
        <v/>
      </c>
      <c r="AF99" s="12">
        <f>IF(AI99&gt;=0,IF(Info!$C$16="بله",AG99,AG99+L99),"")</f>
        <v/>
      </c>
      <c r="AG99" s="107">
        <f>IF(AI99&lt;&gt;0,AG98*(1+Info!$F$8),0)</f>
        <v/>
      </c>
      <c r="AH99" s="110">
        <f>IF(AJ99&lt;&gt;"",Info!$C$6+AJ99-1,0)</f>
        <v/>
      </c>
      <c r="AI99" s="14">
        <f>IF(AJ99&lt;&gt;"",IF(Info!$F$6+AJ99-1&lt;=Rates!$Y$11,Info!$F$6+AJ99-1,0),0)</f>
        <v/>
      </c>
      <c r="AJ99" s="15">
        <f>IF(AI98&lt;&gt;"",IF(AND(AJ98&lt;&gt;"",AI98+1&lt;=Rates!$Y$11),IF(AJ98&lt;&gt;0,IF(AJ98+1&lt;=Info!$I$6,AJ98+1,""),0),""),"")</f>
        <v/>
      </c>
    </row>
    <row r="100">
      <c r="A100" s="264" t="inlineStr">
        <is>
          <t>Made By: POUYAN HEIDARI HERIS</t>
        </is>
      </c>
      <c r="B100" s="16">
        <f>IF(AND(AI100&gt;=0,AJ100&lt;=Info!$I$6),LOOKUP(Info!$C$8,Rates!$I$2:$I$7,Rates!$F$2:$F$7),0)</f>
        <v/>
      </c>
      <c r="C100" s="13">
        <f>IF(AND(AI100&gt;=0,AJ100&lt;=Info!$I$6),F100+F100*(IF(AJ100&lt;3,VLOOKUP(Info!$C$10,Rates!$A$15:$B$19,2,FALSE),IF(AJ100&lt;5,VLOOKUP(Info!$C$10,Rates!$A$15:$C$19,3,FALSE),VLOOKUP(Info!$C$10,Rates!$A$15:$D$19,4,FALSE)))+(Info!$I$22-IF(AJ100&gt;4,LOOKUP(Info!$C$10,Rates!$D$2:$D$7,Rates!$A$2:$A$7),LOOKUP(Info!$C$10,Rates!$D$2:$D$7,Rates!$C$2:$C$7))))*LOOKUP(Info!$C$8,Rates!$I$2:$I$7,Rates!$G$2:$G$7)+C99*(1+IF(AJ100&lt;3,VLOOKUP(Info!$C$10,Rates!$A$15:$B$19,2,FALSE),IF(AJ100&lt;5,VLOOKUP(Info!$C$10,Rates!$A$15:$C$19,3,FALSE),VLOOKUP(Info!$C$10,Rates!$A$15:$D$19,4,FALSE)))+(Info!$I$22-IF(AJ100&lt;3,VLOOKUP(Info!$C$10,Rates!$A$15:$B$19,2,FALSE),IF(AJ100&lt;5,VLOOKUP(Info!$C$10,Rates!$A$15:$C$19,3,FALSE),VLOOKUP(Info!$C$10,Rates!$A$15:$D$19,4,FALSE))))),0)</f>
        <v/>
      </c>
      <c r="D100" s="13">
        <f>IF(AI100&lt;&gt;"",E100,"")</f>
        <v/>
      </c>
      <c r="E100" s="12">
        <f>IF(AI100&lt;&gt;0,F100*(1+IF(AJ100&lt;3,VLOOKUP(Info!$C$10,Rates!$A$14:$B$19,2,FALSE),IF(AJ100&lt;5,VLOOKUP(Info!$C$10,Rates!$A$14:$C$19,3,FALSE),VLOOKUP(Info!$C$10,Rates!$A$14:$D$19,4,FALSE)))*LOOKUP(Info!$C$8,Rates!$I$2:$I$8,Rates!$G$2:$G$8))+E99*(1+IF(AJ100&lt;3,VLOOKUP(Info!$C$10,Rates!$A$14:$B$19,2,FALSE),IF(AJ100&lt;5,VLOOKUP(Info!$C$10,Rates!$A$14:$C$19,3,FALSE),VLOOKUP(Info!$C$10,Rates!$A$14:$D$19,4,FALSE)))),0)</f>
        <v/>
      </c>
      <c r="F100" s="13">
        <f>IF(AI100&lt;&gt;"",IF(Info!$C$16="بله",IF(AND(AJ100&lt;=Info!$F$20,AJ100&gt;=Info!$I$20),Info!$C$20,0)+(AG100-Y100-L100-K100-J100-I100-H100-G100),IF(AND(AJ100&lt;=Info!$F$20,AJ100&gt;=Info!$I$20),Info!$C$20,0)+(AG100-Y100-K100-J100-I100-H100-G100)),"")</f>
        <v/>
      </c>
      <c r="G100" s="106">
        <f>IF(AI100&lt;&gt;"",Rates!$AA$11*(L100),"")</f>
        <v/>
      </c>
      <c r="H100" s="106">
        <f>IF(AI100&lt;&gt;"",(Rates!$AC$11+Rates!$AB$11)*(L100),"")</f>
        <v/>
      </c>
      <c r="I100" s="13">
        <f>IF(AI100&lt;&gt;"",LOOKUP(Info!$C$8,Rates!$I$2:$I$7,Rates!$H$2:$H$7)*(J100+K100+L100+Y100),"")</f>
        <v/>
      </c>
      <c r="J100" s="13">
        <f>IF(N100="",0,N100)+IF(P100="",0,P100)+IF(Q100="",0,Q100)</f>
        <v/>
      </c>
      <c r="K100" s="13">
        <f>IF(Y100&lt;&gt;"",Info!$C$18*Y100,"")</f>
        <v/>
      </c>
      <c r="L100" s="13">
        <f>IF(R100="",0,R100)+IF(U100="",0,U100)+IF(W100="",0,W100)+IF(V100="",0,V100)+IF(T100="",0,T100)</f>
        <v/>
      </c>
      <c r="M100" s="13" t="n">
        <v>0</v>
      </c>
      <c r="N100" s="13" t="n">
        <v>0</v>
      </c>
      <c r="O100" s="12">
        <f>IF(AJ100&lt;=10,(1-Info!$C$25)*IF(OR(Info!$F$8&gt;0,Info!$F$10&gt;0),IF(0.75*$X$4&lt;=0.03*$AD$4,0.75*(X100-X99),0.03*(AD100-AD99)),0),"")</f>
        <v/>
      </c>
      <c r="P100" s="13">
        <f>IF(AJ100&lt;=5,IF(AI100&lt;&gt;"",0.002*AD100,"")*(1-Info!$I$25),0)</f>
        <v/>
      </c>
      <c r="Q100" s="13">
        <f>(1-Info!$F$25)*IF(AI100&lt;&gt;"",IF(Info!$C$16="بله",0.07*X100,0.07*AG100),"")</f>
        <v/>
      </c>
      <c r="R100" s="13">
        <f>IF(X100&lt;&gt;0,S100*X100,0)*(1-Info!$F$29)</f>
        <v/>
      </c>
      <c r="S100" s="106">
        <f>IF(Info!$I$14="خیر",0,IF(Info!$F$14="بله",IF(Info!$C$14=1,2.3,IF(Info!$C$14=2,3.3,4.3)),1))*IF(AND(AH100&lt;=Rates!$Y$8,AH100&gt;0),(1+Info!$C$18)*(1+LOOKUP(Info!$F$18,Rates!$O$2:$O$9,Rates!$L$2:$L$9)/100)*(LOOKUP(Info!$C$6,Rates!$T$2:$T$108,Rates!$R$2:$R$108)/100),0)</f>
        <v/>
      </c>
      <c r="T100" s="13">
        <f>IF(AI100&lt;71,(1-Info!$F$27)*((AB100*0.0008*(1+(LOOKUP(Info!$I$18,Rates!$O$2:$O$9,Rates!$M$2:$M$9)/100)))),0)</f>
        <v/>
      </c>
      <c r="U100" s="13">
        <f>IF(AI100&lt;71,(1-Info!$I$27)*(((AD100*0.0008*Info!$L$14))*(1+(LOOKUP(Info!$I$18,Rates!$O:$O,Rates!$N:$N)/100))),0)</f>
        <v/>
      </c>
      <c r="V100" s="13">
        <f>((Z100*0.0008))*(1+(LOOKUP(Info!$I$18,Rates!$O$2:$O$9,Rates!$M$2:$M$9)/100))*(1-Info!$C$27)</f>
        <v/>
      </c>
      <c r="W100" s="13">
        <f>IF(AND(AI100&lt;=Rates!$Y$2,AJ100&lt;=Info!$I$6,Info!$F$16="معمولی"),VLOOKUP(AI100,Rates!$T$1:$X$108,5,0),IF(AND(AI100&lt;=Rates!$Y$2,AJ100&lt;=Info!$I$6,Info!$F$16="پایه"),VLOOKUP(AI100,Rates!$T$1:$X$108,2,0),IF(AND(AI100&lt;=Rates!$Y$2,AJ100&lt;=Info!$I$6,Info!$F$16="آسایش "),VLOOKUP(AI100,Rates!$T$1:$X$108,3,0),IF(AND(AI100&lt;=Rates!$Y$2,AJ100&lt;=Info!$I$6,Info!$F$16="ممتاز"),VLOOKUP(AI100,Rates!$T$1:$X$108,4,0),0))))*AA100/1000000*(1+Info!$C$18)*(1-Info!$I$29)</f>
        <v/>
      </c>
      <c r="X100" s="113">
        <f>IF(Info!$C$16="بله",(AG100-W100-U100-V100-T100)/(1+S100),AG100)</f>
        <v/>
      </c>
      <c r="Y100" s="106">
        <f>IF(AI100&lt;&gt;0,(AD100*LOOKUP(AI100,Rates!$T$2:$T$108,Rates!$S$2:$S$108))/SQRT(1.1),0)</f>
        <v/>
      </c>
      <c r="Z100" s="106">
        <f>IF(AND(AI100&lt;=Rates!$Y$10,AI100&gt;=0),Info!$C$12*(AC100-AD100),0)</f>
        <v/>
      </c>
      <c r="AA100" s="13">
        <f>IF(AND(AI100&gt;=0,AI100&lt;=Rates!$Y$2,AG100&gt;0),MIN(AA99*(1+Info!$F$10),5000000000),0)</f>
        <v/>
      </c>
      <c r="AB100" s="106">
        <f>IF(AND(AI100&gt;=0,AI100&lt;=65),AD100*Info!$L$16,0)</f>
        <v/>
      </c>
      <c r="AC100" s="13">
        <f>IF(AND(AI100&gt;=0,AI100&lt;=Rates!$Y$3),AD100*(1+Info!$L$14),AD100)</f>
        <v/>
      </c>
      <c r="AD100" s="106">
        <f>IF(AI100&lt;&gt;0,AD99*(1+Info!$F$10),0)</f>
        <v/>
      </c>
      <c r="AE100" s="105">
        <f>IF(AI100&lt;&gt;0,AF100+AE99,0)</f>
        <v/>
      </c>
      <c r="AF100" s="13">
        <f>IF(AI100&gt;=0,IF(Info!$C$16="بله",AG100,AG100+L100),"")</f>
        <v/>
      </c>
      <c r="AG100" s="107">
        <f>IF(AI100&lt;&gt;0,AG99*(1+Info!$F$8),0)</f>
        <v/>
      </c>
      <c r="AH100" s="111">
        <f>IF(AJ100&lt;&gt;"",Info!$C$6+AJ100-1,0)</f>
        <v/>
      </c>
      <c r="AI100" s="17">
        <f>IF(AJ100&lt;&gt;"",IF(Info!$F$6+AJ100-1&lt;=Rates!$Y$11,Info!$F$6+AJ100-1,0),0)</f>
        <v/>
      </c>
      <c r="AJ100" s="18">
        <f>IF(AI99&lt;&gt;"",IF(AND(AJ99&lt;&gt;"",AI99+1&lt;=Rates!$Y$11),IF(AJ99&lt;&gt;0,IF(AJ99+1&lt;=Info!$I$6,AJ99+1,""),0),""),"")</f>
        <v/>
      </c>
    </row>
    <row r="101">
      <c r="A101" s="11">
        <f>IF(B101&gt;0,IF(Info!$C$16="بله",AG101/B101,(AG101+L101)/B101),0)</f>
        <v/>
      </c>
      <c r="B101" s="11">
        <f>IF(AND(AI101&gt;=0,AJ101&lt;=Info!$I$6),LOOKUP(Info!$C$8,Rates!$I$2:$I$7,Rates!$F$2:$F$7),0)</f>
        <v/>
      </c>
      <c r="C101" s="12">
        <f>IF(AND(AI101&gt;=0,AJ101&lt;=Info!$I$6),F101+F101*(IF(AJ101&lt;3,VLOOKUP(Info!$C$10,Rates!$A$15:$B$19,2,FALSE),IF(AJ101&lt;5,VLOOKUP(Info!$C$10,Rates!$A$15:$C$19,3,FALSE),VLOOKUP(Info!$C$10,Rates!$A$15:$D$19,4,FALSE)))+(Info!$I$22-IF(AJ101&gt;4,LOOKUP(Info!$C$10,Rates!$D$2:$D$7,Rates!$A$2:$A$7),LOOKUP(Info!$C$10,Rates!$D$2:$D$7,Rates!$C$2:$C$7))))*LOOKUP(Info!$C$8,Rates!$I$2:$I$7,Rates!$G$2:$G$7)+C100*(1+IF(AJ101&lt;3,VLOOKUP(Info!$C$10,Rates!$A$15:$B$19,2,FALSE),IF(AJ101&lt;5,VLOOKUP(Info!$C$10,Rates!$A$15:$C$19,3,FALSE),VLOOKUP(Info!$C$10,Rates!$A$15:$D$19,4,FALSE)))+(Info!$I$22-IF(AJ101&lt;3,VLOOKUP(Info!$C$10,Rates!$A$15:$B$19,2,FALSE),IF(AJ101&lt;5,VLOOKUP(Info!$C$10,Rates!$A$15:$C$19,3,FALSE),VLOOKUP(Info!$C$10,Rates!$A$15:$D$19,4,FALSE))))),0)</f>
        <v/>
      </c>
      <c r="D101" s="12">
        <f>IF(AI101&lt;&gt;"",E101,"")</f>
        <v/>
      </c>
      <c r="E101" s="12">
        <f>IF(AI101&lt;&gt;0,F101*(1+IF(AJ101&lt;3,VLOOKUP(Info!$C$10,Rates!$A$14:$B$19,2,FALSE),IF(AJ101&lt;5,VLOOKUP(Info!$C$10,Rates!$A$14:$C$19,3,FALSE),VLOOKUP(Info!$C$10,Rates!$A$14:$D$19,4,FALSE)))*LOOKUP(Info!$C$8,Rates!$I$2:$I$8,Rates!$G$2:$G$8))+E100*(1+IF(AJ101&lt;3,VLOOKUP(Info!$C$10,Rates!$A$14:$B$19,2,FALSE),IF(AJ101&lt;5,VLOOKUP(Info!$C$10,Rates!$A$14:$C$19,3,FALSE),VLOOKUP(Info!$C$10,Rates!$A$14:$D$19,4,FALSE)))),0)</f>
        <v/>
      </c>
      <c r="F101" s="12">
        <f>IF(AI101&lt;&gt;"",IF(Info!$C$16="بله",IF(AND(AJ101&lt;=Info!$F$20,AJ101&gt;=Info!$I$20),Info!$C$20,0)+(AG101-Y101-L101-K101-J101-I101-H101-G101),IF(AND(AJ101&lt;=Info!$F$20,AJ101&gt;=Info!$I$20),Info!$C$20,0)+(AG101-Y101-K101-J101-I101-H101-G101)),"")</f>
        <v/>
      </c>
      <c r="G101" s="107">
        <f>IF(AI101&lt;&gt;"",Rates!$AA$11*(L101),"")</f>
        <v/>
      </c>
      <c r="H101" s="107">
        <f>IF(AI101&lt;&gt;"",(Rates!$AC$11+Rates!$AB$11)*(L101),"")</f>
        <v/>
      </c>
      <c r="I101" s="12">
        <f>IF(AI101&lt;&gt;"",LOOKUP(Info!$C$8,Rates!$I$2:$I$7,Rates!$H$2:$H$7)*(J101+K101+L101+Y101),"")</f>
        <v/>
      </c>
      <c r="J101" s="12">
        <f>IF(N101="",0,N101)+IF(P101="",0,P101)+IF(Q101="",0,Q101)</f>
        <v/>
      </c>
      <c r="K101" s="12">
        <f>IF(Y101&lt;&gt;"",Info!$C$18*Y101,"")</f>
        <v/>
      </c>
      <c r="L101" s="12">
        <f>IF(R101="",0,R101)+IF(U101="",0,U101)+IF(W101="",0,W101)+IF(V101="",0,V101)+IF(T101="",0,T101)</f>
        <v/>
      </c>
      <c r="M101" s="12" t="n">
        <v>0</v>
      </c>
      <c r="N101" s="12" t="n">
        <v>0</v>
      </c>
      <c r="O101" s="12">
        <f>IF(AJ101&lt;=10,(1-Info!$C$25)*IF(OR(Info!$F$8&gt;0,Info!$F$10&gt;0),IF(0.75*$X$4&lt;=0.03*$AD$4,0.75*(X101-X100),0.03*(AD101-AD100)),0),"")</f>
        <v/>
      </c>
      <c r="P101" s="12">
        <f>IF(AJ101&lt;=5,IF(AI101&lt;&gt;"",0.002*AD101,"")*(1-Info!$I$25),0)</f>
        <v/>
      </c>
      <c r="Q101" s="12">
        <f>(1-Info!$F$25)*IF(AI101&lt;&gt;"",IF(Info!$C$16="بله",0.07*X101,0.07*AG101),"")</f>
        <v/>
      </c>
      <c r="R101" s="12">
        <f>IF(X101&lt;&gt;0,S101*X101,0)*(1-Info!$F$29)</f>
        <v/>
      </c>
      <c r="S101" s="107">
        <f>IF(Info!$I$14="خیر",0,IF(Info!$F$14="بله",IF(Info!$C$14=1,2.3,IF(Info!$C$14=2,3.3,4.3)),1))*IF(AND(AH101&lt;=Rates!$Y$8,AH101&gt;0),(1+Info!$C$18)*(1+LOOKUP(Info!$F$18,Rates!$O$2:$O$9,Rates!$L$2:$L$9)/100)*(LOOKUP(Info!$C$6,Rates!$T$2:$T$108,Rates!$R$2:$R$108)/100),0)</f>
        <v/>
      </c>
      <c r="T101" s="12">
        <f>IF(AI101&lt;71,(1-Info!$F$27)*((AB101*0.0008*(1+(LOOKUP(Info!$I$18,Rates!$O$2:$O$9,Rates!$M$2:$M$9)/100)))),0)</f>
        <v/>
      </c>
      <c r="U101" s="12">
        <f>IF(AI101&lt;71,(1-Info!$I$27)*(((AD101*0.0008*Info!$L$14))*(1+(LOOKUP(Info!$I$18,Rates!$O:$O,Rates!$N:$N)/100))),0)</f>
        <v/>
      </c>
      <c r="V101" s="12">
        <f>((Z101*0.0008))*(1+(LOOKUP(Info!$I$18,Rates!$O$2:$O$9,Rates!$M$2:$M$9)/100))*(1-Info!$C$27)</f>
        <v/>
      </c>
      <c r="W101" s="12">
        <f>IF(AND(AI101&lt;=Rates!$Y$2,AJ101&lt;=Info!$I$6,Info!$F$16="معمولی"),VLOOKUP(AI101,Rates!$T$1:$X$108,5,0),IF(AND(AI101&lt;=Rates!$Y$2,AJ101&lt;=Info!$I$6,Info!$F$16="پایه"),VLOOKUP(AI101,Rates!$T$1:$X$108,2,0),IF(AND(AI101&lt;=Rates!$Y$2,AJ101&lt;=Info!$I$6,Info!$F$16="آسایش "),VLOOKUP(AI101,Rates!$T$1:$X$108,3,0),IF(AND(AI101&lt;=Rates!$Y$2,AJ101&lt;=Info!$I$6,Info!$F$16="ممتاز"),VLOOKUP(AI101,Rates!$T$1:$X$108,4,0),0))))*AA101/1000000*(1+Info!$C$18)*(1-Info!$I$29)</f>
        <v/>
      </c>
      <c r="X101" s="12">
        <f>IF(Info!$C$16="بله",(AG101-W101-U101-V101-T101)/(1+S101),AG101)</f>
        <v/>
      </c>
      <c r="Y101" s="107">
        <f>IF(AI101&lt;&gt;0,(AD101*LOOKUP(AI101,Rates!$T$2:$T$108,Rates!$S$2:$S$108))/SQRT(1.1),0)</f>
        <v/>
      </c>
      <c r="Z101" s="107">
        <f>IF(AND(AI101&lt;=Rates!$Y$10,AI101&gt;=0),Info!$C$12*(AC101-AD101),0)</f>
        <v/>
      </c>
      <c r="AA101" s="12">
        <f>IF(AND(AI101&gt;=0,AI101&lt;=Rates!$Y$2,AG101&gt;0),MIN(AA100*(1+Info!$F$10),5000000000),0)</f>
        <v/>
      </c>
      <c r="AB101" s="107">
        <f>IF(AND(AI101&gt;=0,AI101&lt;=65),AD101*Info!$L$16,0)</f>
        <v/>
      </c>
      <c r="AC101" s="12">
        <f>IF(AND(AI101&gt;=0,AI101&lt;=Rates!$Y$3),AD101*(1+Info!$L$14),AD101)</f>
        <v/>
      </c>
      <c r="AD101" s="107">
        <f>IF(AI101&lt;&gt;0,AD100*(1+Info!$F$10),0)</f>
        <v/>
      </c>
      <c r="AE101" s="104">
        <f>IF(AI101&lt;&gt;0,AF101+AE100,0)</f>
        <v/>
      </c>
      <c r="AF101" s="12">
        <f>IF(AI101&gt;=0,IF(Info!$C$16="بله",AG101,AG101+L101),"")</f>
        <v/>
      </c>
      <c r="AG101" s="107">
        <f>IF(AI101&lt;&gt;0,AG100*(1+Info!$F$8),0)</f>
        <v/>
      </c>
      <c r="AH101" s="110">
        <f>IF(AJ101&lt;&gt;"",Info!$C$6+AJ101-1,0)</f>
        <v/>
      </c>
      <c r="AI101" s="14">
        <f>IF(AJ101&lt;&gt;"",IF(Info!$F$6+AJ101-1&lt;=Rates!$Y$11,Info!$F$6+AJ101-1,0),0)</f>
        <v/>
      </c>
      <c r="AJ101" s="15">
        <f>IF(AI100&lt;&gt;"",IF(AND(AJ100&lt;&gt;"",AI100+1&lt;=Rates!$Y$11),IF(AJ100&lt;&gt;0,IF(AJ100+1&lt;=Info!$I$6,AJ100+1,""),0),""),"")</f>
        <v/>
      </c>
    </row>
    <row r="102">
      <c r="A102" s="16">
        <f>IF(B102&gt;0,IF(Info!$C$16="بله",AG102/B102,(AG102+L102)/B102),0)</f>
        <v/>
      </c>
      <c r="B102" s="16">
        <f>IF(AND(AI102&gt;=0,AJ102&lt;=Info!$I$6),LOOKUP(Info!$C$8,Rates!$I$2:$I$7,Rates!$F$2:$F$7),0)</f>
        <v/>
      </c>
      <c r="C102" s="13">
        <f>IF(AND(AI102&gt;=0,AJ102&lt;=Info!$I$6),F102+F102*(IF(AJ102&lt;3,VLOOKUP(Info!$C$10,Rates!$A$15:$B$19,2,FALSE),IF(AJ102&lt;5,VLOOKUP(Info!$C$10,Rates!$A$15:$C$19,3,FALSE),VLOOKUP(Info!$C$10,Rates!$A$15:$D$19,4,FALSE)))+(Info!$I$22-IF(AJ102&gt;4,LOOKUP(Info!$C$10,Rates!$D$2:$D$7,Rates!$A$2:$A$7),LOOKUP(Info!$C$10,Rates!$D$2:$D$7,Rates!$C$2:$C$7))))*LOOKUP(Info!$C$8,Rates!$I$2:$I$7,Rates!$G$2:$G$7)+C101*(1+IF(AJ102&lt;3,VLOOKUP(Info!$C$10,Rates!$A$15:$B$19,2,FALSE),IF(AJ102&lt;5,VLOOKUP(Info!$C$10,Rates!$A$15:$C$19,3,FALSE),VLOOKUP(Info!$C$10,Rates!$A$15:$D$19,4,FALSE)))+(Info!$I$22-IF(AJ102&lt;3,VLOOKUP(Info!$C$10,Rates!$A$15:$B$19,2,FALSE),IF(AJ102&lt;5,VLOOKUP(Info!$C$10,Rates!$A$15:$C$19,3,FALSE),VLOOKUP(Info!$C$10,Rates!$A$15:$D$19,4,FALSE))))),0)</f>
        <v/>
      </c>
      <c r="D102" s="13">
        <f>IF(AI102&lt;&gt;"",E102,"")</f>
        <v/>
      </c>
      <c r="E102" s="12">
        <f>IF(AI102&lt;&gt;0,F102*(1+IF(AJ102&lt;3,VLOOKUP(Info!$C$10,Rates!$A$14:$B$19,2,FALSE),IF(AJ102&lt;5,VLOOKUP(Info!$C$10,Rates!$A$14:$C$19,3,FALSE),VLOOKUP(Info!$C$10,Rates!$A$14:$D$19,4,FALSE)))*LOOKUP(Info!$C$8,Rates!$I$2:$I$8,Rates!$G$2:$G$8))+E101*(1+IF(AJ102&lt;3,VLOOKUP(Info!$C$10,Rates!$A$14:$B$19,2,FALSE),IF(AJ102&lt;5,VLOOKUP(Info!$C$10,Rates!$A$14:$C$19,3,FALSE),VLOOKUP(Info!$C$10,Rates!$A$14:$D$19,4,FALSE)))),0)</f>
        <v/>
      </c>
      <c r="F102" s="13">
        <f>IF(AI102&lt;&gt;"",IF(Info!$C$16="بله",IF(AND(AJ102&lt;=Info!$F$20,AJ102&gt;=Info!$I$20),Info!$C$20,0)+(AG102-Y102-L102-K102-J102-I102-H102-G102),IF(AND(AJ102&lt;=Info!$F$20,AJ102&gt;=Info!$I$20),Info!$C$20,0)+(AG102-Y102-K102-J102-I102-H102-G102)),"")</f>
        <v/>
      </c>
      <c r="G102" s="106">
        <f>IF(AI102&lt;&gt;"",Rates!$AA$11*(L102),"")</f>
        <v/>
      </c>
      <c r="H102" s="106">
        <f>IF(AI102&lt;&gt;"",(Rates!$AC$11+Rates!$AB$11)*(L102),"")</f>
        <v/>
      </c>
      <c r="I102" s="13">
        <f>IF(AI102&lt;&gt;"",LOOKUP(Info!$C$8,Rates!$I$2:$I$7,Rates!$H$2:$H$7)*(J102+K102+L102+Y102),"")</f>
        <v/>
      </c>
      <c r="J102" s="13">
        <f>IF(N102="",0,N102)+IF(P102="",0,P102)+IF(Q102="",0,Q102)</f>
        <v/>
      </c>
      <c r="K102" s="13">
        <f>IF(Y102&lt;&gt;"",Info!$C$18*Y102,"")</f>
        <v/>
      </c>
      <c r="L102" s="13">
        <f>IF(R102="",0,R102)+IF(U102="",0,U102)+IF(W102="",0,W102)+IF(V102="",0,V102)+IF(T102="",0,T102)</f>
        <v/>
      </c>
      <c r="M102" s="13" t="n">
        <v>0</v>
      </c>
      <c r="N102" s="13" t="n">
        <v>0</v>
      </c>
      <c r="O102" s="12">
        <f>IF(AJ102&lt;=10,(1-Info!$C$25)*IF(OR(Info!$F$8&gt;0,Info!$F$10&gt;0),IF(0.75*$X$4&lt;=0.03*$AD$4,0.75*(X102-X101),0.03*(AD102-AD101)),0),"")</f>
        <v/>
      </c>
      <c r="P102" s="13">
        <f>IF(AJ102&lt;=5,IF(AI102&lt;&gt;"",0.002*AD102,"")*(1-Info!$I$25),0)</f>
        <v/>
      </c>
      <c r="Q102" s="13">
        <f>(1-Info!$F$25)*IF(AI102&lt;&gt;"",IF(Info!$C$16="بله",0.07*X102,0.07*AG102),"")</f>
        <v/>
      </c>
      <c r="R102" s="13">
        <f>IF(X102&lt;&gt;0,S102*X102,0)*(1-Info!$F$29)</f>
        <v/>
      </c>
      <c r="S102" s="106">
        <f>IF(Info!$I$14="خیر",0,IF(Info!$F$14="بله",IF(Info!$C$14=1,2.3,IF(Info!$C$14=2,3.3,4.3)),1))*IF(AND(AH102&lt;=Rates!$Y$8,AH102&gt;0),(1+Info!$C$18)*(1+LOOKUP(Info!$F$18,Rates!$O$2:$O$9,Rates!$L$2:$L$9)/100)*(LOOKUP(Info!$C$6,Rates!$T$2:$T$108,Rates!$R$2:$R$108)/100),0)</f>
        <v/>
      </c>
      <c r="T102" s="13">
        <f>IF(AI102&lt;71,(1-Info!$F$27)*((AB102*0.0008*(1+(LOOKUP(Info!$I$18,Rates!$O$2:$O$9,Rates!$M$2:$M$9)/100)))),0)</f>
        <v/>
      </c>
      <c r="U102" s="13">
        <f>IF(AI102&lt;71,(1-Info!$I$27)*(((AD102*0.0008*Info!$L$14))*(1+(LOOKUP(Info!$I$18,Rates!$O:$O,Rates!$N:$N)/100))),0)</f>
        <v/>
      </c>
      <c r="V102" s="13">
        <f>((Z102*0.0008))*(1+(LOOKUP(Info!$I$18,Rates!$O$2:$O$9,Rates!$M$2:$M$9)/100))*(1-Info!$C$27)</f>
        <v/>
      </c>
      <c r="W102" s="13">
        <f>IF(AND(AI102&lt;=Rates!$Y$2,AJ102&lt;=Info!$I$6,Info!$F$16="معمولی"),VLOOKUP(AI102,Rates!$T$1:$X$108,5,0),IF(AND(AI102&lt;=Rates!$Y$2,AJ102&lt;=Info!$I$6,Info!$F$16="پایه"),VLOOKUP(AI102,Rates!$T$1:$X$108,2,0),IF(AND(AI102&lt;=Rates!$Y$2,AJ102&lt;=Info!$I$6,Info!$F$16="آسایش "),VLOOKUP(AI102,Rates!$T$1:$X$108,3,0),IF(AND(AI102&lt;=Rates!$Y$2,AJ102&lt;=Info!$I$6,Info!$F$16="ممتاز"),VLOOKUP(AI102,Rates!$T$1:$X$108,4,0),0))))*AA102/1000000*(1+Info!$C$18)*(1-Info!$I$29)</f>
        <v/>
      </c>
      <c r="X102" s="113">
        <f>IF(Info!$C$16="بله",(AG102-W102-U102-V102-T102)/(1+S102),AG102)</f>
        <v/>
      </c>
      <c r="Y102" s="106">
        <f>IF(AI102&lt;&gt;0,(AD102*LOOKUP(AI102,Rates!$T$2:$T$108,Rates!$S$2:$S$108))/SQRT(1.1),0)</f>
        <v/>
      </c>
      <c r="Z102" s="106">
        <f>IF(AND(AI102&lt;=Rates!$Y$10,AI102&gt;=0),Info!$C$12*(AC102-AD102),0)</f>
        <v/>
      </c>
      <c r="AA102" s="13">
        <f>IF(AND(AI102&gt;=0,AI102&lt;=Rates!$Y$2,AG102&gt;0),MIN(AA101*(1+Info!$F$10),5000000000),0)</f>
        <v/>
      </c>
      <c r="AB102" s="106">
        <f>IF(AND(AI102&gt;=0,AI102&lt;=65),AD102*Info!$L$16,0)</f>
        <v/>
      </c>
      <c r="AC102" s="13">
        <f>IF(AND(AI102&gt;=0,AI102&lt;=Rates!$Y$3),AD102*(1+Info!$L$14),AD102)</f>
        <v/>
      </c>
      <c r="AD102" s="106">
        <f>IF(AI102&lt;&gt;0,AD101*(1+Info!$F$10),0)</f>
        <v/>
      </c>
      <c r="AE102" s="105">
        <f>IF(AI102&lt;&gt;0,AF102+AE101,0)</f>
        <v/>
      </c>
      <c r="AF102" s="13">
        <f>IF(AI102&gt;=0,IF(Info!$C$16="بله",AG102,AG102+L102),"")</f>
        <v/>
      </c>
      <c r="AG102" s="107">
        <f>IF(AI102&lt;&gt;0,AG101*(1+Info!$F$8),0)</f>
        <v/>
      </c>
      <c r="AH102" s="111">
        <f>IF(AJ102&lt;&gt;"",Info!$C$6+AJ102-1,0)</f>
        <v/>
      </c>
      <c r="AI102" s="17">
        <f>IF(AJ102&lt;&gt;"",IF(Info!$F$6+AJ102-1&lt;=Rates!$Y$11,Info!$F$6+AJ102-1,0),0)</f>
        <v/>
      </c>
      <c r="AJ102" s="18">
        <f>IF(AI101&lt;&gt;"",IF(AND(AJ101&lt;&gt;"",AI101+1&lt;=Rates!$Y$11),IF(AJ101&lt;&gt;0,IF(AJ101+1&lt;=Info!$I$6,AJ101+1,""),0),""),"")</f>
        <v/>
      </c>
    </row>
    <row r="103">
      <c r="A103" s="11">
        <f>IF(B103&gt;0,IF(Info!$C$16="بله",AG103/B103,(AG103+L103)/B103),0)</f>
        <v/>
      </c>
      <c r="B103" s="11">
        <f>IF(AND(AI103&gt;=0,AJ103&lt;=Info!$I$6),LOOKUP(Info!$C$8,Rates!$I$2:$I$7,Rates!$F$2:$F$7),0)</f>
        <v/>
      </c>
      <c r="C103" s="12">
        <f>IF(AND(AI103&gt;=0,AJ103&lt;=Info!$I$6),F103+F103*(IF(AJ103&lt;3,VLOOKUP(Info!$C$10,Rates!$A$15:$B$19,2,FALSE),IF(AJ103&lt;5,VLOOKUP(Info!$C$10,Rates!$A$15:$C$19,3,FALSE),VLOOKUP(Info!$C$10,Rates!$A$15:$D$19,4,FALSE)))+(Info!$I$22-IF(AJ103&gt;4,LOOKUP(Info!$C$10,Rates!$D$2:$D$7,Rates!$A$2:$A$7),LOOKUP(Info!$C$10,Rates!$D$2:$D$7,Rates!$C$2:$C$7))))*LOOKUP(Info!$C$8,Rates!$I$2:$I$7,Rates!$G$2:$G$7)+C102*(1+IF(AJ103&lt;3,VLOOKUP(Info!$C$10,Rates!$A$15:$B$19,2,FALSE),IF(AJ103&lt;5,VLOOKUP(Info!$C$10,Rates!$A$15:$C$19,3,FALSE),VLOOKUP(Info!$C$10,Rates!$A$15:$D$19,4,FALSE)))+(Info!$I$22-IF(AJ103&lt;3,VLOOKUP(Info!$C$10,Rates!$A$15:$B$19,2,FALSE),IF(AJ103&lt;5,VLOOKUP(Info!$C$10,Rates!$A$15:$C$19,3,FALSE),VLOOKUP(Info!$C$10,Rates!$A$15:$D$19,4,FALSE))))),0)</f>
        <v/>
      </c>
      <c r="D103" s="12">
        <f>IF(AI103&lt;&gt;"",E103,"")</f>
        <v/>
      </c>
      <c r="E103" s="12">
        <f>IF(AI103&lt;&gt;0,F103*(1+IF(AJ103&lt;3,VLOOKUP(Info!$C$10,Rates!$A$14:$B$19,2,FALSE),IF(AJ103&lt;5,VLOOKUP(Info!$C$10,Rates!$A$14:$C$19,3,FALSE),VLOOKUP(Info!$C$10,Rates!$A$14:$D$19,4,FALSE)))*LOOKUP(Info!$C$8,Rates!$I$2:$I$8,Rates!$G$2:$G$8))+E102*(1+IF(AJ103&lt;3,VLOOKUP(Info!$C$10,Rates!$A$14:$B$19,2,FALSE),IF(AJ103&lt;5,VLOOKUP(Info!$C$10,Rates!$A$14:$C$19,3,FALSE),VLOOKUP(Info!$C$10,Rates!$A$14:$D$19,4,FALSE)))),0)</f>
        <v/>
      </c>
      <c r="F103" s="12">
        <f>IF(AI103&lt;&gt;"",IF(Info!$C$16="بله",IF(AND(AJ103&lt;=Info!$F$20,AJ103&gt;=Info!$I$20),Info!$C$20,0)+(AG103-Y103-L103-K103-J103-I103-H103-G103),IF(AND(AJ103&lt;=Info!$F$20,AJ103&gt;=Info!$I$20),Info!$C$20,0)+(AG103-Y103-K103-J103-I103-H103-G103)),"")</f>
        <v/>
      </c>
      <c r="G103" s="107">
        <f>IF(AI103&lt;&gt;"",Rates!$AA$11*(L103),"")</f>
        <v/>
      </c>
      <c r="H103" s="107">
        <f>IF(AI103&lt;&gt;"",(Rates!$AC$11+Rates!$AB$11)*(L103),"")</f>
        <v/>
      </c>
      <c r="I103" s="12">
        <f>IF(AI103&lt;&gt;"",LOOKUP(Info!$C$8,Rates!$I$2:$I$7,Rates!$H$2:$H$7)*(J103+K103+L103+Y103),"")</f>
        <v/>
      </c>
      <c r="J103" s="12">
        <f>IF(N103="",0,N103)+IF(P103="",0,P103)+IF(Q103="",0,Q103)</f>
        <v/>
      </c>
      <c r="K103" s="12">
        <f>IF(Y103&lt;&gt;"",Info!$C$18*Y103,"")</f>
        <v/>
      </c>
      <c r="L103" s="12">
        <f>IF(R103="",0,R103)+IF(U103="",0,U103)+IF(W103="",0,W103)+IF(V103="",0,V103)+IF(T103="",0,T103)</f>
        <v/>
      </c>
      <c r="M103" s="12" t="n">
        <v>0</v>
      </c>
      <c r="N103" s="12" t="n">
        <v>0</v>
      </c>
      <c r="O103" s="12">
        <f>IF(AJ103&lt;=10,(1-Info!$C$25)*IF(OR(Info!$F$8&gt;0,Info!$F$10&gt;0),IF(0.75*$X$4&lt;=0.03*$AD$4,0.75*(X103-X102),0.03*(AD103-AD102)),0),"")</f>
        <v/>
      </c>
      <c r="P103" s="12">
        <f>IF(AJ103&lt;=5,IF(AI103&lt;&gt;"",0.002*AD103,"")*(1-Info!$I$25),0)</f>
        <v/>
      </c>
      <c r="Q103" s="12">
        <f>(1-Info!$F$25)*IF(AI103&lt;&gt;"",IF(Info!$C$16="بله",0.07*X103,0.07*AG103),"")</f>
        <v/>
      </c>
      <c r="R103" s="12">
        <f>IF(X103&lt;&gt;0,S103*X103,0)*(1-Info!$F$29)</f>
        <v/>
      </c>
      <c r="S103" s="107">
        <f>IF(Info!$I$14="خیر",0,IF(Info!$F$14="بله",IF(Info!$C$14=1,2.3,IF(Info!$C$14=2,3.3,4.3)),1))*IF(AND(AH103&lt;=Rates!$Y$8,AH103&gt;0),(1+Info!$C$18)*(1+LOOKUP(Info!$F$18,Rates!$O$2:$O$9,Rates!$L$2:$L$9)/100)*(LOOKUP(Info!$C$6,Rates!$T$2:$T$108,Rates!$R$2:$R$108)/100),0)</f>
        <v/>
      </c>
      <c r="T103" s="12">
        <f>IF(AI103&lt;71,(1-Info!$F$27)*((AB103*0.0008*(1+(LOOKUP(Info!$I$18,Rates!$O$2:$O$9,Rates!$M$2:$M$9)/100)))),0)</f>
        <v/>
      </c>
      <c r="U103" s="12">
        <f>IF(AI103&lt;71,(1-Info!$I$27)*(((AD103*0.0008*Info!$L$14))*(1+(LOOKUP(Info!$I$18,Rates!$O:$O,Rates!$N:$N)/100))),0)</f>
        <v/>
      </c>
      <c r="V103" s="12">
        <f>((Z103*0.0008))*(1+(LOOKUP(Info!$I$18,Rates!$O$2:$O$9,Rates!$M$2:$M$9)/100))*(1-Info!$C$27)</f>
        <v/>
      </c>
      <c r="W103" s="12">
        <f>IF(AND(AI103&lt;=Rates!$Y$2,AJ103&lt;=Info!$I$6,Info!$F$16="معمولی"),VLOOKUP(AI103,Rates!$T$1:$X$108,5,0),IF(AND(AI103&lt;=Rates!$Y$2,AJ103&lt;=Info!$I$6,Info!$F$16="پایه"),VLOOKUP(AI103,Rates!$T$1:$X$108,2,0),IF(AND(AI103&lt;=Rates!$Y$2,AJ103&lt;=Info!$I$6,Info!$F$16="آسایش "),VLOOKUP(AI103,Rates!$T$1:$X$108,3,0),IF(AND(AI103&lt;=Rates!$Y$2,AJ103&lt;=Info!$I$6,Info!$F$16="ممتاز"),VLOOKUP(AI103,Rates!$T$1:$X$108,4,0),0))))*AA103/1000000*(1+Info!$C$18)*(1-Info!$I$29)</f>
        <v/>
      </c>
      <c r="X103" s="12">
        <f>IF(Info!$C$16="بله",(AG103-W103-U103-V103-T103)/(1+S103),AG103)</f>
        <v/>
      </c>
      <c r="Y103" s="107">
        <f>IF(AI103&lt;&gt;0,(AD103*LOOKUP(AI103,Rates!$T$2:$T$108,Rates!$S$2:$S$108))/SQRT(1.1),0)</f>
        <v/>
      </c>
      <c r="Z103" s="107">
        <f>IF(AND(AI103&lt;=Rates!$Y$10,AI103&gt;=0),Info!$C$12*(AC103-AD103),0)</f>
        <v/>
      </c>
      <c r="AA103" s="12">
        <f>IF(AND(AI103&gt;=0,AI103&lt;=Rates!$Y$2,AG103&gt;0),MIN(AA102*(1+Info!$F$10),5000000000),0)</f>
        <v/>
      </c>
      <c r="AB103" s="107">
        <f>IF(AND(AI103&gt;=0,AI103&lt;=65),AD103*Info!$L$16,0)</f>
        <v/>
      </c>
      <c r="AC103" s="12">
        <f>IF(AND(AI103&gt;=0,AI103&lt;=Rates!$Y$3),AD103*(1+Info!$L$14),AD103)</f>
        <v/>
      </c>
      <c r="AD103" s="107">
        <f>IF(AI103&lt;&gt;0,AD102*(1+Info!$F$10),0)</f>
        <v/>
      </c>
      <c r="AE103" s="104">
        <f>IF(AI103&lt;&gt;0,AF103+AE102,0)</f>
        <v/>
      </c>
      <c r="AF103" s="12">
        <f>IF(AI103&gt;=0,IF(Info!$C$16="بله",AG103,AG103+L103),"")</f>
        <v/>
      </c>
      <c r="AG103" s="107">
        <f>IF(AI103&lt;&gt;0,AG102*(1+Info!$F$8),0)</f>
        <v/>
      </c>
      <c r="AH103" s="110">
        <f>IF(AJ103&lt;&gt;"",Info!$C$6+AJ103-1,0)</f>
        <v/>
      </c>
      <c r="AI103" s="14">
        <f>IF(AJ103&lt;&gt;"",IF(Info!$F$6+AJ103-1&lt;=Rates!$Y$11,Info!$F$6+AJ103-1,0),0)</f>
        <v/>
      </c>
      <c r="AJ103" s="15">
        <f>IF(AI102&lt;&gt;"",IF(AND(AJ102&lt;&gt;"",AI102+1&lt;=Rates!$Y$11),IF(AJ102&lt;&gt;0,IF(AJ102+1&lt;=Info!$I$6,AJ102+1,""),0),""),"")</f>
        <v/>
      </c>
    </row>
    <row r="104">
      <c r="A104" s="16">
        <f>IF(B104&gt;0,IF(Info!$C$16="بله",AG104/B104,(AG104+L104)/B104),0)</f>
        <v/>
      </c>
      <c r="B104" s="16">
        <f>IF(AND(AI104&gt;=0,AJ104&lt;=Info!$I$6),LOOKUP(Info!$C$8,Rates!$I$2:$I$7,Rates!$F$2:$F$7),0)</f>
        <v/>
      </c>
      <c r="C104" s="13">
        <f>IF(AND(AI104&gt;=0,AJ104&lt;=Info!$I$6),F104+F104*(IF(AJ104&lt;3,VLOOKUP(Info!$C$10,Rates!$A$15:$B$19,2,FALSE),IF(AJ104&lt;5,VLOOKUP(Info!$C$10,Rates!$A$15:$C$19,3,FALSE),VLOOKUP(Info!$C$10,Rates!$A$15:$D$19,4,FALSE)))+(Info!$I$22-IF(AJ104&gt;4,LOOKUP(Info!$C$10,Rates!$D$2:$D$7,Rates!$A$2:$A$7),LOOKUP(Info!$C$10,Rates!$D$2:$D$7,Rates!$C$2:$C$7))))*LOOKUP(Info!$C$8,Rates!$I$2:$I$7,Rates!$G$2:$G$7)+C103*(1+IF(AJ104&lt;3,VLOOKUP(Info!$C$10,Rates!$A$15:$B$19,2,FALSE),IF(AJ104&lt;5,VLOOKUP(Info!$C$10,Rates!$A$15:$C$19,3,FALSE),VLOOKUP(Info!$C$10,Rates!$A$15:$D$19,4,FALSE)))+(Info!$I$22-IF(AJ104&lt;3,VLOOKUP(Info!$C$10,Rates!$A$15:$B$19,2,FALSE),IF(AJ104&lt;5,VLOOKUP(Info!$C$10,Rates!$A$15:$C$19,3,FALSE),VLOOKUP(Info!$C$10,Rates!$A$15:$D$19,4,FALSE))))),0)</f>
        <v/>
      </c>
      <c r="D104" s="13">
        <f>IF(AI104&lt;&gt;"",E104,"")</f>
        <v/>
      </c>
      <c r="E104" s="12">
        <f>IF(AI104&lt;&gt;0,F104*(1+IF(AJ104&lt;3,VLOOKUP(Info!$C$10,Rates!$A$14:$B$19,2,FALSE),IF(AJ104&lt;5,VLOOKUP(Info!$C$10,Rates!$A$14:$C$19,3,FALSE),VLOOKUP(Info!$C$10,Rates!$A$14:$D$19,4,FALSE)))*LOOKUP(Info!$C$8,Rates!$I$2:$I$8,Rates!$G$2:$G$8))+E103*(1+IF(AJ104&lt;3,VLOOKUP(Info!$C$10,Rates!$A$14:$B$19,2,FALSE),IF(AJ104&lt;5,VLOOKUP(Info!$C$10,Rates!$A$14:$C$19,3,FALSE),VLOOKUP(Info!$C$10,Rates!$A$14:$D$19,4,FALSE)))),0)</f>
        <v/>
      </c>
      <c r="F104" s="13">
        <f>IF(AI104&lt;&gt;"",IF(Info!$C$16="بله",IF(AND(AJ104&lt;=Info!$F$20,AJ104&gt;=Info!$I$20),Info!$C$20,0)+(AG104-Y104-L104-K104-J104-I104-H104-G104),IF(AND(AJ104&lt;=Info!$F$20,AJ104&gt;=Info!$I$20),Info!$C$20,0)+(AG104-Y104-K104-J104-I104-H104-G104)),"")</f>
        <v/>
      </c>
      <c r="G104" s="106">
        <f>IF(AI104&lt;&gt;"",Rates!$AA$11*(L104),"")</f>
        <v/>
      </c>
      <c r="H104" s="106">
        <f>IF(AI104&lt;&gt;"",(Rates!$AC$11+Rates!$AB$11)*(L104),"")</f>
        <v/>
      </c>
      <c r="I104" s="13">
        <f>IF(AI104&lt;&gt;"",LOOKUP(Info!$C$8,Rates!$I$2:$I$7,Rates!$H$2:$H$7)*(J104+K104+L104+Y104),"")</f>
        <v/>
      </c>
      <c r="J104" s="13">
        <f>IF(N104="",0,N104)+IF(P104="",0,P104)+IF(Q104="",0,Q104)</f>
        <v/>
      </c>
      <c r="K104" s="13">
        <f>IF(Y104&lt;&gt;"",Info!$C$18*Y104,"")</f>
        <v/>
      </c>
      <c r="L104" s="13">
        <f>IF(R104="",0,R104)+IF(U104="",0,U104)+IF(W104="",0,W104)+IF(V104="",0,V104)+IF(T104="",0,T104)</f>
        <v/>
      </c>
      <c r="M104" s="13" t="n">
        <v>0</v>
      </c>
      <c r="N104" s="13" t="n">
        <v>0</v>
      </c>
      <c r="O104" s="12">
        <f>IF(AJ104&lt;=10,(1-Info!$C$25)*IF(OR(Info!$F$8&gt;0,Info!$F$10&gt;0),IF(0.75*$X$4&lt;=0.03*$AD$4,0.75*(X104-X103),0.03*(AD104-AD103)),0),"")</f>
        <v/>
      </c>
      <c r="P104" s="13">
        <f>IF(AJ104&lt;=5,IF(AI104&lt;&gt;"",0.002*AD104,"")*(1-Info!$I$25),0)</f>
        <v/>
      </c>
      <c r="Q104" s="13">
        <f>(1-Info!$F$25)*IF(AI104&lt;&gt;"",IF(Info!$C$16="بله",0.07*X104,0.07*AG104),"")</f>
        <v/>
      </c>
      <c r="R104" s="13">
        <f>IF(X104&lt;&gt;0,S104*X104,0)*(1-Info!$F$29)</f>
        <v/>
      </c>
      <c r="S104" s="106">
        <f>IF(Info!$I$14="خیر",0,IF(Info!$F$14="بله",IF(Info!$C$14=1,2.3,IF(Info!$C$14=2,3.3,4.3)),1))*IF(AND(AH104&lt;=Rates!$Y$8,AH104&gt;0),(1+Info!$C$18)*(1+LOOKUP(Info!$F$18,Rates!$O$2:$O$9,Rates!$L$2:$L$9)/100)*(LOOKUP(Info!$C$6,Rates!$T$2:$T$108,Rates!$R$2:$R$108)/100),0)</f>
        <v/>
      </c>
      <c r="T104" s="13">
        <f>IF(AI104&lt;71,(1-Info!$F$27)*((AB104*0.0008*(1+(LOOKUP(Info!$I$18,Rates!$O$2:$O$9,Rates!$M$2:$M$9)/100)))),0)</f>
        <v/>
      </c>
      <c r="U104" s="13">
        <f>IF(AI104&lt;71,(1-Info!$I$27)*(((AD104*0.0008*Info!$L$14))*(1+(LOOKUP(Info!$I$18,Rates!$O:$O,Rates!$N:$N)/100))),0)</f>
        <v/>
      </c>
      <c r="V104" s="13">
        <f>((Z104*0.0008))*(1+(LOOKUP(Info!$I$18,Rates!$O$2:$O$9,Rates!$M$2:$M$9)/100))*(1-Info!$C$27)</f>
        <v/>
      </c>
      <c r="W104" s="13">
        <f>IF(AND(AI104&lt;=Rates!$Y$2,AJ104&lt;=Info!$I$6,Info!$F$16="معمولی"),VLOOKUP(AI104,Rates!$T$1:$X$108,5,0),IF(AND(AI104&lt;=Rates!$Y$2,AJ104&lt;=Info!$I$6,Info!$F$16="پایه"),VLOOKUP(AI104,Rates!$T$1:$X$108,2,0),IF(AND(AI104&lt;=Rates!$Y$2,AJ104&lt;=Info!$I$6,Info!$F$16="آسایش "),VLOOKUP(AI104,Rates!$T$1:$X$108,3,0),IF(AND(AI104&lt;=Rates!$Y$2,AJ104&lt;=Info!$I$6,Info!$F$16="ممتاز"),VLOOKUP(AI104,Rates!$T$1:$X$108,4,0),0))))*AA104/1000000*(1+Info!$C$18)*(1-Info!$I$29)</f>
        <v/>
      </c>
      <c r="X104" s="113">
        <f>IF(Info!$C$16="بله",(AG104-W104-U104-V104-T104)/(1+S104),AG104)</f>
        <v/>
      </c>
      <c r="Y104" s="106">
        <f>IF(AI104&lt;&gt;0,(AD104*LOOKUP(AI104,Rates!$T$2:$T$108,Rates!$S$2:$S$108))/SQRT(1.1),0)</f>
        <v/>
      </c>
      <c r="Z104" s="106">
        <f>IF(AND(AI104&lt;=Rates!$Y$10,AI104&gt;=0),Info!$C$12*(AC104-AD104),0)</f>
        <v/>
      </c>
      <c r="AA104" s="13">
        <f>IF(AND(AI104&gt;=0,AI104&lt;=Rates!$Y$2,AG104&gt;0),MIN(AA103*(1+Info!$F$10),5000000000),0)</f>
        <v/>
      </c>
      <c r="AB104" s="106">
        <f>IF(AND(AI104&gt;=0,AI104&lt;=65),AD104*Info!$L$16,0)</f>
        <v/>
      </c>
      <c r="AC104" s="13">
        <f>IF(AND(AI104&gt;=0,AI104&lt;=Rates!$Y$3),AD104*(1+Info!$L$14),AD104)</f>
        <v/>
      </c>
      <c r="AD104" s="106">
        <f>IF(AI104&lt;&gt;0,AD103*(1+Info!$F$10),0)</f>
        <v/>
      </c>
      <c r="AE104" s="105">
        <f>IF(AI104&lt;&gt;0,AF104+AE103,0)</f>
        <v/>
      </c>
      <c r="AF104" s="13">
        <f>IF(AI104&gt;=0,IF(Info!$C$16="بله",AG104,AG104+L104),"")</f>
        <v/>
      </c>
      <c r="AG104" s="107">
        <f>IF(AI104&lt;&gt;0,AG103*(1+Info!$F$8),0)</f>
        <v/>
      </c>
      <c r="AH104" s="111">
        <f>IF(AJ104&lt;&gt;"",Info!$C$6+AJ104-1,0)</f>
        <v/>
      </c>
      <c r="AI104" s="17">
        <f>IF(AJ104&lt;&gt;"",IF(Info!$F$6+AJ104-1&lt;=Rates!$Y$11,Info!$F$6+AJ104-1,0),0)</f>
        <v/>
      </c>
      <c r="AJ104" s="18">
        <f>IF(AI103&lt;&gt;"",IF(AND(AJ103&lt;&gt;"",AI103+1&lt;=Rates!$Y$11),IF(AJ103&lt;&gt;0,IF(AJ103+1&lt;=Info!$I$6,AJ103+1,""),0),""),"")</f>
        <v/>
      </c>
    </row>
    <row r="105">
      <c r="A105" s="11">
        <f>IF(B105&gt;0,IF(Info!$C$16="بله",AG105/B105,(AG105+L105)/B105),0)</f>
        <v/>
      </c>
      <c r="B105" s="11">
        <f>IF(AND(AI105&gt;=0,AJ105&lt;=Info!$I$6),LOOKUP(Info!$C$8,Rates!$I$2:$I$7,Rates!$F$2:$F$7),0)</f>
        <v/>
      </c>
      <c r="C105" s="12">
        <f>IF(AND(AI105&gt;=0,AJ105&lt;=Info!$I$6),F105+F105*(IF(AJ105&lt;3,VLOOKUP(Info!$C$10,Rates!$A$15:$B$19,2,FALSE),IF(AJ105&lt;5,VLOOKUP(Info!$C$10,Rates!$A$15:$C$19,3,FALSE),VLOOKUP(Info!$C$10,Rates!$A$15:$D$19,4,FALSE)))+(Info!$I$22-IF(AJ105&gt;4,LOOKUP(Info!$C$10,Rates!$D$2:$D$7,Rates!$A$2:$A$7),LOOKUP(Info!$C$10,Rates!$D$2:$D$7,Rates!$C$2:$C$7))))*LOOKUP(Info!$C$8,Rates!$I$2:$I$7,Rates!$G$2:$G$7)+C104*(1+IF(AJ105&lt;3,VLOOKUP(Info!$C$10,Rates!$A$15:$B$19,2,FALSE),IF(AJ105&lt;5,VLOOKUP(Info!$C$10,Rates!$A$15:$C$19,3,FALSE),VLOOKUP(Info!$C$10,Rates!$A$15:$D$19,4,FALSE)))+(Info!$I$22-IF(AJ105&lt;3,VLOOKUP(Info!$C$10,Rates!$A$15:$B$19,2,FALSE),IF(AJ105&lt;5,VLOOKUP(Info!$C$10,Rates!$A$15:$C$19,3,FALSE),VLOOKUP(Info!$C$10,Rates!$A$15:$D$19,4,FALSE))))),0)</f>
        <v/>
      </c>
      <c r="D105" s="12">
        <f>IF(AI105&lt;&gt;"",E105,"")</f>
        <v/>
      </c>
      <c r="E105" s="12">
        <f>IF(AI105&lt;&gt;0,F105*(1+IF(AJ105&lt;3,VLOOKUP(Info!$C$10,Rates!$A$14:$B$19,2,FALSE),IF(AJ105&lt;5,VLOOKUP(Info!$C$10,Rates!$A$14:$C$19,3,FALSE),VLOOKUP(Info!$C$10,Rates!$A$14:$D$19,4,FALSE)))*LOOKUP(Info!$C$8,Rates!$I$2:$I$8,Rates!$G$2:$G$8))+E104*(1+IF(AJ105&lt;3,VLOOKUP(Info!$C$10,Rates!$A$14:$B$19,2,FALSE),IF(AJ105&lt;5,VLOOKUP(Info!$C$10,Rates!$A$14:$C$19,3,FALSE),VLOOKUP(Info!$C$10,Rates!$A$14:$D$19,4,FALSE)))),0)</f>
        <v/>
      </c>
      <c r="F105" s="12">
        <f>IF(AI105&lt;&gt;"",IF(Info!$C$16="بله",IF(AND(AJ105&lt;=Info!$F$20,AJ105&gt;=Info!$I$20),Info!$C$20,0)+(AG105-Y105-L105-K105-J105-I105-H105-G105),IF(AND(AJ105&lt;=Info!$F$20,AJ105&gt;=Info!$I$20),Info!$C$20,0)+(AG105-Y105-K105-J105-I105-H105-G105)),"")</f>
        <v/>
      </c>
      <c r="G105" s="107">
        <f>IF(AI105&lt;&gt;"",Rates!$AA$11*(L105),"")</f>
        <v/>
      </c>
      <c r="H105" s="107">
        <f>IF(AI105&lt;&gt;"",(Rates!$AC$11+Rates!$AB$11)*(L105),"")</f>
        <v/>
      </c>
      <c r="I105" s="12">
        <f>IF(AI105&lt;&gt;"",LOOKUP(Info!$C$8,Rates!$I$2:$I$7,Rates!$H$2:$H$7)*(J105+K105+L105+Y105),"")</f>
        <v/>
      </c>
      <c r="J105" s="12">
        <f>IF(N105="",0,N105)+IF(P105="",0,P105)+IF(Q105="",0,Q105)</f>
        <v/>
      </c>
      <c r="K105" s="12">
        <f>IF(Y105&lt;&gt;"",Info!$C$18*Y105,"")</f>
        <v/>
      </c>
      <c r="L105" s="12">
        <f>IF(R105="",0,R105)+IF(U105="",0,U105)+IF(W105="",0,W105)+IF(V105="",0,V105)+IF(T105="",0,T105)</f>
        <v/>
      </c>
      <c r="M105" s="12" t="n">
        <v>0</v>
      </c>
      <c r="N105" s="12" t="n">
        <v>0</v>
      </c>
      <c r="O105" s="12">
        <f>IF(AJ105&lt;=10,(1-Info!$C$25)*IF(OR(Info!$F$8&gt;0,Info!$F$10&gt;0),IF(0.75*$X$4&lt;=0.03*$AD$4,0.75*(X105-X104),0.03*(AD105-AD104)),0),"")</f>
        <v/>
      </c>
      <c r="P105" s="12">
        <f>IF(AJ105&lt;=5,IF(AI105&lt;&gt;"",0.002*AD105,"")*(1-Info!$I$25),0)</f>
        <v/>
      </c>
      <c r="Q105" s="12">
        <f>(1-Info!$F$25)*IF(AI105&lt;&gt;"",IF(Info!$C$16="بله",0.07*X105,0.07*AG105),"")</f>
        <v/>
      </c>
      <c r="R105" s="12">
        <f>IF(X105&lt;&gt;0,S105*X105,0)*(1-Info!$F$29)</f>
        <v/>
      </c>
      <c r="S105" s="107">
        <f>IF(Info!$I$14="خیر",0,IF(Info!$F$14="بله",IF(Info!$C$14=1,2.3,IF(Info!$C$14=2,3.3,4.3)),1))*IF(AND(AH105&lt;=Rates!$Y$8,AH105&gt;0),(1+Info!$C$18)*(1+LOOKUP(Info!$F$18,Rates!$O$2:$O$9,Rates!$L$2:$L$9)/100)*(LOOKUP(Info!$C$6,Rates!$T$2:$T$108,Rates!$R$2:$R$108)/100),0)</f>
        <v/>
      </c>
      <c r="T105" s="12">
        <f>IF(AI105&lt;71,(1-Info!$F$27)*((AB105*0.0008*(1+(LOOKUP(Info!$I$18,Rates!$O$2:$O$9,Rates!$M$2:$M$9)/100)))),0)</f>
        <v/>
      </c>
      <c r="U105" s="12">
        <f>IF(AI105&lt;71,(1-Info!$I$27)*(((AD105*0.0008*Info!$L$14))*(1+(LOOKUP(Info!$I$18,Rates!$O:$O,Rates!$N:$N)/100))),0)</f>
        <v/>
      </c>
      <c r="V105" s="12">
        <f>((Z105*0.0008))*(1+(LOOKUP(Info!$I$18,Rates!$O$2:$O$9,Rates!$M$2:$M$9)/100))*(1-Info!$C$27)</f>
        <v/>
      </c>
      <c r="W105" s="12">
        <f>IF(AND(AI105&lt;=Rates!$Y$2,AJ105&lt;=Info!$I$6,Info!$F$16="معمولی"),VLOOKUP(AI105,Rates!$T$1:$X$108,5,0),IF(AND(AI105&lt;=Rates!$Y$2,AJ105&lt;=Info!$I$6,Info!$F$16="پایه"),VLOOKUP(AI105,Rates!$T$1:$X$108,2,0),IF(AND(AI105&lt;=Rates!$Y$2,AJ105&lt;=Info!$I$6,Info!$F$16="آسایش "),VLOOKUP(AI105,Rates!$T$1:$X$108,3,0),IF(AND(AI105&lt;=Rates!$Y$2,AJ105&lt;=Info!$I$6,Info!$F$16="ممتاز"),VLOOKUP(AI105,Rates!$T$1:$X$108,4,0),0))))*AA105/1000000*(1+Info!$C$18)*(1-Info!$I$29)</f>
        <v/>
      </c>
      <c r="X105" s="12">
        <f>IF(Info!$C$16="بله",(AG105-W105-U105-V105-T105)/(1+S105),AG105)</f>
        <v/>
      </c>
      <c r="Y105" s="107">
        <f>IF(AI105&lt;&gt;0,(AD105*LOOKUP(AI105,Rates!$T$2:$T$108,Rates!$S$2:$S$108))/SQRT(1.1),0)</f>
        <v/>
      </c>
      <c r="Z105" s="107">
        <f>IF(AND(AI105&lt;=Rates!$Y$10,AI105&gt;=0),Info!$C$12*(AC105-AD105),0)</f>
        <v/>
      </c>
      <c r="AA105" s="12">
        <f>IF(AND(AI105&gt;=0,AI105&lt;=Rates!$Y$2,AG105&gt;0),MIN(AA104*(1+Info!$F$10),5000000000),0)</f>
        <v/>
      </c>
      <c r="AB105" s="107">
        <f>IF(AND(AI105&gt;=0,AI105&lt;=65),AD105*Info!$L$16,0)</f>
        <v/>
      </c>
      <c r="AC105" s="12">
        <f>IF(AND(AI105&gt;=0,AI105&lt;=Rates!$Y$3),AD105*(1+Info!$L$14),AD105)</f>
        <v/>
      </c>
      <c r="AD105" s="107">
        <f>IF(AI105&lt;&gt;0,AD104*(1+Info!$F$10),0)</f>
        <v/>
      </c>
      <c r="AE105" s="104">
        <f>IF(AI105&lt;&gt;0,AF105+AE104,0)</f>
        <v/>
      </c>
      <c r="AF105" s="12">
        <f>IF(AI105&gt;=0,IF(Info!$C$16="بله",AG105,AG105+L105),"")</f>
        <v/>
      </c>
      <c r="AG105" s="107">
        <f>IF(AI105&lt;&gt;0,AG104*(1+Info!$F$8),0)</f>
        <v/>
      </c>
      <c r="AH105" s="110">
        <f>IF(AJ105&lt;&gt;"",Info!$C$6+AJ105-1,0)</f>
        <v/>
      </c>
      <c r="AI105" s="14">
        <f>IF(AJ105&lt;&gt;"",IF(Info!$F$6+AJ105-1&lt;=Rates!$Y$11,Info!$F$6+AJ105-1,0),0)</f>
        <v/>
      </c>
      <c r="AJ105" s="15">
        <f>IF(AI104&lt;&gt;"",IF(AND(AJ104&lt;&gt;"",AI104+1&lt;=Rates!$Y$11),IF(AJ104&lt;&gt;0,IF(AJ104+1&lt;=Info!$I$6,AJ104+1,""),0),""),"")</f>
        <v/>
      </c>
    </row>
    <row r="106">
      <c r="A106" s="16">
        <f>IF(B106&gt;0,IF(Info!$C$16="بله",AG106/B106,(AG106+L106)/B106),0)</f>
        <v/>
      </c>
      <c r="B106" s="16">
        <f>IF(AND(AI106&gt;=0,AJ106&lt;=Info!$I$6),LOOKUP(Info!$C$8,Rates!$I$2:$I$7,Rates!$F$2:$F$7),0)</f>
        <v/>
      </c>
      <c r="C106" s="13">
        <f>IF(AND(AI106&gt;=0,AJ106&lt;=Info!$I$6),F106+F106*(IF(AJ106&lt;3,VLOOKUP(Info!$C$10,Rates!$A$15:$B$19,2,FALSE),IF(AJ106&lt;5,VLOOKUP(Info!$C$10,Rates!$A$15:$C$19,3,FALSE),VLOOKUP(Info!$C$10,Rates!$A$15:$D$19,4,FALSE)))+(Info!$I$22-IF(AJ106&gt;4,LOOKUP(Info!$C$10,Rates!$D$2:$D$7,Rates!$A$2:$A$7),LOOKUP(Info!$C$10,Rates!$D$2:$D$7,Rates!$C$2:$C$7))))*LOOKUP(Info!$C$8,Rates!$I$2:$I$7,Rates!$G$2:$G$7)+C105*(1+IF(AJ106&lt;3,VLOOKUP(Info!$C$10,Rates!$A$15:$B$19,2,FALSE),IF(AJ106&lt;5,VLOOKUP(Info!$C$10,Rates!$A$15:$C$19,3,FALSE),VLOOKUP(Info!$C$10,Rates!$A$15:$D$19,4,FALSE)))+(Info!$I$22-IF(AJ106&lt;3,VLOOKUP(Info!$C$10,Rates!$A$15:$B$19,2,FALSE),IF(AJ106&lt;5,VLOOKUP(Info!$C$10,Rates!$A$15:$C$19,3,FALSE),VLOOKUP(Info!$C$10,Rates!$A$15:$D$19,4,FALSE))))),0)</f>
        <v/>
      </c>
      <c r="D106" s="13">
        <f>IF(AI106&lt;&gt;"",E106,"")</f>
        <v/>
      </c>
      <c r="E106" s="12">
        <f>IF(AI106&lt;&gt;0,F106*(1+IF(AJ106&lt;3,VLOOKUP(Info!$C$10,Rates!$A$14:$B$19,2,FALSE),IF(AJ106&lt;5,VLOOKUP(Info!$C$10,Rates!$A$14:$C$19,3,FALSE),VLOOKUP(Info!$C$10,Rates!$A$14:$D$19,4,FALSE)))*LOOKUP(Info!$C$8,Rates!$I$2:$I$8,Rates!$G$2:$G$8))+E105*(1+IF(AJ106&lt;3,VLOOKUP(Info!$C$10,Rates!$A$14:$B$19,2,FALSE),IF(AJ106&lt;5,VLOOKUP(Info!$C$10,Rates!$A$14:$C$19,3,FALSE),VLOOKUP(Info!$C$10,Rates!$A$14:$D$19,4,FALSE)))),0)</f>
        <v/>
      </c>
      <c r="F106" s="13">
        <f>IF(AI106&lt;&gt;"",IF(Info!$C$16="بله",IF(AND(AJ106&lt;=Info!$F$20,AJ106&gt;=Info!$I$20),Info!$C$20,0)+(AG106-Y106-L106-K106-J106-I106-H106-G106),IF(AND(AJ106&lt;=Info!$F$20,AJ106&gt;=Info!$I$20),Info!$C$20,0)+(AG106-Y106-K106-J106-I106-H106-G106)),"")</f>
        <v/>
      </c>
      <c r="G106" s="106">
        <f>IF(AI106&lt;&gt;"",Rates!$AA$11*(L106),"")</f>
        <v/>
      </c>
      <c r="H106" s="106">
        <f>IF(AI106&lt;&gt;"",(Rates!$AC$11+Rates!$AB$11)*(L106),"")</f>
        <v/>
      </c>
      <c r="I106" s="13">
        <f>IF(AI106&lt;&gt;"",LOOKUP(Info!$C$8,Rates!$I$2:$I$7,Rates!$H$2:$H$7)*(J106+K106+L106+Y106),"")</f>
        <v/>
      </c>
      <c r="J106" s="13">
        <f>IF(N106="",0,N106)+IF(P106="",0,P106)+IF(Q106="",0,Q106)</f>
        <v/>
      </c>
      <c r="K106" s="13">
        <f>IF(Y106&lt;&gt;"",Info!$C$18*Y106,"")</f>
        <v/>
      </c>
      <c r="L106" s="13">
        <f>IF(R106="",0,R106)+IF(U106="",0,U106)+IF(W106="",0,W106)+IF(V106="",0,V106)+IF(T106="",0,T106)</f>
        <v/>
      </c>
      <c r="M106" s="13" t="n">
        <v>0</v>
      </c>
      <c r="N106" s="13" t="n">
        <v>0</v>
      </c>
      <c r="O106" s="12">
        <f>IF(AJ106&lt;=10,(1-Info!$C$25)*IF(OR(Info!$F$8&gt;0,Info!$F$10&gt;0),IF(0.75*$X$4&lt;=0.03*$AD$4,0.75*(X106-X105),0.03*(AD106-AD105)),0),"")</f>
        <v/>
      </c>
      <c r="P106" s="13">
        <f>IF(AJ106&lt;=5,IF(AI106&lt;&gt;"",0.002*AD106,"")*(1-Info!$I$25),0)</f>
        <v/>
      </c>
      <c r="Q106" s="13">
        <f>(1-Info!$F$25)*IF(AI106&lt;&gt;"",IF(Info!$C$16="بله",0.07*X106,0.07*AG106),"")</f>
        <v/>
      </c>
      <c r="R106" s="13">
        <f>IF(X106&lt;&gt;0,S106*X106,0)*(1-Info!$F$29)</f>
        <v/>
      </c>
      <c r="S106" s="106">
        <f>IF(Info!$I$14="خیر",0,IF(Info!$F$14="بله",IF(Info!$C$14=1,2.3,IF(Info!$C$14=2,3.3,4.3)),1))*IF(AND(AH106&lt;=Rates!$Y$8,AH106&gt;0),(1+Info!$C$18)*(1+LOOKUP(Info!$F$18,Rates!$O$2:$O$9,Rates!$L$2:$L$9)/100)*(LOOKUP(Info!$C$6,Rates!$T$2:$T$108,Rates!$R$2:$R$108)/100),0)</f>
        <v/>
      </c>
      <c r="T106" s="13">
        <f>IF(AI106&lt;71,(1-Info!$F$27)*((AB106*0.0008*(1+(LOOKUP(Info!$I$18,Rates!$O$2:$O$9,Rates!$M$2:$M$9)/100)))),0)</f>
        <v/>
      </c>
      <c r="U106" s="13">
        <f>IF(AI106&lt;71,(1-Info!$I$27)*(((AD106*0.0008*Info!$L$14))*(1+(LOOKUP(Info!$I$18,Rates!$O:$O,Rates!$N:$N)/100))),0)</f>
        <v/>
      </c>
      <c r="V106" s="13">
        <f>((Z106*0.0008))*(1+(LOOKUP(Info!$I$18,Rates!$O$2:$O$9,Rates!$M$2:$M$9)/100))*(1-Info!$C$27)</f>
        <v/>
      </c>
      <c r="W106" s="13">
        <f>IF(AND(AI106&lt;=Rates!$Y$2,AJ106&lt;=Info!$I$6,Info!$F$16="معمولی"),VLOOKUP(AI106,Rates!$T$1:$X$108,5,0),IF(AND(AI106&lt;=Rates!$Y$2,AJ106&lt;=Info!$I$6,Info!$F$16="پایه"),VLOOKUP(AI106,Rates!$T$1:$X$108,2,0),IF(AND(AI106&lt;=Rates!$Y$2,AJ106&lt;=Info!$I$6,Info!$F$16="آسایش "),VLOOKUP(AI106,Rates!$T$1:$X$108,3,0),IF(AND(AI106&lt;=Rates!$Y$2,AJ106&lt;=Info!$I$6,Info!$F$16="ممتاز"),VLOOKUP(AI106,Rates!$T$1:$X$108,4,0),0))))*AA106/1000000*(1+Info!$C$18)*(1-Info!$I$29)</f>
        <v/>
      </c>
      <c r="X106" s="113">
        <f>IF(Info!$C$16="بله",(AG106-W106-U106-V106-T106)/(1+S106),AG106)</f>
        <v/>
      </c>
      <c r="Y106" s="106">
        <f>IF(AI106&lt;&gt;0,(AD106*LOOKUP(AI106,Rates!$T$2:$T$108,Rates!$S$2:$S$108))/SQRT(1.1),0)</f>
        <v/>
      </c>
      <c r="Z106" s="106">
        <f>IF(AND(AI106&lt;=Rates!$Y$10,AI106&gt;=0),Info!$C$12*(AC106-AD106),0)</f>
        <v/>
      </c>
      <c r="AA106" s="13">
        <f>IF(AND(AI106&gt;=0,AI106&lt;=Rates!$Y$2,AG106&gt;0),MIN(AA105*(1+Info!$F$10),5000000000),0)</f>
        <v/>
      </c>
      <c r="AB106" s="106">
        <f>IF(AND(AI106&gt;=0,AI106&lt;=65),AD106*Info!$L$16,0)</f>
        <v/>
      </c>
      <c r="AC106" s="13">
        <f>IF(AND(AI106&gt;=0,AI106&lt;=Rates!$Y$3),AD106*(1+Info!$L$14),AD106)</f>
        <v/>
      </c>
      <c r="AD106" s="106">
        <f>IF(AI106&lt;&gt;0,AD105*(1+Info!$F$10),0)</f>
        <v/>
      </c>
      <c r="AE106" s="105">
        <f>IF(AI106&lt;&gt;0,AF106+AE105,0)</f>
        <v/>
      </c>
      <c r="AF106" s="13">
        <f>IF(AI106&gt;=0,IF(Info!$C$16="بله",AG106,AG106+L106),"")</f>
        <v/>
      </c>
      <c r="AG106" s="107">
        <f>IF(AI106&lt;&gt;0,AG105*(1+Info!$F$8),0)</f>
        <v/>
      </c>
      <c r="AH106" s="111">
        <f>IF(AJ106&lt;&gt;"",Info!$C$6+AJ106-1,0)</f>
        <v/>
      </c>
      <c r="AI106" s="17">
        <f>IF(AJ106&lt;&gt;"",IF(Info!$F$6+AJ106-1&lt;=Rates!$Y$11,Info!$F$6+AJ106-1,0),0)</f>
        <v/>
      </c>
      <c r="AJ106" s="18">
        <f>IF(AI105&lt;&gt;"",IF(AND(AJ105&lt;&gt;"",AI105+1&lt;=Rates!$Y$11),IF(AJ105&lt;&gt;0,IF(AJ105+1&lt;=Info!$I$6,AJ105+1,""),0),""),"")</f>
        <v/>
      </c>
    </row>
    <row r="107">
      <c r="A107" s="11">
        <f>IF(B107&gt;0,IF(Info!$C$16="بله",AG107/B107,(AG107+L107)/B107),0)</f>
        <v/>
      </c>
      <c r="B107" s="11">
        <f>IF(AND(AI107&gt;=0,AJ107&lt;=Info!$I$6),LOOKUP(Info!$C$8,Rates!$I$2:$I$7,Rates!$F$2:$F$7),0)</f>
        <v/>
      </c>
      <c r="C107" s="12">
        <f>IF(AND(AI107&gt;=0,AJ107&lt;=Info!$I$6),F107+F107*(IF(AJ107&lt;3,VLOOKUP(Info!$C$10,Rates!$A$15:$B$19,2,FALSE),IF(AJ107&lt;5,VLOOKUP(Info!$C$10,Rates!$A$15:$C$19,3,FALSE),VLOOKUP(Info!$C$10,Rates!$A$15:$D$19,4,FALSE)))+(Info!$I$22-IF(AJ107&gt;4,LOOKUP(Info!$C$10,Rates!$D$2:$D$7,Rates!$A$2:$A$7),LOOKUP(Info!$C$10,Rates!$D$2:$D$7,Rates!$C$2:$C$7))))*LOOKUP(Info!$C$8,Rates!$I$2:$I$7,Rates!$G$2:$G$7)+C106*(1+IF(AJ107&lt;3,VLOOKUP(Info!$C$10,Rates!$A$15:$B$19,2,FALSE),IF(AJ107&lt;5,VLOOKUP(Info!$C$10,Rates!$A$15:$C$19,3,FALSE),VLOOKUP(Info!$C$10,Rates!$A$15:$D$19,4,FALSE)))+(Info!$I$22-IF(AJ107&lt;3,VLOOKUP(Info!$C$10,Rates!$A$15:$B$19,2,FALSE),IF(AJ107&lt;5,VLOOKUP(Info!$C$10,Rates!$A$15:$C$19,3,FALSE),VLOOKUP(Info!$C$10,Rates!$A$15:$D$19,4,FALSE))))),0)</f>
        <v/>
      </c>
      <c r="D107" s="12">
        <f>IF(AI107&lt;&gt;"",E107,"")</f>
        <v/>
      </c>
      <c r="E107" s="12">
        <f>IF(AI107&lt;&gt;0,F107*(1+IF(AJ107&lt;3,VLOOKUP(Info!$C$10,Rates!$A$14:$B$19,2,FALSE),IF(AJ107&lt;5,VLOOKUP(Info!$C$10,Rates!$A$14:$C$19,3,FALSE),VLOOKUP(Info!$C$10,Rates!$A$14:$D$19,4,FALSE)))*LOOKUP(Info!$C$8,Rates!$I$2:$I$8,Rates!$G$2:$G$8))+E106*(1+IF(AJ107&lt;3,VLOOKUP(Info!$C$10,Rates!$A$14:$B$19,2,FALSE),IF(AJ107&lt;5,VLOOKUP(Info!$C$10,Rates!$A$14:$C$19,3,FALSE),VLOOKUP(Info!$C$10,Rates!$A$14:$D$19,4,FALSE)))),0)</f>
        <v/>
      </c>
      <c r="F107" s="12">
        <f>IF(AI107&lt;&gt;"",IF(Info!$C$16="بله",IF(AND(AJ107&lt;=Info!$F$20,AJ107&gt;=Info!$I$20),Info!$C$20,0)+(AG107-Y107-L107-K107-J107-I107-H107-G107),IF(AND(AJ107&lt;=Info!$F$20,AJ107&gt;=Info!$I$20),Info!$C$20,0)+(AG107-Y107-K107-J107-I107-H107-G107)),"")</f>
        <v/>
      </c>
      <c r="G107" s="107">
        <f>IF(AI107&lt;&gt;"",Rates!$AA$11*(L107),"")</f>
        <v/>
      </c>
      <c r="H107" s="107">
        <f>IF(AI107&lt;&gt;"",(Rates!$AC$11+Rates!$AB$11)*(L107),"")</f>
        <v/>
      </c>
      <c r="I107" s="12">
        <f>IF(AI107&lt;&gt;"",LOOKUP(Info!$C$8,Rates!$I$2:$I$7,Rates!$H$2:$H$7)*(J107+K107+L107+Y107),"")</f>
        <v/>
      </c>
      <c r="J107" s="12">
        <f>IF(N107="",0,N107)+IF(P107="",0,P107)+IF(Q107="",0,Q107)</f>
        <v/>
      </c>
      <c r="K107" s="12">
        <f>IF(Y107&lt;&gt;"",Info!$C$18*Y107,"")</f>
        <v/>
      </c>
      <c r="L107" s="12">
        <f>IF(R107="",0,R107)+IF(U107="",0,U107)+IF(W107="",0,W107)+IF(V107="",0,V107)+IF(T107="",0,T107)</f>
        <v/>
      </c>
      <c r="M107" s="12" t="n">
        <v>0</v>
      </c>
      <c r="N107" s="12" t="n">
        <v>0</v>
      </c>
      <c r="O107" s="12">
        <f>IF(AJ107&lt;=10,(1-Info!$C$25)*IF(OR(Info!$F$8&gt;0,Info!$F$10&gt;0),IF(0.75*$X$4&lt;=0.03*$AD$4,0.75*(X107-X106),0.03*(AD107-AD106)),0),"")</f>
        <v/>
      </c>
      <c r="P107" s="12">
        <f>IF(AJ107&lt;=5,IF(AI107&lt;&gt;"",0.002*AD107,"")*(1-Info!$I$25),0)</f>
        <v/>
      </c>
      <c r="Q107" s="12">
        <f>(1-Info!$F$25)*IF(AI107&lt;&gt;"",IF(Info!$C$16="بله",0.07*X107,0.07*AG107),"")</f>
        <v/>
      </c>
      <c r="R107" s="12">
        <f>IF(X107&lt;&gt;0,S107*X107,0)*(1-Info!$F$29)</f>
        <v/>
      </c>
      <c r="S107" s="107">
        <f>IF(Info!$I$14="خیر",0,IF(Info!$F$14="بله",IF(Info!$C$14=1,2.3,IF(Info!$C$14=2,3.3,4.3)),1))*IF(AND(AH107&lt;=Rates!$Y$8,AH107&gt;0),(1+Info!$C$18)*(1+LOOKUP(Info!$F$18,Rates!$O$2:$O$9,Rates!$L$2:$L$9)/100)*(LOOKUP(Info!$C$6,Rates!$T$2:$T$108,Rates!$R$2:$R$108)/100),0)</f>
        <v/>
      </c>
      <c r="T107" s="12">
        <f>IF(AI107&lt;71,(1-Info!$F$27)*((AB107*0.0008*(1+(LOOKUP(Info!$I$18,Rates!$O$2:$O$9,Rates!$M$2:$M$9)/100)))),0)</f>
        <v/>
      </c>
      <c r="U107" s="12">
        <f>IF(AI107&lt;71,(1-Info!$I$27)*(((AD107*0.0008*Info!$L$14))*(1+(LOOKUP(Info!$I$18,Rates!$O:$O,Rates!$N:$N)/100))),0)</f>
        <v/>
      </c>
      <c r="V107" s="12">
        <f>((Z107*0.0008))*(1+(LOOKUP(Info!$I$18,Rates!$O$2:$O$9,Rates!$M$2:$M$9)/100))*(1-Info!$C$27)</f>
        <v/>
      </c>
      <c r="W107" s="12">
        <f>IF(AND(AI107&lt;=Rates!$Y$2,AJ107&lt;=Info!$I$6,Info!$F$16="معمولی"),VLOOKUP(AI107,Rates!$T$1:$X$108,5,0),IF(AND(AI107&lt;=Rates!$Y$2,AJ107&lt;=Info!$I$6,Info!$F$16="پایه"),VLOOKUP(AI107,Rates!$T$1:$X$108,2,0),IF(AND(AI107&lt;=Rates!$Y$2,AJ107&lt;=Info!$I$6,Info!$F$16="آسایش "),VLOOKUP(AI107,Rates!$T$1:$X$108,3,0),IF(AND(AI107&lt;=Rates!$Y$2,AJ107&lt;=Info!$I$6,Info!$F$16="ممتاز"),VLOOKUP(AI107,Rates!$T$1:$X$108,4,0),0))))*AA107/1000000*(1+Info!$C$18)*(1-Info!$I$29)</f>
        <v/>
      </c>
      <c r="X107" s="12">
        <f>IF(Info!$C$16="بله",(AG107-W107-U107-V107-T107)/(1+S107),AG107)</f>
        <v/>
      </c>
      <c r="Y107" s="107">
        <f>IF(AI107&lt;&gt;0,(AD107*LOOKUP(AI107,Rates!$T$2:$T$108,Rates!$S$2:$S$108))/SQRT(1.1),0)</f>
        <v/>
      </c>
      <c r="Z107" s="107">
        <f>IF(AND(AI107&lt;=Rates!$Y$10,AI107&gt;=0),Info!$C$12*(AC107-AD107),0)</f>
        <v/>
      </c>
      <c r="AA107" s="12">
        <f>IF(AND(AI107&gt;=0,AI107&lt;=Rates!$Y$2,AG107&gt;0),MIN(AA106*(1+Info!$F$10),5000000000),0)</f>
        <v/>
      </c>
      <c r="AB107" s="107">
        <f>IF(AND(AI107&gt;=0,AI107&lt;=65),AD107*Info!$L$16,0)</f>
        <v/>
      </c>
      <c r="AC107" s="12">
        <f>IF(AND(AI107&gt;=0,AI107&lt;=Rates!$Y$3),AD107*(1+Info!$L$14),AD107)</f>
        <v/>
      </c>
      <c r="AD107" s="107">
        <f>IF(AI107&lt;&gt;0,AD106*(1+Info!$F$10),0)</f>
        <v/>
      </c>
      <c r="AE107" s="104">
        <f>IF(AI107&lt;&gt;0,AF107+AE106,0)</f>
        <v/>
      </c>
      <c r="AF107" s="12">
        <f>IF(AI107&gt;=0,IF(Info!$C$16="بله",AG107,AG107+L107),"")</f>
        <v/>
      </c>
      <c r="AG107" s="107">
        <f>IF(AI107&lt;&gt;0,AG106*(1+Info!$F$8),0)</f>
        <v/>
      </c>
      <c r="AH107" s="110">
        <f>IF(AJ107&lt;&gt;"",Info!$C$6+AJ107-1,0)</f>
        <v/>
      </c>
      <c r="AI107" s="14">
        <f>IF(AJ107&lt;&gt;"",IF(Info!$F$6+AJ107-1&lt;=Rates!$Y$11,Info!$F$6+AJ107-1,0),0)</f>
        <v/>
      </c>
      <c r="AJ107" s="15">
        <f>IF(AI106&lt;&gt;"",IF(AND(AJ106&lt;&gt;"",AI106+1&lt;=Rates!$Y$11),IF(AJ106&lt;&gt;0,IF(AJ106+1&lt;=Info!$I$6,AJ106+1,""),0),""),"")</f>
        <v/>
      </c>
    </row>
    <row r="108">
      <c r="A108" s="16">
        <f>IF(B108&gt;0,IF(Info!$C$16="بله",AG108/B108,(AG108+L108)/B108),0)</f>
        <v/>
      </c>
      <c r="B108" s="16">
        <f>IF(AND(AI108&gt;=0,AJ108&lt;=Info!$I$6),LOOKUP(Info!$C$8,Rates!$I$2:$I$7,Rates!$F$2:$F$7),0)</f>
        <v/>
      </c>
      <c r="C108" s="13">
        <f>IF(AND(AI108&gt;=0,AJ108&lt;=Info!$I$6),F108+F108*(IF(AJ108&lt;3,VLOOKUP(Info!$C$10,Rates!$A$15:$B$19,2,FALSE),IF(AJ108&lt;5,VLOOKUP(Info!$C$10,Rates!$A$15:$C$19,3,FALSE),VLOOKUP(Info!$C$10,Rates!$A$15:$D$19,4,FALSE)))+(Info!$I$22-IF(AJ108&gt;4,LOOKUP(Info!$C$10,Rates!$D$2:$D$7,Rates!$A$2:$A$7),LOOKUP(Info!$C$10,Rates!$D$2:$D$7,Rates!$C$2:$C$7))))*LOOKUP(Info!$C$8,Rates!$I$2:$I$7,Rates!$G$2:$G$7)+C107*(1+IF(AJ108&lt;3,VLOOKUP(Info!$C$10,Rates!$A$15:$B$19,2,FALSE),IF(AJ108&lt;5,VLOOKUP(Info!$C$10,Rates!$A$15:$C$19,3,FALSE),VLOOKUP(Info!$C$10,Rates!$A$15:$D$19,4,FALSE)))+(Info!$I$22-IF(AJ108&lt;3,VLOOKUP(Info!$C$10,Rates!$A$15:$B$19,2,FALSE),IF(AJ108&lt;5,VLOOKUP(Info!$C$10,Rates!$A$15:$C$19,3,FALSE),VLOOKUP(Info!$C$10,Rates!$A$15:$D$19,4,FALSE))))),0)</f>
        <v/>
      </c>
      <c r="D108" s="13">
        <f>IF(AI108&lt;&gt;"",E108,"")</f>
        <v/>
      </c>
      <c r="E108" s="12">
        <f>IF(AI108&lt;&gt;0,F108*(1+IF(AJ108&lt;3,VLOOKUP(Info!$C$10,Rates!$A$14:$B$19,2,FALSE),IF(AJ108&lt;5,VLOOKUP(Info!$C$10,Rates!$A$14:$C$19,3,FALSE),VLOOKUP(Info!$C$10,Rates!$A$14:$D$19,4,FALSE)))*LOOKUP(Info!$C$8,Rates!$I$2:$I$8,Rates!$G$2:$G$8))+E107*(1+IF(AJ108&lt;3,VLOOKUP(Info!$C$10,Rates!$A$14:$B$19,2,FALSE),IF(AJ108&lt;5,VLOOKUP(Info!$C$10,Rates!$A$14:$C$19,3,FALSE),VLOOKUP(Info!$C$10,Rates!$A$14:$D$19,4,FALSE)))),0)</f>
        <v/>
      </c>
      <c r="F108" s="13">
        <f>IF(AI108&lt;&gt;"",IF(Info!$C$16="بله",IF(AND(AJ108&lt;=Info!$F$20,AJ108&gt;=Info!$I$20),Info!$C$20,0)+(AG108-Y108-L108-K108-J108-I108-H108-G108),IF(AND(AJ108&lt;=Info!$F$20,AJ108&gt;=Info!$I$20),Info!$C$20,0)+(AG108-Y108-K108-J108-I108-H108-G108)),"")</f>
        <v/>
      </c>
      <c r="G108" s="106">
        <f>IF(AI108&lt;&gt;"",Rates!$AA$11*(L108),"")</f>
        <v/>
      </c>
      <c r="H108" s="106">
        <f>IF(AI108&lt;&gt;"",(Rates!$AC$11+Rates!$AB$11)*(L108),"")</f>
        <v/>
      </c>
      <c r="I108" s="13">
        <f>IF(AI108&lt;&gt;"",LOOKUP(Info!$C$8,Rates!$I$2:$I$7,Rates!$H$2:$H$7)*(J108+K108+L108+Y108),"")</f>
        <v/>
      </c>
      <c r="J108" s="13">
        <f>IF(N108="",0,N108)+IF(P108="",0,P108)+IF(Q108="",0,Q108)</f>
        <v/>
      </c>
      <c r="K108" s="13">
        <f>IF(Y108&lt;&gt;"",Info!$C$18*Y108,"")</f>
        <v/>
      </c>
      <c r="L108" s="13">
        <f>IF(R108="",0,R108)+IF(U108="",0,U108)+IF(W108="",0,W108)+IF(V108="",0,V108)+IF(T108="",0,T108)</f>
        <v/>
      </c>
      <c r="M108" s="13" t="n">
        <v>0</v>
      </c>
      <c r="N108" s="13" t="n">
        <v>0</v>
      </c>
      <c r="O108" s="12">
        <f>IF(AJ108&lt;=10,(1-Info!$C$25)*IF(OR(Info!$F$8&gt;0,Info!$F$10&gt;0),IF(0.75*$X$4&lt;=0.03*$AD$4,0.75*(X108-X107),0.03*(AD108-AD107)),0),"")</f>
        <v/>
      </c>
      <c r="P108" s="13">
        <f>IF(AJ108&lt;=5,IF(AI108&lt;&gt;"",0.002*AD108,"")*(1-Info!$I$25),0)</f>
        <v/>
      </c>
      <c r="Q108" s="13">
        <f>(1-Info!$F$25)*IF(AI108&lt;&gt;"",IF(Info!$C$16="بله",0.07*X108,0.07*AG108),"")</f>
        <v/>
      </c>
      <c r="R108" s="13">
        <f>IF(X108&lt;&gt;0,S108*X108,0)*(1-Info!$F$29)</f>
        <v/>
      </c>
      <c r="S108" s="106">
        <f>IF(Info!$I$14="خیر",0,IF(Info!$F$14="بله",IF(Info!$C$14=1,2.3,IF(Info!$C$14=2,3.3,4.3)),1))*IF(AND(AH108&lt;=Rates!$Y$8,AH108&gt;0),(1+Info!$C$18)*(1+LOOKUP(Info!$F$18,Rates!$O$2:$O$9,Rates!$L$2:$L$9)/100)*(LOOKUP(Info!$C$6,Rates!$T$2:$T$108,Rates!$R$2:$R$108)/100),0)</f>
        <v/>
      </c>
      <c r="T108" s="13">
        <f>IF(AI108&lt;71,(1-Info!$F$27)*((AB108*0.0008*(1+(LOOKUP(Info!$I$18,Rates!$O$2:$O$9,Rates!$M$2:$M$9)/100)))),0)</f>
        <v/>
      </c>
      <c r="U108" s="13">
        <f>IF(AI108&lt;71,(1-Info!$I$27)*(((AD108*0.0008*Info!$L$14))*(1+(LOOKUP(Info!$I$18,Rates!$O:$O,Rates!$N:$N)/100))),0)</f>
        <v/>
      </c>
      <c r="V108" s="13">
        <f>((Z108*0.0008))*(1+(LOOKUP(Info!$I$18,Rates!$O$2:$O$9,Rates!$M$2:$M$9)/100))*(1-Info!$C$27)</f>
        <v/>
      </c>
      <c r="W108" s="13">
        <f>IF(AND(AI108&lt;=Rates!$Y$2,AJ108&lt;=Info!$I$6,Info!$F$16="معمولی"),VLOOKUP(AI108,Rates!$T$1:$X$108,5,0),IF(AND(AI108&lt;=Rates!$Y$2,AJ108&lt;=Info!$I$6,Info!$F$16="پایه"),VLOOKUP(AI108,Rates!$T$1:$X$108,2,0),IF(AND(AI108&lt;=Rates!$Y$2,AJ108&lt;=Info!$I$6,Info!$F$16="آسایش "),VLOOKUP(AI108,Rates!$T$1:$X$108,3,0),IF(AND(AI108&lt;=Rates!$Y$2,AJ108&lt;=Info!$I$6,Info!$F$16="ممتاز"),VLOOKUP(AI108,Rates!$T$1:$X$108,4,0),0))))*AA108/1000000*(1+Info!$C$18)*(1-Info!$I$29)</f>
        <v/>
      </c>
      <c r="X108" s="113">
        <f>IF(Info!$C$16="بله",(AG108-W108-U108-V108-T108)/(1+S108),AG108)</f>
        <v/>
      </c>
      <c r="Y108" s="106">
        <f>IF(AI108&lt;&gt;0,(AD108*LOOKUP(AI108,Rates!$T$2:$T$108,Rates!$S$2:$S$108))/SQRT(1.1),0)</f>
        <v/>
      </c>
      <c r="Z108" s="106">
        <f>IF(AND(AI108&lt;=Rates!$Y$10,AI108&gt;=0),Info!$C$12*(AC108-AD108),0)</f>
        <v/>
      </c>
      <c r="AA108" s="13">
        <f>IF(AND(AI108&gt;=0,AI108&lt;=Rates!$Y$2,AG108&gt;0),MIN(AA107*(1+Info!$F$10),5000000000),0)</f>
        <v/>
      </c>
      <c r="AB108" s="106">
        <f>IF(AND(AI108&gt;=0,AI108&lt;=65),AD108*Info!$L$16,0)</f>
        <v/>
      </c>
      <c r="AC108" s="13">
        <f>IF(AND(AI108&gt;=0,AI108&lt;=Rates!$Y$3),AD108*(1+Info!$L$14),AD108)</f>
        <v/>
      </c>
      <c r="AD108" s="106">
        <f>IF(AI108&lt;&gt;0,AD107*(1+Info!$F$10),0)</f>
        <v/>
      </c>
      <c r="AE108" s="105">
        <f>IF(AI108&lt;&gt;0,AF108+AE107,0)</f>
        <v/>
      </c>
      <c r="AF108" s="13">
        <f>IF(AI108&gt;=0,IF(Info!$C$16="بله",AG108,AG108+L108),"")</f>
        <v/>
      </c>
      <c r="AG108" s="107">
        <f>IF(AI108&lt;&gt;0,AG107*(1+Info!$F$8),0)</f>
        <v/>
      </c>
      <c r="AH108" s="111">
        <f>IF(AJ108&lt;&gt;"",Info!$C$6+AJ108-1,0)</f>
        <v/>
      </c>
      <c r="AI108" s="17">
        <f>IF(AJ108&lt;&gt;"",IF(Info!$F$6+AJ108-1&lt;=Rates!$Y$11,Info!$F$6+AJ108-1,0),0)</f>
        <v/>
      </c>
      <c r="AJ108" s="18">
        <f>IF(AI107&lt;&gt;"",IF(AND(AJ107&lt;&gt;"",AI107+1&lt;=Rates!$Y$11),IF(AJ107&lt;&gt;0,IF(AJ107+1&lt;=Info!$I$6,AJ107+1,""),0),""),"")</f>
        <v/>
      </c>
    </row>
    <row r="109">
      <c r="AF109" s="171" t="n"/>
    </row>
  </sheetData>
  <mergeCells count="3">
    <mergeCell ref="D2:E2"/>
    <mergeCell ref="AC2:AD2"/>
    <mergeCell ref="A1:AJ1"/>
  </mergeCells>
  <printOptions horizontalCentered="1" verticalCentered="1"/>
  <pageMargins left="0.7086614173228347" right="0.7086614173228347" top="0.7480314960629921" bottom="0.7480314960629921" header="0.3149606299212598" footer="0.3149606299212598"/>
  <pageSetup orientation="landscape" paperSize="9" scale="55" fitToHeight="0"/>
  <headerFooter>
    <oddHeader>&amp;L&amp;"Times New Roman,Bold"_x000a_شماره تجدیدنظر: 03&amp;C&amp;"B Titr,Bold"بیمه سامان_x000a_جدول آفلاین بیمه نامه عمر و تشکیل سرمایه (روش پرداخت غیر یکجا)&amp;R&amp;G</oddHeader>
    <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A1:AE71"/>
  <sheetViews>
    <sheetView zoomScale="55" zoomScaleNormal="55" workbookViewId="0">
      <pane ySplit="1" topLeftCell="A2" activePane="bottomLeft" state="frozen"/>
      <selection activeCell="S1" sqref="S1"/>
      <selection pane="bottomLeft" activeCell="AW1" sqref="AW1"/>
    </sheetView>
  </sheetViews>
  <sheetFormatPr baseColWidth="8" defaultColWidth="9.14453125" defaultRowHeight="15"/>
  <cols>
    <col hidden="1" width="12.23828125" customWidth="1" style="19" min="1" max="1"/>
    <col hidden="1" width="23" customWidth="1" style="19" min="2" max="2"/>
    <col hidden="1" width="16.140625" customWidth="1" style="19" min="3" max="3"/>
    <col hidden="1" width="16.6796875" customWidth="1" style="20" min="4" max="4"/>
    <col hidden="1" width="14.2578125" customWidth="1" style="19" min="5" max="5"/>
    <col hidden="1" width="13.98828125" customWidth="1" style="19" min="6" max="6"/>
    <col hidden="1" width="11.703125" customWidth="1" style="19" min="7" max="7"/>
    <col hidden="1" width="20.17578125" customWidth="1" style="19" min="8" max="8"/>
    <col hidden="1" width="17.890625" customWidth="1" style="19" min="9" max="9"/>
    <col hidden="1" width="31.609375" customWidth="1" style="19" min="10" max="10"/>
    <col hidden="1" width="23" customWidth="1" style="19" min="11" max="11"/>
    <col hidden="1" width="17.08203125" customWidth="1" style="19" min="12" max="12"/>
    <col hidden="1" width="10.89453125" customWidth="1" style="19" min="13" max="13"/>
    <col hidden="1" width="13.1796875" customWidth="1" style="19" min="14" max="15"/>
    <col hidden="1" width="17.08203125" customWidth="1" style="19" min="16" max="16"/>
    <col hidden="1" width="20.17578125" customWidth="1" style="19" min="17" max="17"/>
    <col hidden="1" width="22.59765625" customWidth="1" style="19" min="18" max="18"/>
    <col hidden="1" width="18.29296875" customWidth="1" style="19" min="19" max="19"/>
    <col hidden="1" width="21.65625" customWidth="1" style="19" min="20" max="20"/>
    <col hidden="1" width="18.29296875" customWidth="1" style="19" min="21" max="21"/>
    <col hidden="1" width="20.71484375" customWidth="1" style="19" min="22" max="22"/>
    <col hidden="1" width="26.36328125" customWidth="1" style="19" min="23" max="23"/>
    <col hidden="1" width="20.71484375" customWidth="1" style="19" min="24" max="24"/>
    <col hidden="1" width="26.36328125" customWidth="1" style="19" min="25" max="25"/>
    <col hidden="1" width="22.59765625" customWidth="1" style="19" min="26" max="26"/>
    <col hidden="1" width="10.35546875" customWidth="1" style="19" min="27" max="29"/>
    <col width="12.375" bestFit="1" customWidth="1" style="19" min="30" max="30"/>
    <col width="8.47265625" customWidth="1" style="19" min="31" max="31"/>
    <col width="9.14453125" customWidth="1" style="19" min="32" max="16384"/>
  </cols>
  <sheetData>
    <row r="1" ht="15.75" customHeight="1" thickBot="1">
      <c r="A1" s="34" t="inlineStr">
        <is>
          <t>مبلغ هر قسط</t>
        </is>
      </c>
      <c r="B1" s="35" t="inlineStr">
        <is>
          <t>اندوخته تضمین شده + قطعی</t>
        </is>
      </c>
      <c r="C1" s="36" t="inlineStr">
        <is>
          <t>ارزش بازخریدی</t>
        </is>
      </c>
      <c r="D1" s="37" t="inlineStr">
        <is>
          <t>اندوخته تضمین شده</t>
        </is>
      </c>
      <c r="E1" s="36" t="inlineStr">
        <is>
          <t>خالص حیات</t>
        </is>
      </c>
      <c r="F1" s="36" t="inlineStr">
        <is>
          <t>عوارض شهرداری</t>
        </is>
      </c>
      <c r="G1" s="36" t="inlineStr">
        <is>
          <t>مالیات</t>
        </is>
      </c>
      <c r="H1" s="38" t="inlineStr">
        <is>
          <t>اداری + بیمه‌گری + کارمزد</t>
        </is>
      </c>
      <c r="I1" s="36" t="inlineStr">
        <is>
          <t>اضافه نرخ پزشکی عمر</t>
        </is>
      </c>
      <c r="J1" s="36" t="inlineStr">
        <is>
          <t>اضافه نرخ پزشکی عمر سالانه تنزیل یافته</t>
        </is>
      </c>
      <c r="K1" s="36" t="inlineStr">
        <is>
          <t>اضافه نرخ پزشکی عمر سالانه</t>
        </is>
      </c>
      <c r="L1" s="39" t="inlineStr">
        <is>
          <t>پوشش‌ها اضافی</t>
        </is>
      </c>
      <c r="M1" s="38" t="inlineStr">
        <is>
          <t xml:space="preserve">کارمزد  </t>
        </is>
      </c>
      <c r="N1" s="38" t="inlineStr">
        <is>
          <t>هزینه بیمه‌گری</t>
        </is>
      </c>
      <c r="O1" s="38" t="inlineStr">
        <is>
          <t>هزینه اداری</t>
        </is>
      </c>
      <c r="P1" s="39" t="inlineStr">
        <is>
          <t>حق‌بیمه حادثه</t>
        </is>
      </c>
      <c r="Q1" s="39" t="inlineStr">
        <is>
          <t>حق‌بیمه امراض</t>
        </is>
      </c>
      <c r="R1" s="35" t="inlineStr">
        <is>
          <t>حق‌بیمه اصلی یکجا</t>
        </is>
      </c>
      <c r="S1" s="36" t="inlineStr">
        <is>
          <t>حق‌بیمه خطر فوت یکجا</t>
        </is>
      </c>
      <c r="T1" s="36" t="inlineStr">
        <is>
          <t>خطر فوت سالانه تنزیل یافته</t>
        </is>
      </c>
      <c r="U1" s="36" t="inlineStr">
        <is>
          <t>خطر فوت سالانه</t>
        </is>
      </c>
      <c r="V1" s="40" t="inlineStr">
        <is>
          <t>سرمایه بیماری‌های خاص</t>
        </is>
      </c>
      <c r="W1" s="40" t="inlineStr">
        <is>
          <t>سرمایه ازکارافتادگی ناشی از حادثه</t>
        </is>
      </c>
      <c r="X1" s="40" t="inlineStr">
        <is>
          <t>سرمایه فوت ناشی از حادثه</t>
        </is>
      </c>
      <c r="Y1" s="40" t="inlineStr">
        <is>
          <t>سرمایه فوت</t>
        </is>
      </c>
      <c r="Z1" s="35" t="inlineStr">
        <is>
          <t>حق‌بیمه یکجا (کل حق‌بیمه)</t>
        </is>
      </c>
      <c r="AA1" s="41" t="inlineStr">
        <is>
          <t>سن بیمه‌گذار</t>
        </is>
      </c>
      <c r="AB1" s="41" t="inlineStr">
        <is>
          <t>سن بیمه‌شده</t>
        </is>
      </c>
      <c r="AC1" s="41" t="inlineStr">
        <is>
          <t>سال بیمه‌ای</t>
        </is>
      </c>
    </row>
    <row r="2">
      <c r="A2" s="42">
        <f>IF(Z2&lt;&gt;"",IF(Info!C16="بله",Z2,Z2+L2))</f>
        <v/>
      </c>
      <c r="B2" s="42">
        <f>IF(AB2&lt;&gt;"",E2+E2*(IF(AC2&gt;4,0.1,LOOKUP(Info!$C$10,Rates!$D$2:$D$4,Rates!$C$2:$C$4))+0.85*(Info!$I$22-IF(AC2&gt;4,0.1,LOOKUP(Info!$C$10,Rates!$D$2:$D$4,Rates!$C$2:$C$4))))*LOOKUP(Info!$C$8,Rates!$I$2:$I$7,Rates!$G$2:$G$7),"")</f>
        <v/>
      </c>
      <c r="C2" s="236">
        <f>IF(AB2&lt;&gt;"",0.9*D2,"")</f>
        <v/>
      </c>
      <c r="D2" s="44">
        <f>IF(AB2&lt;&gt;"",E2*(1+IF(AC2&gt;4,0.1,LOOKUP(Info!$C$10,Rates!$D$2:$D$5,Rates!$C$2:$C$5))*LOOKUP(Info!$C$8,Rates!$I$2:$I$7,Rates!$G$2:$G$7)),"")</f>
        <v/>
      </c>
      <c r="E2" s="236">
        <f>IF(AB2&lt;&gt;"",IF(Info!$C$16="بله",IF(AND(AC2&lt;=Info!$F$20,AC2&gt;=Info!$I$20),Info!$C$20,0)+(Z2-S2-I2-H2-G2-F2-L2),IF(AND(AC2&lt;=Info!$F$20,AC2&gt;=Info!$I$20),Info!$C$20,0)+(Z2-S2-I2-H2-G2-F2)),"")</f>
        <v/>
      </c>
      <c r="F2" s="236">
        <f>IF(AB2&lt;&gt;"",0.03*(H2+I2+S2+L2),"")</f>
        <v/>
      </c>
      <c r="G2" s="236">
        <f>IF(AB2&lt;&gt;"",0.06*(H2+I2+S2+L2),"")</f>
        <v/>
      </c>
      <c r="H2" s="237">
        <f>IF(M2="",0,M2)+IF(N2="",0,N2)+IF(O2="",0,O2)</f>
        <v/>
      </c>
      <c r="I2" s="236">
        <f>SUM(J2:INDIRECT(CONCATENATE("J",71)))</f>
        <v/>
      </c>
      <c r="J2" s="236">
        <f>IF(AB2&lt;&gt;"",K2/((1+10/100)^(AC2-1)),"")</f>
        <v/>
      </c>
      <c r="K2" s="236">
        <f>IF(U2&lt;&gt;"",Info!$L$20*U2,"")</f>
        <v/>
      </c>
      <c r="L2" s="238">
        <f>IF(P2="",0,P2)+IF(Q2="",0,Q2)</f>
        <v/>
      </c>
      <c r="M2" s="237">
        <f>IF(Z2&lt;&gt;"",5/100*R2,"")*(1-Info!C25)</f>
        <v/>
      </c>
      <c r="N2" s="237">
        <f>IF(AC2&lt;=5,IF(AB2&lt;&gt;"",0.003*Y2,"")*(1-Info!$I$25),"")</f>
        <v/>
      </c>
      <c r="O2" s="237">
        <f>(1-Info!$F$25)*0.02*R2</f>
        <v/>
      </c>
      <c r="P2" s="238">
        <f>IF(AND(AB2&lt;=70,W2&lt;&gt;""),(1-Info!$I$27)*((W2*0.0008*(1+(LOOKUP(Info!$I$18,Rates!$O:$O,Rates!$M:$M)/100)))+((Y2*0.0008*Info!$L$14))*(1+(LOOKUP(Info!$I$18,Rates!$O:$O,Rates!$N:$N)/100))),"")</f>
        <v/>
      </c>
      <c r="Q2" s="239">
        <f>IF(AB2&lt;=60,(LOOKUP(AB2,Rates!$T:$T,Rates!#REF!))*V2/1000000*(1+Info!$L$20)*(1-Info!$I$29),"")</f>
        <v/>
      </c>
      <c r="R2" s="42">
        <f>IF(AND(Z2&lt;&gt;"",Q2&lt;&gt;"",P2&lt;&gt;""),IF(Info!$C$16="بله",(Z2-Q2-P2),Z2),"")</f>
        <v/>
      </c>
      <c r="S2" s="236">
        <f>SUM(T2:INDIRECT(CONCATENATE("T",71)))</f>
        <v/>
      </c>
      <c r="T2" s="236">
        <f>IF(AB2&lt;&gt;"",U2/((1+10/100)^(AC2-1)),"")</f>
        <v/>
      </c>
      <c r="U2" s="236">
        <f>IF(AB2&lt;&gt;"",(Y2*LOOKUP(AB2,Rates!$T:$T,Rates!$S:$S))/SQRT(1.1),"")</f>
        <v/>
      </c>
      <c r="V2" s="240">
        <f>MIN(0.5*$Y$2,300000000,Info!$I$16)</f>
        <v/>
      </c>
      <c r="W2" s="240">
        <f>IF(AND(AB2&lt;&gt;"",AB2&lt;=60),Y2*Info!$L$16,"")</f>
        <v/>
      </c>
      <c r="X2" s="240">
        <f>IF(AND(AB2&lt;&gt;"",AB2&lt;=70),Y2*(1+Info!$L$14),"")</f>
        <v/>
      </c>
      <c r="Y2" s="240">
        <f>IF(AB2&lt;&gt;"",Info!$I$10,"")</f>
        <v/>
      </c>
      <c r="Z2" s="42">
        <f>IF(AB2&lt;&gt;"",IF(AC2=1,Info!$I$8,""),"")</f>
        <v/>
      </c>
      <c r="AA2" s="49">
        <f>IF(AC2&lt;&gt;"",Info!$C$6+AC2-1,"")</f>
        <v/>
      </c>
      <c r="AB2" s="49">
        <f>IF(AC2&lt;&gt;"",Info!$F$6+AC2-1,"")</f>
        <v/>
      </c>
      <c r="AC2" s="49">
        <f>IF(Info!$I$6&lt;&gt;"",1,"")</f>
        <v/>
      </c>
      <c r="AD2" s="241" t="n"/>
      <c r="AE2" s="241" t="n"/>
    </row>
    <row r="3">
      <c r="A3" s="51" t="n">
        <v>0</v>
      </c>
      <c r="B3" s="51">
        <f>IF(AB3&lt;&gt;"",E3+E3*(IF(AC3&gt;4,0.1,LOOKUP(Info!$C$10,Rates!$D$2:$D$4,Rates!$C$2:$C$4))+0.85*(Info!$I$22-(IF(AC3&gt;4,0.1,LOOKUP(Info!$C$10,Rates!$D$2:$D$4,Rates!$C$2:$C$4)))))*LOOKUP(Info!$C$8,Rates!$I$2:$I$7,Rates!$G$2:$G$7)+B2*(1+IF(AC3&gt;4,0.1,LOOKUP(Info!$C$10,Rates!$D$2:$D$4,Rates!$C$2:$C$4))+0.85*(Info!$I$22-IF(AC3&gt;4,0.1,LOOKUP(Info!$C$10,Rates!$D$2:$D$4,Rates!$C$2:$C$4)))),"")</f>
        <v/>
      </c>
      <c r="C3" s="242">
        <f>IF(AB3&lt;&gt;"",0.91*D3,"")</f>
        <v/>
      </c>
      <c r="D3" s="53">
        <f>IF(AB3&lt;&gt;"",E3*(1+IF(AC3&gt;4,0.1,LOOKUP(Info!$C$10,Rates!$D$2:$D$5,Rates!$C$2:$C$5))*LOOKUP(Info!$C$8,Rates!$I$2:$I$7,Rates!$G$2:$G$7))+D2*(1+IF(AC3&gt;4,0.1,LOOKUP(Info!$C$10,Rates!$D$2:$D$5,Rates!$C$2:$C$5))),"")</f>
        <v/>
      </c>
      <c r="E3" s="236">
        <f>IF(AB3&lt;&gt;"",IF(Info!$C$16="بله",IF(AND(AC3&lt;=Info!$F$20,AC3&gt;=Info!$I$20),Info!$C$20,0)+(Z3-S3-I3-H3-G3-F3-L3),IF(AND(AC3&lt;=Info!$F$20,AC3&gt;=Info!$I$20),Info!$C$20,0)+(Z3-S3-I3-H3-G3-F3)),"")</f>
        <v/>
      </c>
      <c r="F3" s="236">
        <f>IF(AB3&lt;&gt;"",0.03*(H3+I3+S3+L3),"")</f>
        <v/>
      </c>
      <c r="G3" s="236">
        <f>IF(AB3&lt;&gt;"",0.06*(H3+I3+S3+L3),"")</f>
        <v/>
      </c>
      <c r="H3" s="237">
        <f>IF(M3="",0,M3)+IF(N3="",0,N3)+IF(O3="",0,O3)</f>
        <v/>
      </c>
      <c r="I3" s="242" t="n">
        <v>0</v>
      </c>
      <c r="J3" s="242">
        <f>IF(AB3&lt;&gt;"",K3/((1+10/100)^(AC3-1)),"")</f>
        <v/>
      </c>
      <c r="K3" s="236">
        <f>IF(U3&lt;&gt;"",Info!$L$20*U3,"")</f>
        <v/>
      </c>
      <c r="L3" s="243">
        <f>IF(P3="",0,P3)+IF(Q3="",0,Q3)</f>
        <v/>
      </c>
      <c r="M3" s="244">
        <f>IF(Z3&lt;&gt;"",5/100*Z3,"")</f>
        <v/>
      </c>
      <c r="N3" s="244" t="n">
        <v>0</v>
      </c>
      <c r="O3" s="244">
        <f>IF(Z3&lt;&gt;"",0.02*Z3*(1-Info!$F$25),"")</f>
        <v/>
      </c>
      <c r="P3" s="243">
        <f>IF(AND(AB3&lt;=70,W3&lt;&gt;""),(1-Info!$I$27)*((W3*0.0008*(1+(LOOKUP(Info!$I$18,Rates!$O:$O,Rates!$M:$M)/100)))+((Y3*0.0008*Info!$L$14))*(1+(LOOKUP(Info!$I$18,Rates!$O:$O,Rates!$N:$N)/100))),"")</f>
        <v/>
      </c>
      <c r="Q3" s="239">
        <f>IF(AB3&lt;=60,(LOOKUP(AB3,Rates!$T:$T,Rates!#REF!))*V3/1000000*(1+Info!$L$20)*(1-Info!$I$29),"")</f>
        <v/>
      </c>
      <c r="R3" s="42">
        <f>IF(AND(Z3&lt;&gt;"",Q3&lt;&gt;"",P3&lt;&gt;""),IF(Info!$C$16="بله",(Z3-Q3-P3),Z3),"")</f>
        <v/>
      </c>
      <c r="S3" s="236" t="n">
        <v>0</v>
      </c>
      <c r="T3" s="236">
        <f>IF(AB3&lt;&gt;"",U3/((1+10/100)^(AC3-1)),"")</f>
        <v/>
      </c>
      <c r="U3" s="236">
        <f>IF(AB3&lt;&gt;"",(Y3*LOOKUP(AB3,Rates!$T:$T,Rates!$S:$S))/SQRT(1.1),"")</f>
        <v/>
      </c>
      <c r="V3" s="245">
        <f>IF(AND(AB3&lt;&gt;"",AB3&lt;=60),IF(V2*(1+Info!$F$10)&lt;300000000,V2*(1+Info!$F$10),300000000),"")</f>
        <v/>
      </c>
      <c r="W3" s="240">
        <f>IF(AND(AB3&lt;&gt;"",AB3&lt;=60),Y3*Info!$L$16,"")</f>
        <v/>
      </c>
      <c r="X3" s="245">
        <f>IF(AND(AB3&lt;&gt;"",AB3&lt;=70),Y3*(1+Info!$L$14),"")</f>
        <v/>
      </c>
      <c r="Y3" s="245">
        <f>IF(AB3&lt;&gt;"",(1+Info!$F$10)*Y2,"")</f>
        <v/>
      </c>
      <c r="Z3" s="42" t="n">
        <v>0</v>
      </c>
      <c r="AA3" s="57">
        <f>IF(AC3&lt;&gt;"",Info!$C$6+AC3-1,"")</f>
        <v/>
      </c>
      <c r="AB3" s="57">
        <f>IF(AC3&lt;&gt;"",Info!$F$6+AC3-1,"")</f>
        <v/>
      </c>
      <c r="AC3" s="57">
        <f>IF(AC2&lt;&gt;"",IF(AC2+1&lt;=Info!$I$6,AC2+1,""),"")</f>
        <v/>
      </c>
      <c r="AD3" s="241" t="n"/>
      <c r="AE3" s="241" t="n"/>
    </row>
    <row r="4">
      <c r="A4" s="51" t="n">
        <v>0</v>
      </c>
      <c r="B4" s="51">
        <f>IF(AB4&lt;&gt;"",E4+E4*(IF(AC4&gt;4,0.1,LOOKUP(Info!$C$10,Rates!$D$2:$D$4,Rates!$C$2:$C$4))+0.85*(Info!$I$22-(IF(AC4&gt;4,0.1,LOOKUP(Info!$C$10,Rates!$D$2:$D$4,Rates!$C$2:$C$4)))))*LOOKUP(Info!$C$8,Rates!$I$2:$I$7,Rates!$G$2:$G$7)+B3*(1+IF(AC4&gt;4,0.1,LOOKUP(Info!$C$10,Rates!$D$2:$D$4,Rates!$C$2:$C$4))+0.85*(Info!$I$22-IF(AC4&gt;4,0.1,LOOKUP(Info!$C$10,Rates!$D$2:$D$4,Rates!$C$2:$C$4)))),"")</f>
        <v/>
      </c>
      <c r="C4" s="242">
        <f>IF(AB4&lt;&gt;"",0.92*D4,"")</f>
        <v/>
      </c>
      <c r="D4" s="53">
        <f>IF(AB4&lt;&gt;"",E4*(1+IF(AC4&gt;4,0.1,LOOKUP(Info!$C$10,Rates!$D$2:$D$5,Rates!$B$2:$B$5))*LOOKUP(Info!$C$8,Rates!$I$2:$I$7,Rates!$G$2:$G$7))+D3*(1+IF(AC4&gt;4,0.1,LOOKUP(Info!$C$10,Rates!$D$2:$D$5,Rates!$B$2:$B$5))),"")</f>
        <v/>
      </c>
      <c r="E4" s="236">
        <f>IF(AB4&lt;&gt;"",IF(Info!$C$16="بله",IF(AND(AC4&lt;=Info!$F$20,AC4&gt;=Info!$I$20),Info!$C$20,0)+(Z4-S4-I4-H4-G4-F4-L4),IF(AND(AC4&lt;=Info!$F$20,AC4&gt;=Info!$I$20),Info!$C$20,0)+(Z4-S4-I4-H4-G4-F4)),"")</f>
        <v/>
      </c>
      <c r="F4" s="236">
        <f>IF(AB4&lt;&gt;"",0.03*(H4+I4+S4+L4),"")</f>
        <v/>
      </c>
      <c r="G4" s="236">
        <f>IF(AB4&lt;&gt;"",0.06*(H4+I4+S4+L4),"")</f>
        <v/>
      </c>
      <c r="H4" s="237">
        <f>IF(M4="",0,M4)+IF(N4="",0,N4)+IF(O4="",0,O4)</f>
        <v/>
      </c>
      <c r="I4" s="242" t="n">
        <v>0</v>
      </c>
      <c r="J4" s="242">
        <f>IF(AB4&lt;&gt;"",K4/((1+10/100)^(AC4-1)),"")</f>
        <v/>
      </c>
      <c r="K4" s="236">
        <f>IF(U4&lt;&gt;"",Info!$L$20*U4,"")</f>
        <v/>
      </c>
      <c r="L4" s="243">
        <f>IF(P4="",0,P4)+IF(Q4="",0,Q4)</f>
        <v/>
      </c>
      <c r="M4" s="244">
        <f>IF(Z4&lt;&gt;"",5/100*Z4,"")</f>
        <v/>
      </c>
      <c r="N4" s="244" t="n">
        <v>0</v>
      </c>
      <c r="O4" s="244">
        <f>IF(Z4&lt;&gt;"",0.02*Z4*(1-Info!$F$25),"")</f>
        <v/>
      </c>
      <c r="P4" s="243">
        <f>IF(AND(AB4&lt;=70,W4&lt;&gt;""),(1-Info!$I$27)*((W4*0.0008*(1+(LOOKUP(Info!$I$18,Rates!$O:$O,Rates!$M:$M)/100)))+((Y4*0.0008*Info!$L$14))*(1+(LOOKUP(Info!$I$18,Rates!$O:$O,Rates!$N:$N)/100))),"")</f>
        <v/>
      </c>
      <c r="Q4" s="239">
        <f>IF(AB4&lt;=60,(LOOKUP(AB4,Rates!$T:$T,Rates!#REF!))*V4/1000000*(1+Info!$L$20)*(1-Info!$I$29),"")</f>
        <v/>
      </c>
      <c r="R4" s="42">
        <f>IF(AND(Z4&lt;&gt;"",Q4&lt;&gt;"",P4&lt;&gt;""),IF(Info!$C$16="بله",(Z4-Q4-P4),Z4),"")</f>
        <v/>
      </c>
      <c r="S4" s="236" t="n">
        <v>0</v>
      </c>
      <c r="T4" s="236">
        <f>IF(AB4&lt;&gt;"",U4/((1+10/100)^(AC4-1)),"")</f>
        <v/>
      </c>
      <c r="U4" s="236">
        <f>IF(AB4&lt;&gt;"",(Y4*LOOKUP(AB4,Rates!$T:$T,Rates!$S:$S))/SQRT(1.1),"")</f>
        <v/>
      </c>
      <c r="V4" s="245">
        <f>IF(AND(AB4&lt;&gt;"",AB4&lt;=60),IF(V3*(1+Info!$F$10)&lt;300000000,V3*(1+Info!$F$10),300000000),"")</f>
        <v/>
      </c>
      <c r="W4" s="240">
        <f>IF(AND(AB4&lt;&gt;"",AB4&lt;=60),Y4*Info!$L$16,"")</f>
        <v/>
      </c>
      <c r="X4" s="245">
        <f>IF(AND(AB4&lt;&gt;"",AB4&lt;=70),Y4*(1+Info!$L$14),"")</f>
        <v/>
      </c>
      <c r="Y4" s="245">
        <f>IF(AB4&lt;&gt;"",(1+Info!$F$10)*Y3,"")</f>
        <v/>
      </c>
      <c r="Z4" s="42" t="n">
        <v>0</v>
      </c>
      <c r="AA4" s="57">
        <f>IF(AC4&lt;&gt;"",Info!$C$6+AC4-1,"")</f>
        <v/>
      </c>
      <c r="AB4" s="57">
        <f>IF(AC4&lt;&gt;"",Info!$F$6+AC4-1,"")</f>
        <v/>
      </c>
      <c r="AC4" s="57">
        <f>IF(AC3&lt;&gt;"",IF(AC3+1&lt;=Info!$I$6,AC3+1,""),"")</f>
        <v/>
      </c>
      <c r="AD4" s="241" t="n"/>
      <c r="AE4" s="241" t="n"/>
    </row>
    <row r="5">
      <c r="A5" s="51" t="n">
        <v>0</v>
      </c>
      <c r="B5" s="51">
        <f>IF(AB5&lt;&gt;"",E5+E5*(IF(AC5&gt;4,0.1,LOOKUP(Info!$C$10,Rates!$D$2:$D$4,Rates!$C$2:$C$4))+0.85*(Info!$I$22-(IF(AC5&gt;4,0.1,LOOKUP(Info!$C$10,Rates!$D$2:$D$4,Rates!$C$2:$C$4)))))*LOOKUP(Info!$C$8,Rates!$I$2:$I$7,Rates!$G$2:$G$7)+B4*(1+IF(AC5&gt;4,0.1,LOOKUP(Info!$C$10,Rates!$D$2:$D$4,Rates!$C$2:$C$4))+0.85*(Info!$I$22-IF(AC5&gt;4,0.1,LOOKUP(Info!$C$10,Rates!$D$2:$D$4,Rates!$C$2:$C$4)))),"")</f>
        <v/>
      </c>
      <c r="C5" s="242">
        <f>IF(AB5&lt;&gt;"",0.93*D5,"")</f>
        <v/>
      </c>
      <c r="D5" s="53">
        <f>IF(AB5&lt;&gt;"",E5*(1+IF(AC5&gt;4,0.1,LOOKUP(Info!$C$10,Rates!$D$2:$D$5,Rates!$B$2:$B$5))*LOOKUP(Info!$C$8,Rates!$I$2:$I$7,Rates!$G$2:$G$7))+D4*(1+IF(AC5&gt;4,0.1,LOOKUP(Info!$C$10,Rates!$D$2:$D$5,Rates!$B$2:$B$5))),"")</f>
        <v/>
      </c>
      <c r="E5" s="236">
        <f>IF(AB5&lt;&gt;"",IF(Info!$C$16="بله",IF(AND(AC5&lt;=Info!$F$20,AC5&gt;=Info!$I$20),Info!$C$20,0)+(Z5-S5-I5-H5-G5-F5-L5),IF(AND(AC5&lt;=Info!$F$20,AC5&gt;=Info!$I$20),Info!$C$20,0)+(Z5-S5-I5-H5-G5-F5)),"")</f>
        <v/>
      </c>
      <c r="F5" s="236">
        <f>IF(AB5&lt;&gt;"",0.03*(H5+I5+S5+L5),"")</f>
        <v/>
      </c>
      <c r="G5" s="236">
        <f>IF(AB5&lt;&gt;"",0.06*(H5+I5+S5+L5),"")</f>
        <v/>
      </c>
      <c r="H5" s="237">
        <f>IF(M5="",0,M5)+IF(N5="",0,N5)+IF(O5="",0,O5)</f>
        <v/>
      </c>
      <c r="I5" s="242" t="n">
        <v>0</v>
      </c>
      <c r="J5" s="242">
        <f>IF(AB5&lt;&gt;"",K5/((1+10/100)^(AC5-1)),"")</f>
        <v/>
      </c>
      <c r="K5" s="236">
        <f>IF(U5&lt;&gt;"",Info!$L$20*U5,"")</f>
        <v/>
      </c>
      <c r="L5" s="243">
        <f>IF(P5="",0,P5)+IF(Q5="",0,Q5)</f>
        <v/>
      </c>
      <c r="M5" s="244">
        <f>IF(Z5&lt;&gt;"",5/100*Z5,"")</f>
        <v/>
      </c>
      <c r="N5" s="244" t="n">
        <v>0</v>
      </c>
      <c r="O5" s="244">
        <f>IF(Z5&lt;&gt;"",0.02*Z5*(1-Info!$F$25),"")</f>
        <v/>
      </c>
      <c r="P5" s="243">
        <f>IF(AND(AB5&lt;=70,W5&lt;&gt;""),(1-Info!$I$27)*((W5*0.0008*(1+(LOOKUP(Info!$I$18,Rates!$O:$O,Rates!$M:$M)/100)))+((Y5*0.0008*Info!$L$14))*(1+(LOOKUP(Info!$I$18,Rates!$O:$O,Rates!$N:$N)/100))),"")</f>
        <v/>
      </c>
      <c r="Q5" s="239">
        <f>IF(AB5&lt;=60,(LOOKUP(AB5,Rates!$T:$T,Rates!#REF!))*V5/1000000*(1+Info!$L$20)*(1-Info!$I$29),"")</f>
        <v/>
      </c>
      <c r="R5" s="42">
        <f>IF(AND(Z5&lt;&gt;"",Q5&lt;&gt;"",P5&lt;&gt;""),IF(Info!$C$16="بله",(Z5-Q5-P5),Z5),"")</f>
        <v/>
      </c>
      <c r="S5" s="236" t="n">
        <v>0</v>
      </c>
      <c r="T5" s="236">
        <f>IF(AB5&lt;&gt;"",U5/((1+10/100)^(AC5-1)),"")</f>
        <v/>
      </c>
      <c r="U5" s="236">
        <f>IF(AB5&lt;&gt;"",(Y5*LOOKUP(AB5,Rates!$T:$T,Rates!$S:$S))/SQRT(1.1),"")</f>
        <v/>
      </c>
      <c r="V5" s="245">
        <f>IF(AND(AB5&lt;&gt;"",AB5&lt;=60),IF(V4*(1+Info!$F$10)&lt;300000000,V4*(1+Info!$F$10),300000000),"")</f>
        <v/>
      </c>
      <c r="W5" s="240">
        <f>IF(AND(AB5&lt;&gt;"",AB5&lt;=60),Y5*Info!$L$16,"")</f>
        <v/>
      </c>
      <c r="X5" s="245">
        <f>IF(AND(AB5&lt;&gt;"",AB5&lt;=70),Y5*(1+Info!$L$14),"")</f>
        <v/>
      </c>
      <c r="Y5" s="245">
        <f>IF(AB5&lt;&gt;"",(1+Info!$F$10)*Y4,"")</f>
        <v/>
      </c>
      <c r="Z5" s="42" t="n">
        <v>0</v>
      </c>
      <c r="AA5" s="57">
        <f>IF(AC5&lt;&gt;"",Info!$C$6+AC5-1,"")</f>
        <v/>
      </c>
      <c r="AB5" s="57">
        <f>IF(AC5&lt;&gt;"",Info!$F$6+AC5-1,"")</f>
        <v/>
      </c>
      <c r="AC5" s="57">
        <f>IF(AC4&lt;&gt;"",IF(AC4+1&lt;=Info!$I$6,AC4+1,""),"")</f>
        <v/>
      </c>
      <c r="AD5" s="241" t="n"/>
      <c r="AE5" s="241" t="n"/>
    </row>
    <row r="6">
      <c r="A6" s="51" t="n">
        <v>0</v>
      </c>
      <c r="B6" s="51">
        <f>IF(AB6&lt;&gt;"",E6+E6*(IF(AC6&gt;4,0.1,LOOKUP(Info!$C$10,Rates!$D$2:$D$4,Rates!$C$2:$C$4))+0.85*(Info!$I$22-(IF(AC6&gt;4,0.1,LOOKUP(Info!$C$10,Rates!$D$2:$D$4,Rates!$C$2:$C$4)))))*LOOKUP(Info!$C$8,Rates!$I$2:$I$7,Rates!$G$2:$G$7)+B5*(1+IF(AC6&gt;4,0.1,LOOKUP(Info!$C$10,Rates!$D$2:$D$4,Rates!$C$2:$C$4))+0.85*(Info!$I$22-IF(AC6&gt;4,0.1,LOOKUP(Info!$C$10,Rates!$D$2:$D$4,Rates!$C$2:$C$4)))),"")</f>
        <v/>
      </c>
      <c r="C6" s="242">
        <f>IF(AB6&lt;&gt;"",0.94*D6,"")</f>
        <v/>
      </c>
      <c r="D6" s="53">
        <f>IF(AB6&lt;&gt;"",E6*(1+IF(AC6&gt;4,0.1,LOOKUP(Info!$C$10,Rates!$D$2:$D$5,Rates!$B$2:$B$5))*LOOKUP(Info!$C$8,Rates!$I$2:$I$7,Rates!$G$2:$G$7))+D5*(1+IF(AC6&gt;4,0.1,LOOKUP(Info!$C$10,Rates!$D$2:$D$5,Rates!$B$2:$B$5))),"")</f>
        <v/>
      </c>
      <c r="E6" s="236">
        <f>IF(AB6&lt;&gt;"",IF(Info!$C$16="بله",IF(AND(AC6&lt;=Info!$F$20,AC6&gt;=Info!$I$20),Info!$C$20,0)+(Z6-S6-I6-H6-G6-F6-L6),IF(AND(AC6&lt;=Info!$F$20,AC6&gt;=Info!$I$20),Info!$C$20,0)+(Z6-S6-I6-H6-G6-F6)),"")</f>
        <v/>
      </c>
      <c r="F6" s="236">
        <f>IF(AB6&lt;&gt;"",0.03*(H6+I6+S6+L6),"")</f>
        <v/>
      </c>
      <c r="G6" s="236">
        <f>IF(AB6&lt;&gt;"",0.06*(H6+I6+S6+L6),"")</f>
        <v/>
      </c>
      <c r="H6" s="237">
        <f>IF(M6="",0,M6)+IF(N6="",0,N6)+IF(O6="",0,O6)</f>
        <v/>
      </c>
      <c r="I6" s="242" t="n">
        <v>0</v>
      </c>
      <c r="J6" s="242">
        <f>IF(AB6&lt;&gt;"",K6/((1+10/100)^(AC6-1)),"")</f>
        <v/>
      </c>
      <c r="K6" s="236">
        <f>IF(U6&lt;&gt;"",Info!$L$20*U6,"")</f>
        <v/>
      </c>
      <c r="L6" s="243">
        <f>IF(P6="",0,P6)+IF(Q6="",0,Q6)</f>
        <v/>
      </c>
      <c r="M6" s="244">
        <f>IF(Z6&lt;&gt;"",5/100*Z6,"")</f>
        <v/>
      </c>
      <c r="N6" s="244" t="n">
        <v>0</v>
      </c>
      <c r="O6" s="244">
        <f>IF(Z6&lt;&gt;"",0.02*Z6*(1-Info!$F$25),"")</f>
        <v/>
      </c>
      <c r="P6" s="243">
        <f>IF(AND(AB6&lt;=70,W6&lt;&gt;""),(1-Info!$I$27)*((W6*0.0008*(1+(LOOKUP(Info!$I$18,Rates!$O:$O,Rates!$M:$M)/100)))+((Y6*0.0008*Info!$L$14))*(1+(LOOKUP(Info!$I$18,Rates!$O:$O,Rates!$N:$N)/100))),"")</f>
        <v/>
      </c>
      <c r="Q6" s="239">
        <f>IF(AB6&lt;=60,(LOOKUP(AB6,Rates!$T:$T,Rates!#REF!))*V6/1000000*(1+Info!$L$20)*(1-Info!$I$29),"")</f>
        <v/>
      </c>
      <c r="R6" s="42">
        <f>IF(AND(Z6&lt;&gt;"",Q6&lt;&gt;"",P6&lt;&gt;""),IF(Info!$C$16="بله",(Z6-Q6-P6),Z6),"")</f>
        <v/>
      </c>
      <c r="S6" s="236" t="n">
        <v>0</v>
      </c>
      <c r="T6" s="236">
        <f>IF(AB6&lt;&gt;"",U6/((1+10/100)^(AC6-1)),"")</f>
        <v/>
      </c>
      <c r="U6" s="236">
        <f>IF(AB6&lt;&gt;"",(Y6*LOOKUP(AB6,Rates!$T:$T,Rates!$S:$S))/SQRT(1.1),"")</f>
        <v/>
      </c>
      <c r="V6" s="245">
        <f>IF(AND(AB6&lt;&gt;"",AB6&lt;=60),IF(V5*(1+Info!$F$10)&lt;300000000,V5*(1+Info!$F$10),300000000),"")</f>
        <v/>
      </c>
      <c r="W6" s="240">
        <f>IF(AND(AB6&lt;&gt;"",AB6&lt;=60),Y6*Info!$L$16,"")</f>
        <v/>
      </c>
      <c r="X6" s="245">
        <f>IF(AND(AB6&lt;&gt;"",AB6&lt;=70),Y6*(1+Info!$L$14),"")</f>
        <v/>
      </c>
      <c r="Y6" s="245">
        <f>IF(AB6&lt;&gt;"",(1+Info!$F$10)*Y5,"")</f>
        <v/>
      </c>
      <c r="Z6" s="42" t="n">
        <v>0</v>
      </c>
      <c r="AA6" s="57">
        <f>IF(AC6&lt;&gt;"",Info!$C$6+AC6-1,"")</f>
        <v/>
      </c>
      <c r="AB6" s="57">
        <f>IF(AC6&lt;&gt;"",Info!$F$6+AC6-1,"")</f>
        <v/>
      </c>
      <c r="AC6" s="57">
        <f>IF(AC5&lt;&gt;"",IF(AC5+1&lt;=Info!$I$6,AC5+1,""),"")</f>
        <v/>
      </c>
      <c r="AD6" s="241" t="n"/>
      <c r="AE6" s="241" t="n"/>
    </row>
    <row r="7">
      <c r="A7" s="51" t="n">
        <v>0</v>
      </c>
      <c r="B7" s="51">
        <f>IF(AB7&lt;&gt;"",E7+E7*(IF(AC7&gt;4,0.1,LOOKUP(Info!$C$10,Rates!$D$2:$D$4,Rates!$C$2:$C$4))+0.85*(Info!$I$22-(IF(AC7&gt;4,0.1,LOOKUP(Info!$C$10,Rates!$D$2:$D$4,Rates!$C$2:$C$4)))))*LOOKUP(Info!$C$8,Rates!$I$2:$I$7,Rates!$G$2:$G$7)+B6*(1+IF(AC7&gt;4,0.1,LOOKUP(Info!$C$10,Rates!$D$2:$D$4,Rates!$C$2:$C$4))+0.85*(Info!$I$22-IF(AC7&gt;4,0.1,LOOKUP(Info!$C$10,Rates!$D$2:$D$4,Rates!$C$2:$C$4)))),"")</f>
        <v/>
      </c>
      <c r="C7" s="242">
        <f>IF(AB7&lt;&gt;"",0.95*D7,"")</f>
        <v/>
      </c>
      <c r="D7" s="53">
        <f>IF(AB7&lt;&gt;"",E7*(1+IF(AC7&gt;4,0.1,LOOKUP(Info!$C$10,Rates!$D$2:$D$5,Rates!$B$2:$B$5))*LOOKUP(Info!$C$8,Rates!$I$2:$I$7,Rates!$G$2:$G$7))+D6*(1+IF(AC7&gt;4,0.1,LOOKUP(Info!$C$10,Rates!$D$2:$D$5,Rates!$B$2:$B$5))),"")</f>
        <v/>
      </c>
      <c r="E7" s="236">
        <f>IF(AB7&lt;&gt;"",IF(Info!$C$16="بله",IF(AND(AC7&lt;=Info!$F$20,AC7&gt;=Info!$I$20),Info!$C$20,0)+(Z7-S7-I7-H7-G7-F7-L7),IF(AND(AC7&lt;=Info!$F$20,AC7&gt;=Info!$I$20),Info!$C$20,0)+(Z7-S7-I7-H7-G7-F7)),"")</f>
        <v/>
      </c>
      <c r="F7" s="236">
        <f>IF(AB7&lt;&gt;"",0.03*(H7+I7+S7+L7),"")</f>
        <v/>
      </c>
      <c r="G7" s="236">
        <f>IF(AB7&lt;&gt;"",0.06*(H7+I7+S7+L7),"")</f>
        <v/>
      </c>
      <c r="H7" s="237">
        <f>IF(M7="",0,M7)+IF(N7="",0,N7)+IF(O7="",0,O7)</f>
        <v/>
      </c>
      <c r="I7" s="242" t="n">
        <v>0</v>
      </c>
      <c r="J7" s="242">
        <f>IF(AB7&lt;&gt;"",K7/((1+10/100)^(AC7-1)),"")</f>
        <v/>
      </c>
      <c r="K7" s="236">
        <f>IF(U7&lt;&gt;"",Info!$L$20*U7,"")</f>
        <v/>
      </c>
      <c r="L7" s="243">
        <f>IF(P7="",0,P7)+IF(Q7="",0,Q7)</f>
        <v/>
      </c>
      <c r="M7" s="244">
        <f>IF(Z7&lt;&gt;"",5/100*Z7,"")</f>
        <v/>
      </c>
      <c r="N7" s="244" t="n">
        <v>0</v>
      </c>
      <c r="O7" s="244">
        <f>IF(Z7&lt;&gt;"",0.02*Z7*(1-Info!$F$25),"")</f>
        <v/>
      </c>
      <c r="P7" s="243">
        <f>IF(AND(AB7&lt;=70,W7&lt;&gt;""),(1-Info!$I$27)*((W7*0.0008*(1+(LOOKUP(Info!$I$18,Rates!$O:$O,Rates!$M:$M)/100)))+((Y7*0.0008*Info!$L$14))*(1+(LOOKUP(Info!$I$18,Rates!$O:$O,Rates!$N:$N)/100))),"")</f>
        <v/>
      </c>
      <c r="Q7" s="239">
        <f>IF(AB7&lt;=60,(LOOKUP(AB7,Rates!$T:$T,Rates!#REF!))*V7/1000000*(1+Info!$L$20)*(1-Info!$I$29),"")</f>
        <v/>
      </c>
      <c r="R7" s="42">
        <f>IF(AND(Z7&lt;&gt;"",Q7&lt;&gt;"",P7&lt;&gt;""),IF(Info!$C$16="بله",(Z7-Q7-P7),Z7),"")</f>
        <v/>
      </c>
      <c r="S7" s="236" t="n">
        <v>0</v>
      </c>
      <c r="T7" s="236">
        <f>IF(AB7&lt;&gt;"",U7/((1+10/100)^(AC7-1)),"")</f>
        <v/>
      </c>
      <c r="U7" s="236">
        <f>IF(AB7&lt;&gt;"",(Y7*LOOKUP(AB7,Rates!$T:$T,Rates!$S:$S))/SQRT(1.1),"")</f>
        <v/>
      </c>
      <c r="V7" s="245">
        <f>IF(AND(AB7&lt;&gt;"",AB7&lt;=60),IF(V6*(1+Info!$F$10)&lt;300000000,V6*(1+Info!$F$10),300000000),"")</f>
        <v/>
      </c>
      <c r="W7" s="240">
        <f>IF(AND(AB7&lt;&gt;"",AB7&lt;=60),Y7*Info!$L$16,"")</f>
        <v/>
      </c>
      <c r="X7" s="245">
        <f>IF(AND(AB7&lt;&gt;"",AB7&lt;=70),Y7*(1+Info!$L$14),"")</f>
        <v/>
      </c>
      <c r="Y7" s="245">
        <f>IF(AB7&lt;&gt;"",(1+Info!$F$10)*Y6,"")</f>
        <v/>
      </c>
      <c r="Z7" s="42" t="n">
        <v>0</v>
      </c>
      <c r="AA7" s="57">
        <f>IF(AC7&lt;&gt;"",Info!$C$6+AC7-1,"")</f>
        <v/>
      </c>
      <c r="AB7" s="57">
        <f>IF(AC7&lt;&gt;"",Info!$F$6+AC7-1,"")</f>
        <v/>
      </c>
      <c r="AC7" s="57">
        <f>IF(AC6&lt;&gt;"",IF(AC6+1&lt;=Info!$I$6,AC6+1,""),"")</f>
        <v/>
      </c>
      <c r="AD7" s="241" t="n"/>
      <c r="AE7" s="241" t="n"/>
    </row>
    <row r="8">
      <c r="A8" s="51" t="n">
        <v>0</v>
      </c>
      <c r="B8" s="51">
        <f>IF(AB8&lt;&gt;"",E8+E8*(IF(AC8&gt;4,0.1,LOOKUP(Info!$C$10,Rates!$D$2:$D$4,Rates!$C$2:$C$4))+0.85*(Info!$I$22-(IF(AC8&gt;4,0.1,LOOKUP(Info!$C$10,Rates!$D$2:$D$4,Rates!$C$2:$C$4)))))*LOOKUP(Info!$C$8,Rates!$I$2:$I$7,Rates!$G$2:$G$7)+B7*(1+IF(AC8&gt;4,0.1,LOOKUP(Info!$C$10,Rates!$D$2:$D$4,Rates!$C$2:$C$4))+0.85*(Info!$I$22-IF(AC8&gt;4,0.1,LOOKUP(Info!$C$10,Rates!$D$2:$D$4,Rates!$C$2:$C$4)))),"")</f>
        <v/>
      </c>
      <c r="C8" s="242">
        <f>IF(AB8&lt;&gt;"",0.96*D8,"")</f>
        <v/>
      </c>
      <c r="D8" s="53">
        <f>IF(AB8&lt;&gt;"",E8*(1+IF(AC8&gt;4,0.1,LOOKUP(Info!$C$10,Rates!$D$2:$D$5,Rates!$B$2:$B$5))*LOOKUP(Info!$C$8,Rates!$I$2:$I$7,Rates!$G$2:$G$7))+D7*(1+IF(AC8&gt;4,0.1,LOOKUP(Info!$C$10,Rates!$D$2:$D$5,Rates!$B$2:$B$5))),"")</f>
        <v/>
      </c>
      <c r="E8" s="236">
        <f>IF(AB8&lt;&gt;"",IF(Info!$C$16="بله",IF(AND(AC8&lt;=Info!$F$20,AC8&gt;=Info!$I$20),Info!$C$20,0)+(Z8-S8-I8-H8-G8-F8-L8),IF(AND(AC8&lt;=Info!$F$20,AC8&gt;=Info!$I$20),Info!$C$20,0)+(Z8-S8-I8-H8-G8-F8)),"")</f>
        <v/>
      </c>
      <c r="F8" s="236">
        <f>IF(AB8&lt;&gt;"",0.03*(H8+I8+S8+L8),"")</f>
        <v/>
      </c>
      <c r="G8" s="236">
        <f>IF(AB8&lt;&gt;"",0.06*(H8+I8+S8+L8),"")</f>
        <v/>
      </c>
      <c r="H8" s="237">
        <f>IF(M8="",0,M8)+IF(N8="",0,N8)+IF(O8="",0,O8)</f>
        <v/>
      </c>
      <c r="I8" s="242" t="n">
        <v>0</v>
      </c>
      <c r="J8" s="242">
        <f>IF(AB8&lt;&gt;"",K8/((1+10/100)^(AC8-1)),"")</f>
        <v/>
      </c>
      <c r="K8" s="236">
        <f>IF(U8&lt;&gt;"",Info!$L$20*U8,"")</f>
        <v/>
      </c>
      <c r="L8" s="243">
        <f>IF(P8="",0,P8)+IF(Q8="",0,Q8)</f>
        <v/>
      </c>
      <c r="M8" s="244">
        <f>IF(Z8&lt;&gt;"",5/100*Z8,"")</f>
        <v/>
      </c>
      <c r="N8" s="244" t="n">
        <v>0</v>
      </c>
      <c r="O8" s="244">
        <f>IF(Z8&lt;&gt;"",0.02*Z8*(1-Info!$F$25),"")</f>
        <v/>
      </c>
      <c r="P8" s="243">
        <f>IF(AND(AB8&lt;=70,W8&lt;&gt;""),(1-Info!$I$27)*((W8*0.0008*(1+(LOOKUP(Info!$I$18,Rates!$O:$O,Rates!$M:$M)/100)))+((Y8*0.0008*Info!$L$14))*(1+(LOOKUP(Info!$I$18,Rates!$O:$O,Rates!$N:$N)/100))),"")</f>
        <v/>
      </c>
      <c r="Q8" s="239">
        <f>IF(AB8&lt;=60,(LOOKUP(AB8,Rates!$T:$T,Rates!#REF!))*V8/1000000*(1+Info!$L$20)*(1-Info!$I$29),"")</f>
        <v/>
      </c>
      <c r="R8" s="42">
        <f>IF(AND(Z8&lt;&gt;"",Q8&lt;&gt;"",P8&lt;&gt;""),IF(Info!$C$16="بله",(Z8-Q8-P8),Z8),"")</f>
        <v/>
      </c>
      <c r="S8" s="236" t="n">
        <v>0</v>
      </c>
      <c r="T8" s="236">
        <f>IF(AB8&lt;&gt;"",U8/((1+10/100)^(AC8-1)),"")</f>
        <v/>
      </c>
      <c r="U8" s="236">
        <f>IF(AB8&lt;&gt;"",(Y8*LOOKUP(AB8,Rates!$T:$T,Rates!$S:$S))/SQRT(1.1),"")</f>
        <v/>
      </c>
      <c r="V8" s="245">
        <f>IF(AND(AB8&lt;&gt;"",AB8&lt;=60),IF(V7*(1+Info!$F$10)&lt;300000000,V7*(1+Info!$F$10),300000000),"")</f>
        <v/>
      </c>
      <c r="W8" s="240">
        <f>IF(AND(AB8&lt;&gt;"",AB8&lt;=60),Y8*Info!$L$16,"")</f>
        <v/>
      </c>
      <c r="X8" s="245">
        <f>IF(AND(AB8&lt;&gt;"",AB8&lt;=70),Y8*(1+Info!$L$14),"")</f>
        <v/>
      </c>
      <c r="Y8" s="245">
        <f>IF(AB8&lt;&gt;"",(1+Info!$F$10)*Y7,"")</f>
        <v/>
      </c>
      <c r="Z8" s="42" t="n">
        <v>0</v>
      </c>
      <c r="AA8" s="57">
        <f>IF(AC8&lt;&gt;"",Info!$C$6+AC8-1,"")</f>
        <v/>
      </c>
      <c r="AB8" s="57">
        <f>IF(AC8&lt;&gt;"",Info!$F$6+AC8-1,"")</f>
        <v/>
      </c>
      <c r="AC8" s="57">
        <f>IF(AC7&lt;&gt;"",IF(AC7+1&lt;=Info!$I$6,AC7+1,""),"")</f>
        <v/>
      </c>
      <c r="AD8" s="241" t="n"/>
      <c r="AE8" s="241" t="n"/>
    </row>
    <row r="9">
      <c r="A9" s="51" t="n">
        <v>0</v>
      </c>
      <c r="B9" s="51">
        <f>IF(AB9&lt;&gt;"",E9+E9*(IF(AC9&gt;4,0.1,LOOKUP(Info!$C$10,Rates!$D$2:$D$4,Rates!$C$2:$C$4))+0.85*(Info!$I$22-(IF(AC9&gt;4,0.1,LOOKUP(Info!$C$10,Rates!$D$2:$D$4,Rates!$C$2:$C$4)))))*LOOKUP(Info!$C$8,Rates!$I$2:$I$7,Rates!$G$2:$G$7)+B8*(1+IF(AC9&gt;4,0.1,LOOKUP(Info!$C$10,Rates!$D$2:$D$4,Rates!$C$2:$C$4))+0.85*(Info!$I$22-IF(AC9&gt;4,0.1,LOOKUP(Info!$C$10,Rates!$D$2:$D$4,Rates!$C$2:$C$4)))),"")</f>
        <v/>
      </c>
      <c r="C9" s="242">
        <f>IF(AB9&lt;&gt;"",D9,"")</f>
        <v/>
      </c>
      <c r="D9" s="53">
        <f>IF(AB9&lt;&gt;"",E9*(1+IF(AC9&gt;4,0.1,LOOKUP(Info!$C$10,Rates!$D$2:$D$5,Rates!$B$2:$B$5))*LOOKUP(Info!$C$8,Rates!$I$2:$I$7,Rates!$G$2:$G$7))+D8*(1+IF(AC9&gt;4,0.1,LOOKUP(Info!$C$10,Rates!$D$2:$D$5,Rates!$B$2:$B$5))),"")</f>
        <v/>
      </c>
      <c r="E9" s="236">
        <f>IF(AB9&lt;&gt;"",IF(Info!$C$16="بله",IF(AND(AC9&lt;=Info!$F$20,AC9&gt;=Info!$I$20),Info!$C$20,0)+(Z9-S9-I9-H9-G9-F9-L9),IF(AND(AC9&lt;=Info!$F$20,AC9&gt;=Info!$I$20),Info!$C$20,0)+(Z9-S9-I9-H9-G9-F9)),"")</f>
        <v/>
      </c>
      <c r="F9" s="236">
        <f>IF(AB9&lt;&gt;"",0.03*(H9+I9+S9+L9),"")</f>
        <v/>
      </c>
      <c r="G9" s="236">
        <f>IF(AB9&lt;&gt;"",0.06*(H9+I9+S9+L9),"")</f>
        <v/>
      </c>
      <c r="H9" s="237">
        <f>IF(M9="",0,M9)+IF(N9="",0,N9)+IF(O9="",0,O9)</f>
        <v/>
      </c>
      <c r="I9" s="242" t="n">
        <v>0</v>
      </c>
      <c r="J9" s="242">
        <f>IF(AB9&lt;&gt;"",K9/((1+10/100)^(AC9-1)),"")</f>
        <v/>
      </c>
      <c r="K9" s="236">
        <f>IF(U9&lt;&gt;"",Info!$L$20*U9,"")</f>
        <v/>
      </c>
      <c r="L9" s="243">
        <f>IF(P9="",0,P9)+IF(Q9="",0,Q9)</f>
        <v/>
      </c>
      <c r="M9" s="244">
        <f>IF(Z9&lt;&gt;"",5/100*Z9,"")</f>
        <v/>
      </c>
      <c r="N9" s="244" t="n">
        <v>0</v>
      </c>
      <c r="O9" s="244">
        <f>IF(Z9&lt;&gt;"",0.02*Z9*(1-Info!$F$25),"")</f>
        <v/>
      </c>
      <c r="P9" s="243">
        <f>IF(AND(AB9&lt;=70,W9&lt;&gt;""),(1-Info!$I$27)*((W9*0.0008*(1+(LOOKUP(Info!$I$18,Rates!$O:$O,Rates!$M:$M)/100)))+((Y9*0.0008*Info!$L$14))*(1+(LOOKUP(Info!$I$18,Rates!$O:$O,Rates!$N:$N)/100))),"")</f>
        <v/>
      </c>
      <c r="Q9" s="239">
        <f>IF(AB9&lt;=60,(LOOKUP(AB9,Rates!$T:$T,Rates!#REF!))*V9/1000000*(1+Info!$L$20)*(1-Info!$I$29),"")</f>
        <v/>
      </c>
      <c r="R9" s="42">
        <f>IF(AND(Z9&lt;&gt;"",Q9&lt;&gt;"",P9&lt;&gt;""),IF(Info!$C$16="بله",(Z9-Q9-P9),Z9),"")</f>
        <v/>
      </c>
      <c r="S9" s="236" t="n">
        <v>0</v>
      </c>
      <c r="T9" s="236">
        <f>IF(AB9&lt;&gt;"",U9/((1+10/100)^(AC9-1)),"")</f>
        <v/>
      </c>
      <c r="U9" s="236">
        <f>IF(AB9&lt;&gt;"",(Y9*LOOKUP(AB9,Rates!$T:$T,Rates!$S:$S))/SQRT(1.1),"")</f>
        <v/>
      </c>
      <c r="V9" s="245">
        <f>IF(AND(AB9&lt;&gt;"",AB9&lt;=60),IF(V8*(1+Info!$F$10)&lt;300000000,V8*(1+Info!$F$10),300000000),"")</f>
        <v/>
      </c>
      <c r="W9" s="240">
        <f>IF(AND(AB9&lt;&gt;"",AB9&lt;=60),Y9*Info!$L$16,"")</f>
        <v/>
      </c>
      <c r="X9" s="245">
        <f>IF(AND(AB9&lt;&gt;"",AB9&lt;=70),Y9*(1+Info!$L$14),"")</f>
        <v/>
      </c>
      <c r="Y9" s="245">
        <f>IF(AB9&lt;&gt;"",(1+Info!$F$10)*Y8,"")</f>
        <v/>
      </c>
      <c r="Z9" s="42" t="n">
        <v>0</v>
      </c>
      <c r="AA9" s="57">
        <f>IF(AC9&lt;&gt;"",Info!$C$6+AC9-1,"")</f>
        <v/>
      </c>
      <c r="AB9" s="57">
        <f>IF(AC9&lt;&gt;"",Info!$F$6+AC9-1,"")</f>
        <v/>
      </c>
      <c r="AC9" s="57">
        <f>IF(AC8&lt;&gt;"",IF(AC8+1&lt;=Info!$I$6,AC8+1,""),"")</f>
        <v/>
      </c>
      <c r="AD9" s="241" t="n"/>
      <c r="AE9" s="241" t="n"/>
    </row>
    <row r="10">
      <c r="A10" s="51" t="n">
        <v>0</v>
      </c>
      <c r="B10" s="51">
        <f>IF(AB10&lt;&gt;"",E10+E10*(IF(AC10&gt;4,0.1,LOOKUP(Info!$C$10,Rates!$D$2:$D$4,Rates!$C$2:$C$4))+0.85*(Info!$I$22-(IF(AC10&gt;4,0.1,LOOKUP(Info!$C$10,Rates!$D$2:$D$4,Rates!$C$2:$C$4)))))*LOOKUP(Info!$C$8,Rates!$I$2:$I$7,Rates!$G$2:$G$7)+B9*(1+IF(AC10&gt;4,0.1,LOOKUP(Info!$C$10,Rates!$D$2:$D$4,Rates!$C$2:$C$4))+0.85*(Info!$I$22-IF(AC10&gt;4,0.1,LOOKUP(Info!$C$10,Rates!$D$2:$D$4,Rates!$C$2:$C$4)))),"")</f>
        <v/>
      </c>
      <c r="C10" s="242">
        <f>IF(AB10&lt;&gt;"",D10,"")</f>
        <v/>
      </c>
      <c r="D10" s="53">
        <f>IF(AB10&lt;&gt;"",E10*(1+IF(AC10&gt;4,0.1,LOOKUP(Info!$C$10,Rates!$D$2:$D$5,Rates!$B$2:$B$5))*LOOKUP(Info!$C$8,Rates!$I$2:$I$7,Rates!$G$2:$G$7))+D9*(1+IF(AC10&gt;4,0.1,LOOKUP(Info!$C$10,Rates!$D$2:$D$5,Rates!$B$2:$B$5))),"")</f>
        <v/>
      </c>
      <c r="E10" s="236">
        <f>IF(AB10&lt;&gt;"",IF(Info!$C$16="بله",IF(AND(AC10&lt;=Info!$F$20,AC10&gt;=Info!$I$20),Info!$C$20,0)+(Z10-S10-I10-H10-G10-F10-L10),IF(AND(AC10&lt;=Info!$F$20,AC10&gt;=Info!$I$20),Info!$C$20,0)+(Z10-S10-I10-H10-G10-F10)),"")</f>
        <v/>
      </c>
      <c r="F10" s="236">
        <f>IF(AB10&lt;&gt;"",0.03*(H10+I10+S10+L10),"")</f>
        <v/>
      </c>
      <c r="G10" s="236">
        <f>IF(AB10&lt;&gt;"",0.06*(H10+I10+S10+L10),"")</f>
        <v/>
      </c>
      <c r="H10" s="237">
        <f>IF(M10="",0,M10)+IF(N10="",0,N10)+IF(O10="",0,O10)</f>
        <v/>
      </c>
      <c r="I10" s="242" t="n">
        <v>0</v>
      </c>
      <c r="J10" s="242">
        <f>IF(AB10&lt;&gt;"",K10/((1+10/100)^(AC10-1)),"")</f>
        <v/>
      </c>
      <c r="K10" s="236">
        <f>IF(U10&lt;&gt;"",Info!$L$20*U10,"")</f>
        <v/>
      </c>
      <c r="L10" s="243">
        <f>IF(P10="",0,P10)+IF(Q10="",0,Q10)</f>
        <v/>
      </c>
      <c r="M10" s="244">
        <f>IF(Z10&lt;&gt;"",5/100*Z10,"")</f>
        <v/>
      </c>
      <c r="N10" s="244" t="n">
        <v>0</v>
      </c>
      <c r="O10" s="244">
        <f>IF(Z10&lt;&gt;"",0.02*Z10*(1-Info!$F$25),"")</f>
        <v/>
      </c>
      <c r="P10" s="243">
        <f>IF(AND(AB10&lt;=70,W10&lt;&gt;""),(1-Info!$I$27)*((W10*0.0008*(1+(LOOKUP(Info!$I$18,Rates!$O:$O,Rates!$M:$M)/100)))+((Y10*0.0008*Info!$L$14))*(1+(LOOKUP(Info!$I$18,Rates!$O:$O,Rates!$N:$N)/100))),"")</f>
        <v/>
      </c>
      <c r="Q10" s="239">
        <f>IF(AB10&lt;=60,(LOOKUP(AB10,Rates!$T:$T,Rates!#REF!))*V10/1000000*(1+Info!$L$20)*(1-Info!$I$29),"")</f>
        <v/>
      </c>
      <c r="R10" s="42">
        <f>IF(AND(Z10&lt;&gt;"",Q10&lt;&gt;"",P10&lt;&gt;""),IF(Info!$C$16="بله",(Z10-Q10-P10),Z10),"")</f>
        <v/>
      </c>
      <c r="S10" s="236" t="n">
        <v>0</v>
      </c>
      <c r="T10" s="236">
        <f>IF(AB10&lt;&gt;"",U10/((1+10/100)^(AC10-1)),"")</f>
        <v/>
      </c>
      <c r="U10" s="236">
        <f>IF(AB10&lt;&gt;"",(Y10*LOOKUP(AB10,Rates!$T:$T,Rates!$S:$S))/SQRT(1.1),"")</f>
        <v/>
      </c>
      <c r="V10" s="245">
        <f>IF(AND(AB10&lt;&gt;"",AB10&lt;=60),IF(V9*(1+Info!$F$10)&lt;300000000,V9*(1+Info!$F$10),300000000),"")</f>
        <v/>
      </c>
      <c r="W10" s="240">
        <f>IF(AND(AB10&lt;&gt;"",AB10&lt;=60),Y10*Info!$L$16,"")</f>
        <v/>
      </c>
      <c r="X10" s="245">
        <f>IF(AND(AB10&lt;&gt;"",AB10&lt;=70),Y10*(1+Info!$L$14),"")</f>
        <v/>
      </c>
      <c r="Y10" s="245">
        <f>IF(AB10&lt;&gt;"",(1+Info!$F$10)*Y9,"")</f>
        <v/>
      </c>
      <c r="Z10" s="42" t="n">
        <v>0</v>
      </c>
      <c r="AA10" s="57">
        <f>IF(AC10&lt;&gt;"",Info!$C$6+AC10-1,"")</f>
        <v/>
      </c>
      <c r="AB10" s="57">
        <f>IF(AC10&lt;&gt;"",Info!$F$6+AC10-1,"")</f>
        <v/>
      </c>
      <c r="AC10" s="57">
        <f>IF(AC9&lt;&gt;"",IF(AC9+1&lt;=Info!$I$6,AC9+1,""),"")</f>
        <v/>
      </c>
      <c r="AD10" s="241" t="n"/>
      <c r="AE10" s="241" t="n"/>
    </row>
    <row r="11">
      <c r="A11" s="51" t="n">
        <v>0</v>
      </c>
      <c r="B11" s="51">
        <f>IF(AB11&lt;&gt;"",E11+E11*(IF(AC11&gt;4,0.1,LOOKUP(Info!$C$10,Rates!$D$2:$D$4,Rates!$C$2:$C$4))+0.85*(Info!$I$22-(IF(AC11&gt;4,0.1,LOOKUP(Info!$C$10,Rates!$D$2:$D$4,Rates!$C$2:$C$4)))))*LOOKUP(Info!$C$8,Rates!$I$2:$I$7,Rates!$G$2:$G$7)+B10*(1+IF(AC11&gt;4,0.1,LOOKUP(Info!$C$10,Rates!$D$2:$D$4,Rates!$C$2:$C$4))+0.85*(Info!$I$22-IF(AC11&gt;4,0.1,LOOKUP(Info!$C$10,Rates!$D$2:$D$4,Rates!$C$2:$C$4)))),"")</f>
        <v/>
      </c>
      <c r="C11" s="242">
        <f>IF(AB11&lt;&gt;"",D11,"")</f>
        <v/>
      </c>
      <c r="D11" s="53">
        <f>IF(AB11&lt;&gt;"",E11*(1+IF(AC11&gt;4,0.1,LOOKUP(Info!$C$10,Rates!$D$2:$D$5,Rates!$B$2:$B$5))*LOOKUP(Info!$C$8,Rates!$I$2:$I$7,Rates!$G$2:$G$7))+D10*(1+IF(AC11&gt;4,0.1,LOOKUP(Info!$C$10,Rates!$D$2:$D$5,Rates!$B$2:$B$5))),"")</f>
        <v/>
      </c>
      <c r="E11" s="236">
        <f>IF(AB11&lt;&gt;"",IF(Info!$C$16="بله",IF(AND(AC11&lt;=Info!$F$20,AC11&gt;=Info!$I$20),Info!$C$20,0)+(Z11-S11-I11-H11-G11-F11-L11),IF(AND(AC11&lt;=Info!$F$20,AC11&gt;=Info!$I$20),Info!$C$20,0)+(Z11-S11-I11-H11-G11-F11)),"")</f>
        <v/>
      </c>
      <c r="F11" s="236">
        <f>IF(AB11&lt;&gt;"",0.03*(H11+I11+S11+L11),"")</f>
        <v/>
      </c>
      <c r="G11" s="236">
        <f>IF(AB11&lt;&gt;"",0.06*(H11+I11+S11+L11),"")</f>
        <v/>
      </c>
      <c r="H11" s="237">
        <f>IF(M11="",0,M11)+IF(N11="",0,N11)+IF(O11="",0,O11)</f>
        <v/>
      </c>
      <c r="I11" s="242" t="n">
        <v>0</v>
      </c>
      <c r="J11" s="242">
        <f>IF(AB11&lt;&gt;"",K11/((1+10/100)^(AC11-1)),"")</f>
        <v/>
      </c>
      <c r="K11" s="236">
        <f>IF(U11&lt;&gt;"",Info!$L$20*U11,"")</f>
        <v/>
      </c>
      <c r="L11" s="243">
        <f>IF(P11="",0,P11)+IF(Q11="",0,Q11)</f>
        <v/>
      </c>
      <c r="M11" s="244">
        <f>IF(Z11&lt;&gt;"",5/100*Z11,"")</f>
        <v/>
      </c>
      <c r="N11" s="244" t="n">
        <v>0</v>
      </c>
      <c r="O11" s="244">
        <f>IF(Z11&lt;&gt;"",0.02*Z11*(1-Info!$F$25),"")</f>
        <v/>
      </c>
      <c r="P11" s="243">
        <f>IF(AND(AB11&lt;=70,W11&lt;&gt;""),(1-Info!$I$27)*((W11*0.0008*(1+(LOOKUP(Info!$I$18,Rates!$O:$O,Rates!$M:$M)/100)))+((Y11*0.0008*Info!$L$14))*(1+(LOOKUP(Info!$I$18,Rates!$O:$O,Rates!$N:$N)/100))),"")</f>
        <v/>
      </c>
      <c r="Q11" s="239">
        <f>IF(AB11&lt;=60,(LOOKUP(AB11,Rates!$T:$T,Rates!#REF!))*V11/1000000*(1+Info!$L$20)*(1-Info!$I$29),"")</f>
        <v/>
      </c>
      <c r="R11" s="42">
        <f>IF(AND(Z11&lt;&gt;"",Q11&lt;&gt;"",P11&lt;&gt;""),IF(Info!$C$16="بله",(Z11-Q11-P11),Z11),"")</f>
        <v/>
      </c>
      <c r="S11" s="236" t="n">
        <v>0</v>
      </c>
      <c r="T11" s="236">
        <f>IF(AB11&lt;&gt;"",U11/((1+10/100)^(AC11-1)),"")</f>
        <v/>
      </c>
      <c r="U11" s="236">
        <f>IF(AB11&lt;&gt;"",(Y11*LOOKUP(AB11,Rates!$T:$T,Rates!$S:$S))/SQRT(1.1),"")</f>
        <v/>
      </c>
      <c r="V11" s="245">
        <f>IF(AND(AB11&lt;&gt;"",AB11&lt;=60),IF(V10*(1+Info!$F$10)&lt;300000000,V10*(1+Info!$F$10),300000000),"")</f>
        <v/>
      </c>
      <c r="W11" s="240">
        <f>IF(AND(AB11&lt;&gt;"",AB11&lt;=60),Y11*Info!$L$16,"")</f>
        <v/>
      </c>
      <c r="X11" s="245">
        <f>IF(AND(AB11&lt;&gt;"",AB11&lt;=70),Y11*(1+Info!$L$14),"")</f>
        <v/>
      </c>
      <c r="Y11" s="245">
        <f>IF(AB11&lt;&gt;"",(1+Info!$F$10)*Y10,"")</f>
        <v/>
      </c>
      <c r="Z11" s="42" t="n">
        <v>0</v>
      </c>
      <c r="AA11" s="57">
        <f>IF(AC11&lt;&gt;"",Info!$C$6+AC11-1,"")</f>
        <v/>
      </c>
      <c r="AB11" s="57">
        <f>IF(AC11&lt;&gt;"",Info!$F$6+AC11-1,"")</f>
        <v/>
      </c>
      <c r="AC11" s="57">
        <f>IF(AC10&lt;&gt;"",IF(AC10+1&lt;=Info!$I$6,AC10+1,""),"")</f>
        <v/>
      </c>
      <c r="AD11" s="241" t="n"/>
      <c r="AE11" s="241" t="n"/>
    </row>
    <row r="12">
      <c r="A12" s="51" t="n">
        <v>0</v>
      </c>
      <c r="B12" s="51">
        <f>IF(AB12&lt;&gt;"",E12+E12*(IF(AC12&gt;4,0.1,LOOKUP(Info!$C$10,Rates!$D$2:$D$4,Rates!$C$2:$C$4))+0.85*(Info!$I$22-(IF(AC12&gt;4,0.1,LOOKUP(Info!$C$10,Rates!$D$2:$D$4,Rates!$C$2:$C$4)))))*LOOKUP(Info!$C$8,Rates!$I$2:$I$7,Rates!$G$2:$G$7)+B11*(1+IF(AC12&gt;4,0.1,LOOKUP(Info!$C$10,Rates!$D$2:$D$4,Rates!$C$2:$C$4))+0.85*(Info!$I$22-IF(AC12&gt;4,0.1,LOOKUP(Info!$C$10,Rates!$D$2:$D$4,Rates!$C$2:$C$4)))),"")</f>
        <v/>
      </c>
      <c r="C12" s="242">
        <f>IF(AB12&lt;&gt;"",D12,"")</f>
        <v/>
      </c>
      <c r="D12" s="53">
        <f>IF(AB12&lt;&gt;"",E12*(1+IF(AC12&gt;4,0.1,LOOKUP(Info!$C$10,Rates!$D$2:$D$5,Rates!$B$2:$B$5))*LOOKUP(Info!$C$8,Rates!$I$2:$I$7,Rates!$G$2:$G$7))+D11*(1+IF(AC12&gt;4,0.1,LOOKUP(Info!$C$10,Rates!$D$2:$D$5,Rates!$B$2:$B$5))),"")</f>
        <v/>
      </c>
      <c r="E12" s="236">
        <f>IF(AB12&lt;&gt;"",IF(Info!$C$16="بله",IF(AND(AC12&lt;=Info!$F$20,AC12&gt;=Info!$I$20),Info!$C$20,0)+(Z12-S12-I12-H12-G12-F12-L12),IF(AND(AC12&lt;=Info!$F$20,AC12&gt;=Info!$I$20),Info!$C$20,0)+(Z12-S12-I12-H12-G12-F12)),"")</f>
        <v/>
      </c>
      <c r="F12" s="236">
        <f>IF(AB12&lt;&gt;"",0.03*(H12+I12+S12+L12),"")</f>
        <v/>
      </c>
      <c r="G12" s="236">
        <f>IF(AB12&lt;&gt;"",0.06*(H12+I12+S12+L12),"")</f>
        <v/>
      </c>
      <c r="H12" s="237">
        <f>IF(M12="",0,M12)+IF(N12="",0,N12)+IF(O12="",0,O12)</f>
        <v/>
      </c>
      <c r="I12" s="242" t="n">
        <v>0</v>
      </c>
      <c r="J12" s="242">
        <f>IF(AB12&lt;&gt;"",K12/((1+10/100)^(AC12-1)),"")</f>
        <v/>
      </c>
      <c r="K12" s="236">
        <f>IF(U12&lt;&gt;"",Info!$L$20*U12,"")</f>
        <v/>
      </c>
      <c r="L12" s="243">
        <f>IF(P12="",0,P12)+IF(Q12="",0,Q12)</f>
        <v/>
      </c>
      <c r="M12" s="244">
        <f>IF(Z12&lt;&gt;"",5/100*Z12,"")</f>
        <v/>
      </c>
      <c r="N12" s="244" t="n">
        <v>0</v>
      </c>
      <c r="O12" s="244">
        <f>IF(Z12&lt;&gt;"",0.02*Z12*(1-Info!$F$25),"")</f>
        <v/>
      </c>
      <c r="P12" s="243">
        <f>IF(AND(AB12&lt;=70,W12&lt;&gt;""),(1-Info!$I$27)*((W12*0.0008*(1+(LOOKUP(Info!$I$18,Rates!$O:$O,Rates!$M:$M)/100)))+((Y12*0.0008*Info!$L$14))*(1+(LOOKUP(Info!$I$18,Rates!$O:$O,Rates!$N:$N)/100))),"")</f>
        <v/>
      </c>
      <c r="Q12" s="239">
        <f>IF(AB12&lt;=60,(LOOKUP(AB12,Rates!$T:$T,Rates!#REF!))*V12/1000000*(1+Info!$L$20)*(1-Info!$I$29),"")</f>
        <v/>
      </c>
      <c r="R12" s="42">
        <f>IF(AND(Z12&lt;&gt;"",Q12&lt;&gt;"",P12&lt;&gt;""),IF(Info!$C$16="بله",(Z12-Q12-P12),Z12),"")</f>
        <v/>
      </c>
      <c r="S12" s="236" t="n">
        <v>0</v>
      </c>
      <c r="T12" s="236">
        <f>IF(AB12&lt;&gt;"",U12/((1+10/100)^(AC12-1)),"")</f>
        <v/>
      </c>
      <c r="U12" s="236">
        <f>IF(AB12&lt;&gt;"",(Y12*LOOKUP(AB12,Rates!$T:$T,Rates!$S:$S))/SQRT(1.1),"")</f>
        <v/>
      </c>
      <c r="V12" s="245">
        <f>IF(AND(AB12&lt;&gt;"",AB12&lt;=60),IF(V11*(1+Info!$F$10)&lt;300000000,V11*(1+Info!$F$10),300000000),"")</f>
        <v/>
      </c>
      <c r="W12" s="240">
        <f>IF(AND(AB12&lt;&gt;"",AB12&lt;=60),Y12*Info!$L$16,"")</f>
        <v/>
      </c>
      <c r="X12" s="245">
        <f>IF(AND(AB12&lt;&gt;"",AB12&lt;=70),Y12*(1+Info!$L$14),"")</f>
        <v/>
      </c>
      <c r="Y12" s="245">
        <f>IF(AB12&lt;&gt;"",(1+Info!$F$10)*Y11,"")</f>
        <v/>
      </c>
      <c r="Z12" s="42" t="n">
        <v>0</v>
      </c>
      <c r="AA12" s="57">
        <f>IF(AC12&lt;&gt;"",Info!$C$6+AC12-1,"")</f>
        <v/>
      </c>
      <c r="AB12" s="57">
        <f>IF(AC12&lt;&gt;"",Info!$F$6+AC12-1,"")</f>
        <v/>
      </c>
      <c r="AC12" s="57">
        <f>IF(AC11&lt;&gt;"",IF(AC11+1&lt;=Info!$I$6,AC11+1,""),"")</f>
        <v/>
      </c>
      <c r="AD12" s="241" t="n"/>
      <c r="AE12" s="241" t="n"/>
    </row>
    <row r="13">
      <c r="A13" s="51" t="n">
        <v>0</v>
      </c>
      <c r="B13" s="51">
        <f>IF(AB13&lt;&gt;"",E13+E13*(IF(AC13&gt;4,0.1,LOOKUP(Info!$C$10,Rates!$D$2:$D$4,Rates!$C$2:$C$4))+0.85*(Info!$I$22-(IF(AC13&gt;4,0.1,LOOKUP(Info!$C$10,Rates!$D$2:$D$4,Rates!$C$2:$C$4)))))*LOOKUP(Info!$C$8,Rates!$I$2:$I$7,Rates!$G$2:$G$7)+B12*(1+IF(AC13&gt;4,0.1,LOOKUP(Info!$C$10,Rates!$D$2:$D$4,Rates!$C$2:$C$4))+0.85*(Info!$I$22-IF(AC13&gt;4,0.1,LOOKUP(Info!$C$10,Rates!$D$2:$D$4,Rates!$C$2:$C$4)))),"")</f>
        <v/>
      </c>
      <c r="C13" s="242">
        <f>IF(AB13&lt;&gt;"",D13,"")</f>
        <v/>
      </c>
      <c r="D13" s="53">
        <f>IF(AB13&lt;&gt;"",E13*(1+IF(AC13&gt;4,0.1,LOOKUP(Info!$C$10,Rates!$D$2:$D$5,Rates!$B$2:$B$5))*LOOKUP(Info!$C$8,Rates!$I$2:$I$7,Rates!$G$2:$G$7))+D12*(1+IF(AC13&gt;4,0.1,LOOKUP(Info!$C$10,Rates!$D$2:$D$5,Rates!$B$2:$B$5))),"")</f>
        <v/>
      </c>
      <c r="E13" s="236">
        <f>IF(AB13&lt;&gt;"",IF(Info!$C$16="بله",IF(AND(AC13&lt;=Info!$F$20,AC13&gt;=Info!$I$20),Info!$C$20,0)+(Z13-S13-I13-H13-G13-F13-L13),IF(AND(AC13&lt;=Info!$F$20,AC13&gt;=Info!$I$20),Info!$C$20,0)+(Z13-S13-I13-H13-G13-F13)),"")</f>
        <v/>
      </c>
      <c r="F13" s="236">
        <f>IF(AB13&lt;&gt;"",0.03*(H13+I13+S13+L13),"")</f>
        <v/>
      </c>
      <c r="G13" s="236">
        <f>IF(AB13&lt;&gt;"",0.06*(H13+I13+S13+L13),"")</f>
        <v/>
      </c>
      <c r="H13" s="237">
        <f>IF(M13="",0,M13)+IF(N13="",0,N13)+IF(O13="",0,O13)</f>
        <v/>
      </c>
      <c r="I13" s="242" t="n">
        <v>0</v>
      </c>
      <c r="J13" s="242">
        <f>IF(AB13&lt;&gt;"",K13/((1+10/100)^(AC13-1)),"")</f>
        <v/>
      </c>
      <c r="K13" s="236">
        <f>IF(U13&lt;&gt;"",Info!$L$20*U13,"")</f>
        <v/>
      </c>
      <c r="L13" s="243">
        <f>IF(P13="",0,P13)+IF(Q13="",0,Q13)</f>
        <v/>
      </c>
      <c r="M13" s="244">
        <f>IF(Z13&lt;&gt;"",5/100*Z13,"")</f>
        <v/>
      </c>
      <c r="N13" s="244" t="n">
        <v>0</v>
      </c>
      <c r="O13" s="244">
        <f>IF(Z13&lt;&gt;"",0.02*Z13*(1-Info!$F$25),"")</f>
        <v/>
      </c>
      <c r="P13" s="243">
        <f>IF(AND(AB13&lt;=70,W13&lt;&gt;""),(1-Info!$I$27)*((W13*0.0008*(1+(LOOKUP(Info!$I$18,Rates!$O:$O,Rates!$M:$M)/100)))+((Y13*0.0008*Info!$L$14))*(1+(LOOKUP(Info!$I$18,Rates!$O:$O,Rates!$N:$N)/100))),"")</f>
        <v/>
      </c>
      <c r="Q13" s="239">
        <f>IF(AB13&lt;=60,(LOOKUP(AB13,Rates!$T:$T,Rates!#REF!))*V13/1000000*(1+Info!$L$20)*(1-Info!$I$29),"")</f>
        <v/>
      </c>
      <c r="R13" s="42">
        <f>IF(AND(Z13&lt;&gt;"",Q13&lt;&gt;"",P13&lt;&gt;""),IF(Info!$C$16="بله",(Z13-Q13-P13),Z13),"")</f>
        <v/>
      </c>
      <c r="S13" s="236" t="n">
        <v>0</v>
      </c>
      <c r="T13" s="236">
        <f>IF(AB13&lt;&gt;"",U13/((1+10/100)^(AC13-1)),"")</f>
        <v/>
      </c>
      <c r="U13" s="236">
        <f>IF(AB13&lt;&gt;"",(Y13*LOOKUP(AB13,Rates!$T:$T,Rates!$S:$S))/SQRT(1.1),"")</f>
        <v/>
      </c>
      <c r="V13" s="245">
        <f>IF(AND(AB13&lt;&gt;"",AB13&lt;=60),IF(V12*(1+Info!$F$10)&lt;300000000,V12*(1+Info!$F$10),300000000),"")</f>
        <v/>
      </c>
      <c r="W13" s="240">
        <f>IF(AND(AB13&lt;&gt;"",AB13&lt;=60),Y13*Info!$L$16,"")</f>
        <v/>
      </c>
      <c r="X13" s="245">
        <f>IF(AND(AB13&lt;&gt;"",AB13&lt;=70),Y13*(1+Info!$L$14),"")</f>
        <v/>
      </c>
      <c r="Y13" s="245">
        <f>IF(AB13&lt;&gt;"",(1+Info!$F$10)*Y12,"")</f>
        <v/>
      </c>
      <c r="Z13" s="42" t="n">
        <v>0</v>
      </c>
      <c r="AA13" s="57">
        <f>IF(AC13&lt;&gt;"",Info!$C$6+AC13-1,"")</f>
        <v/>
      </c>
      <c r="AB13" s="57">
        <f>IF(AC13&lt;&gt;"",Info!$F$6+AC13-1,"")</f>
        <v/>
      </c>
      <c r="AC13" s="57">
        <f>IF(AC12&lt;&gt;"",IF(AC12+1&lt;=Info!$I$6,AC12+1,""),"")</f>
        <v/>
      </c>
      <c r="AD13" s="241" t="n"/>
      <c r="AE13" s="241" t="n"/>
    </row>
    <row r="14">
      <c r="A14" s="51" t="n">
        <v>0</v>
      </c>
      <c r="B14" s="51">
        <f>IF(AB14&lt;&gt;"",E14+E14*(IF(AC14&gt;4,0.1,LOOKUP(Info!$C$10,Rates!$D$2:$D$4,Rates!$C$2:$C$4))+0.85*(Info!$I$22-(IF(AC14&gt;4,0.1,LOOKUP(Info!$C$10,Rates!$D$2:$D$4,Rates!$C$2:$C$4)))))*LOOKUP(Info!$C$8,Rates!$I$2:$I$7,Rates!$G$2:$G$7)+B13*(1+IF(AC14&gt;4,0.1,LOOKUP(Info!$C$10,Rates!$D$2:$D$4,Rates!$C$2:$C$4))+0.85*(Info!$I$22-IF(AC14&gt;4,0.1,LOOKUP(Info!$C$10,Rates!$D$2:$D$4,Rates!$C$2:$C$4)))),"")</f>
        <v/>
      </c>
      <c r="C14" s="242">
        <f>IF(AB14&lt;&gt;"",D14,"")</f>
        <v/>
      </c>
      <c r="D14" s="53">
        <f>IF(AB14&lt;&gt;"",E14*(1+IF(AC14&gt;4,0.1,LOOKUP(Info!$C$10,Rates!$D$2:$D$5,Rates!$B$2:$B$5))*LOOKUP(Info!$C$8,Rates!$I$2:$I$7,Rates!$G$2:$G$7))+D13*(1+IF(AC14&gt;4,0.1,LOOKUP(Info!$C$10,Rates!$D$2:$D$5,Rates!$B$2:$B$5))),"")</f>
        <v/>
      </c>
      <c r="E14" s="236">
        <f>IF(AB14&lt;&gt;"",IF(Info!$C$16="بله",IF(AND(AC14&lt;=Info!$F$20,AC14&gt;=Info!$I$20),Info!$C$20,0)+(Z14-S14-I14-H14-G14-F14-L14),IF(AND(AC14&lt;=Info!$F$20,AC14&gt;=Info!$I$20),Info!$C$20,0)+(Z14-S14-I14-H14-G14-F14)),"")</f>
        <v/>
      </c>
      <c r="F14" s="236">
        <f>IF(AB14&lt;&gt;"",0.03*(H14+I14+S14+L14),"")</f>
        <v/>
      </c>
      <c r="G14" s="236">
        <f>IF(AB14&lt;&gt;"",0.06*(H14+I14+S14+L14),"")</f>
        <v/>
      </c>
      <c r="H14" s="237">
        <f>IF(M14="",0,M14)+IF(N14="",0,N14)+IF(O14="",0,O14)</f>
        <v/>
      </c>
      <c r="I14" s="242" t="n">
        <v>0</v>
      </c>
      <c r="J14" s="242">
        <f>IF(AB14&lt;&gt;"",K14/((1+10/100)^(AC14-1)),"")</f>
        <v/>
      </c>
      <c r="K14" s="236">
        <f>IF(U14&lt;&gt;"",Info!$L$20*U14,"")</f>
        <v/>
      </c>
      <c r="L14" s="243">
        <f>IF(P14="",0,P14)+IF(Q14="",0,Q14)</f>
        <v/>
      </c>
      <c r="M14" s="244">
        <f>IF(Z14&lt;&gt;"",5/100*Z14,"")</f>
        <v/>
      </c>
      <c r="N14" s="244" t="n">
        <v>0</v>
      </c>
      <c r="O14" s="244">
        <f>IF(Z14&lt;&gt;"",0.02*Z14*(1-Info!$F$25),"")</f>
        <v/>
      </c>
      <c r="P14" s="243">
        <f>IF(AND(AB14&lt;=70,W14&lt;&gt;""),(1-Info!$I$27)*((W14*0.0008*(1+(LOOKUP(Info!$I$18,Rates!$O:$O,Rates!$M:$M)/100)))+((Y14*0.0008*Info!$L$14))*(1+(LOOKUP(Info!$I$18,Rates!$O:$O,Rates!$N:$N)/100))),"")</f>
        <v/>
      </c>
      <c r="Q14" s="239">
        <f>IF(AB14&lt;=60,(LOOKUP(AB14,Rates!$T:$T,Rates!#REF!))*V14/1000000*(1+Info!$L$20)*(1-Info!$I$29),"")</f>
        <v/>
      </c>
      <c r="R14" s="42">
        <f>IF(AND(Z14&lt;&gt;"",Q14&lt;&gt;"",P14&lt;&gt;""),IF(Info!$C$16="بله",(Z14-Q14-P14),Z14),"")</f>
        <v/>
      </c>
      <c r="S14" s="236" t="n">
        <v>0</v>
      </c>
      <c r="T14" s="236">
        <f>IF(AB14&lt;&gt;"",U14/((1+10/100)^(AC14-1)),"")</f>
        <v/>
      </c>
      <c r="U14" s="236">
        <f>IF(AB14&lt;&gt;"",(Y14*LOOKUP(AB14,Rates!$T:$T,Rates!$S:$S))/SQRT(1.1),"")</f>
        <v/>
      </c>
      <c r="V14" s="245">
        <f>IF(AND(AB14&lt;&gt;"",AB14&lt;=60),IF(V13*(1+Info!$F$10)&lt;300000000,V13*(1+Info!$F$10),300000000),"")</f>
        <v/>
      </c>
      <c r="W14" s="240">
        <f>IF(AND(AB14&lt;&gt;"",AB14&lt;=60),Y14*Info!$L$16,"")</f>
        <v/>
      </c>
      <c r="X14" s="245">
        <f>IF(AND(AB14&lt;&gt;"",AB14&lt;=70),Y14*(1+Info!$L$14),"")</f>
        <v/>
      </c>
      <c r="Y14" s="245">
        <f>IF(AB14&lt;&gt;"",(1+Info!$F$10)*Y13,"")</f>
        <v/>
      </c>
      <c r="Z14" s="42" t="n">
        <v>0</v>
      </c>
      <c r="AA14" s="57">
        <f>IF(AC14&lt;&gt;"",Info!$C$6+AC14-1,"")</f>
        <v/>
      </c>
      <c r="AB14" s="57">
        <f>IF(AC14&lt;&gt;"",Info!$F$6+AC14-1,"")</f>
        <v/>
      </c>
      <c r="AC14" s="57">
        <f>IF(AC13&lt;&gt;"",IF(AC13+1&lt;=Info!$I$6,AC13+1,""),"")</f>
        <v/>
      </c>
      <c r="AD14" s="241" t="n"/>
      <c r="AE14" s="241" t="n"/>
    </row>
    <row r="15">
      <c r="A15" s="51" t="n">
        <v>0</v>
      </c>
      <c r="B15" s="51">
        <f>IF(AB15&lt;&gt;"",E15+E15*(IF(AC15&gt;4,0.1,LOOKUP(Info!$C$10,Rates!$D$2:$D$4,Rates!$C$2:$C$4))+0.85*(Info!$I$22-(IF(AC15&gt;4,0.1,LOOKUP(Info!$C$10,Rates!$D$2:$D$4,Rates!$C$2:$C$4)))))*LOOKUP(Info!$C$8,Rates!$I$2:$I$7,Rates!$G$2:$G$7)+B14*(1+IF(AC15&gt;4,0.1,LOOKUP(Info!$C$10,Rates!$D$2:$D$4,Rates!$C$2:$C$4))+0.85*(Info!$I$22-IF(AC15&gt;4,0.1,LOOKUP(Info!$C$10,Rates!$D$2:$D$4,Rates!$C$2:$C$4)))),"")</f>
        <v/>
      </c>
      <c r="C15" s="242">
        <f>IF(AB15&lt;&gt;"",D15,"")</f>
        <v/>
      </c>
      <c r="D15" s="53">
        <f>IF(AB15&lt;&gt;"",E15*(1+IF(AC15&gt;4,0.1,LOOKUP(Info!$C$10,Rates!$D$2:$D$5,Rates!$B$2:$B$5))*LOOKUP(Info!$C$8,Rates!$I$2:$I$7,Rates!$G$2:$G$7))+D14*(1+IF(AC15&gt;4,0.1,LOOKUP(Info!$C$10,Rates!$D$2:$D$5,Rates!$B$2:$B$5))),"")</f>
        <v/>
      </c>
      <c r="E15" s="236">
        <f>IF(AB15&lt;&gt;"",IF(Info!$C$16="بله",IF(AND(AC15&lt;=Info!$F$20,AC15&gt;=Info!$I$20),Info!$C$20,0)+(Z15-S15-I15-H15-G15-F15-L15),IF(AND(AC15&lt;=Info!$F$20,AC15&gt;=Info!$I$20),Info!$C$20,0)+(Z15-S15-I15-H15-G15-F15)),"")</f>
        <v/>
      </c>
      <c r="F15" s="236">
        <f>IF(AB15&lt;&gt;"",0.03*(H15+I15+S15+L15),"")</f>
        <v/>
      </c>
      <c r="G15" s="236">
        <f>IF(AB15&lt;&gt;"",0.06*(H15+I15+S15+L15),"")</f>
        <v/>
      </c>
      <c r="H15" s="237">
        <f>IF(M15="",0,M15)+IF(N15="",0,N15)+IF(O15="",0,O15)</f>
        <v/>
      </c>
      <c r="I15" s="242" t="n">
        <v>0</v>
      </c>
      <c r="J15" s="242">
        <f>IF(AB15&lt;&gt;"",K15/((1+10/100)^(AC15-1)),"")</f>
        <v/>
      </c>
      <c r="K15" s="236">
        <f>IF(U15&lt;&gt;"",Info!$L$20*U15,"")</f>
        <v/>
      </c>
      <c r="L15" s="243">
        <f>IF(P15="",0,P15)+IF(Q15="",0,Q15)</f>
        <v/>
      </c>
      <c r="M15" s="244">
        <f>IF(Z15&lt;&gt;"",5/100*Z15,"")</f>
        <v/>
      </c>
      <c r="N15" s="244" t="n">
        <v>0</v>
      </c>
      <c r="O15" s="244">
        <f>IF(Z15&lt;&gt;"",0.02*Z15*(1-Info!$F$25),"")</f>
        <v/>
      </c>
      <c r="P15" s="243">
        <f>IF(AND(AB15&lt;=70,W15&lt;&gt;""),(1-Info!$I$27)*((W15*0.0008*(1+(LOOKUP(Info!$I$18,Rates!$O:$O,Rates!$M:$M)/100)))+((Y15*0.0008*Info!$L$14))*(1+(LOOKUP(Info!$I$18,Rates!$O:$O,Rates!$N:$N)/100))),"")</f>
        <v/>
      </c>
      <c r="Q15" s="239">
        <f>IF(AB15&lt;=60,(LOOKUP(AB15,Rates!$T:$T,Rates!#REF!))*V15/1000000*(1+Info!$L$20)*(1-Info!$I$29),"")</f>
        <v/>
      </c>
      <c r="R15" s="42">
        <f>IF(AND(Z15&lt;&gt;"",Q15&lt;&gt;"",P15&lt;&gt;""),IF(Info!$C$16="بله",(Z15-Q15-P15),Z15),"")</f>
        <v/>
      </c>
      <c r="S15" s="236" t="n">
        <v>0</v>
      </c>
      <c r="T15" s="236">
        <f>IF(AB15&lt;&gt;"",U15/((1+10/100)^(AC15-1)),"")</f>
        <v/>
      </c>
      <c r="U15" s="236">
        <f>IF(AB15&lt;&gt;"",(Y15*LOOKUP(AB15,Rates!$T:$T,Rates!$S:$S))/SQRT(1.1),"")</f>
        <v/>
      </c>
      <c r="V15" s="245">
        <f>IF(AND(AB15&lt;&gt;"",AB15&lt;=60),IF(V14*(1+Info!$F$10)&lt;300000000,V14*(1+Info!$F$10),300000000),"")</f>
        <v/>
      </c>
      <c r="W15" s="240">
        <f>IF(AND(AB15&lt;&gt;"",AB15&lt;=60),Y15*Info!$L$16,"")</f>
        <v/>
      </c>
      <c r="X15" s="245">
        <f>IF(AND(AB15&lt;&gt;"",AB15&lt;=70),Y15*(1+Info!$L$14),"")</f>
        <v/>
      </c>
      <c r="Y15" s="245">
        <f>IF(AB15&lt;&gt;"",(1+Info!$F$10)*Y14,"")</f>
        <v/>
      </c>
      <c r="Z15" s="42" t="n">
        <v>0</v>
      </c>
      <c r="AA15" s="57">
        <f>IF(AC15&lt;&gt;"",Info!$C$6+AC15-1,"")</f>
        <v/>
      </c>
      <c r="AB15" s="57">
        <f>IF(AC15&lt;&gt;"",Info!$F$6+AC15-1,"")</f>
        <v/>
      </c>
      <c r="AC15" s="57">
        <f>IF(AC14&lt;&gt;"",IF(AC14+1&lt;=Info!$I$6,AC14+1,""),"")</f>
        <v/>
      </c>
      <c r="AD15" s="241" t="n"/>
      <c r="AE15" s="241" t="n"/>
    </row>
    <row r="16">
      <c r="A16" s="51" t="n">
        <v>0</v>
      </c>
      <c r="B16" s="51">
        <f>IF(AB16&lt;&gt;"",E16+E16*(IF(AC16&gt;4,0.1,LOOKUP(Info!$C$10,Rates!$D$2:$D$4,Rates!$C$2:$C$4))+0.85*(Info!$I$22-(IF(AC16&gt;4,0.1,LOOKUP(Info!$C$10,Rates!$D$2:$D$4,Rates!$C$2:$C$4)))))*LOOKUP(Info!$C$8,Rates!$I$2:$I$7,Rates!$G$2:$G$7)+B15*(1+IF(AC16&gt;4,0.1,LOOKUP(Info!$C$10,Rates!$D$2:$D$4,Rates!$C$2:$C$4))+0.85*(Info!$I$22-IF(AC16&gt;4,0.1,LOOKUP(Info!$C$10,Rates!$D$2:$D$4,Rates!$C$2:$C$4)))),"")</f>
        <v/>
      </c>
      <c r="C16" s="242">
        <f>IF(AB16&lt;&gt;"",D16,"")</f>
        <v/>
      </c>
      <c r="D16" s="53">
        <f>IF(AB16&lt;&gt;"",E16*(1+IF(AC16&gt;4,0.1,LOOKUP(Info!$C$10,Rates!$D$2:$D$5,Rates!$B$2:$B$5))*LOOKUP(Info!$C$8,Rates!$I$2:$I$7,Rates!$G$2:$G$7))+D15*(1+IF(AC16&gt;4,0.1,LOOKUP(Info!$C$10,Rates!$D$2:$D$5,Rates!$B$2:$B$5))),"")</f>
        <v/>
      </c>
      <c r="E16" s="236">
        <f>IF(AB16&lt;&gt;"",IF(Info!$C$16="بله",IF(AND(AC16&lt;=Info!$F$20,AC16&gt;=Info!$I$20),Info!$C$20,0)+(Z16-S16-I16-H16-G16-F16-L16),IF(AND(AC16&lt;=Info!$F$20,AC16&gt;=Info!$I$20),Info!$C$20,0)+(Z16-S16-I16-H16-G16-F16)),"")</f>
        <v/>
      </c>
      <c r="F16" s="236">
        <f>IF(AB16&lt;&gt;"",0.03*(H16+I16+S16+L16),"")</f>
        <v/>
      </c>
      <c r="G16" s="236">
        <f>IF(AB16&lt;&gt;"",0.06*(H16+I16+S16+L16),"")</f>
        <v/>
      </c>
      <c r="H16" s="237">
        <f>IF(M16="",0,M16)+IF(N16="",0,N16)+IF(O16="",0,O16)</f>
        <v/>
      </c>
      <c r="I16" s="242" t="n">
        <v>0</v>
      </c>
      <c r="J16" s="242">
        <f>IF(AB16&lt;&gt;"",K16/((1+10/100)^(AC16-1)),"")</f>
        <v/>
      </c>
      <c r="K16" s="236">
        <f>IF(U16&lt;&gt;"",Info!$L$20*U16,"")</f>
        <v/>
      </c>
      <c r="L16" s="243">
        <f>IF(P16="",0,P16)+IF(Q16="",0,Q16)</f>
        <v/>
      </c>
      <c r="M16" s="244">
        <f>IF(Z16&lt;&gt;"",5/100*Z16,"")</f>
        <v/>
      </c>
      <c r="N16" s="244" t="n">
        <v>0</v>
      </c>
      <c r="O16" s="244">
        <f>IF(Z16&lt;&gt;"",0.02*Z16*(1-Info!$F$25),"")</f>
        <v/>
      </c>
      <c r="P16" s="243">
        <f>IF(AND(AB16&lt;=70,W16&lt;&gt;""),(1-Info!$I$27)*((W16*0.0008*(1+(LOOKUP(Info!$I$18,Rates!$O:$O,Rates!$M:$M)/100)))+((Y16*0.0008*Info!$L$14))*(1+(LOOKUP(Info!$I$18,Rates!$O:$O,Rates!$N:$N)/100))),"")</f>
        <v/>
      </c>
      <c r="Q16" s="239">
        <f>IF(AB16&lt;=60,(LOOKUP(AB16,Rates!$T:$T,Rates!#REF!))*V16/1000000*(1+Info!$L$20)*(1-Info!$I$29),"")</f>
        <v/>
      </c>
      <c r="R16" s="42">
        <f>IF(AND(Z16&lt;&gt;"",Q16&lt;&gt;"",P16&lt;&gt;""),IF(Info!$C$16="بله",(Z16-Q16-P16),Z16),"")</f>
        <v/>
      </c>
      <c r="S16" s="236" t="n">
        <v>0</v>
      </c>
      <c r="T16" s="236">
        <f>IF(AB16&lt;&gt;"",U16/((1+10/100)^(AC16-1)),"")</f>
        <v/>
      </c>
      <c r="U16" s="236">
        <f>IF(AB16&lt;&gt;"",(Y16*LOOKUP(AB16,Rates!$T:$T,Rates!$S:$S))/SQRT(1.1),"")</f>
        <v/>
      </c>
      <c r="V16" s="245">
        <f>IF(AND(AB16&lt;&gt;"",AB16&lt;=60),IF(V15*(1+Info!$F$10)&lt;300000000,V15*(1+Info!$F$10),300000000),"")</f>
        <v/>
      </c>
      <c r="W16" s="240">
        <f>IF(AND(AB16&lt;&gt;"",AB16&lt;=60),Y16*Info!$L$16,"")</f>
        <v/>
      </c>
      <c r="X16" s="245">
        <f>IF(AND(AB16&lt;&gt;"",AB16&lt;=70),Y16*(1+Info!$L$14),"")</f>
        <v/>
      </c>
      <c r="Y16" s="245">
        <f>IF(AB16&lt;&gt;"",(1+Info!$F$10)*Y15,"")</f>
        <v/>
      </c>
      <c r="Z16" s="42" t="n">
        <v>0</v>
      </c>
      <c r="AA16" s="57">
        <f>IF(AC16&lt;&gt;"",Info!$C$6+AC16-1,"")</f>
        <v/>
      </c>
      <c r="AB16" s="57">
        <f>IF(AC16&lt;&gt;"",Info!$F$6+AC16-1,"")</f>
        <v/>
      </c>
      <c r="AC16" s="57">
        <f>IF(AC15&lt;&gt;"",IF(AC15+1&lt;=Info!$I$6,AC15+1,""),"")</f>
        <v/>
      </c>
      <c r="AD16" s="241" t="n"/>
      <c r="AE16" s="241" t="n"/>
    </row>
    <row r="17">
      <c r="A17" s="51" t="n">
        <v>0</v>
      </c>
      <c r="B17" s="51">
        <f>IF(AB17&lt;&gt;"",E17+E17*(IF(AC17&gt;4,0.1,LOOKUP(Info!$C$10,Rates!$D$2:$D$4,Rates!$C$2:$C$4))+0.85*(Info!$I$22-(IF(AC17&gt;4,0.1,LOOKUP(Info!$C$10,Rates!$D$2:$D$4,Rates!$C$2:$C$4)))))*LOOKUP(Info!$C$8,Rates!$I$2:$I$7,Rates!$G$2:$G$7)+B16*(1+IF(AC17&gt;4,0.1,LOOKUP(Info!$C$10,Rates!$D$2:$D$4,Rates!$C$2:$C$4))+0.85*(Info!$I$22-IF(AC17&gt;4,0.1,LOOKUP(Info!$C$10,Rates!$D$2:$D$4,Rates!$C$2:$C$4)))),"")</f>
        <v/>
      </c>
      <c r="C17" s="242">
        <f>IF(AB17&lt;&gt;"",D17,"")</f>
        <v/>
      </c>
      <c r="D17" s="53">
        <f>IF(AB17&lt;&gt;"",E17*(1+IF(AC17&gt;4,0.1,LOOKUP(Info!$C$10,Rates!$D$2:$D$5,Rates!$B$2:$B$5))*LOOKUP(Info!$C$8,Rates!$I$2:$I$7,Rates!$G$2:$G$7))+D16*(1+IF(AC17&gt;4,0.1,LOOKUP(Info!$C$10,Rates!$D$2:$D$5,Rates!$B$2:$B$5))),"")</f>
        <v/>
      </c>
      <c r="E17" s="236">
        <f>IF(AB17&lt;&gt;"",IF(Info!$C$16="بله",IF(AND(AC17&lt;=Info!$F$20,AC17&gt;=Info!$I$20),Info!$C$20,0)+(Z17-S17-I17-H17-G17-F17-L17),IF(AND(AC17&lt;=Info!$F$20,AC17&gt;=Info!$I$20),Info!$C$20,0)+(Z17-S17-I17-H17-G17-F17)),"")</f>
        <v/>
      </c>
      <c r="F17" s="236">
        <f>IF(AB17&lt;&gt;"",0.03*(H17+I17+S17+L17),"")</f>
        <v/>
      </c>
      <c r="G17" s="236">
        <f>IF(AB17&lt;&gt;"",0.06*(H17+I17+S17+L17),"")</f>
        <v/>
      </c>
      <c r="H17" s="237">
        <f>IF(M17="",0,M17)+IF(N17="",0,N17)+IF(O17="",0,O17)</f>
        <v/>
      </c>
      <c r="I17" s="242" t="n">
        <v>0</v>
      </c>
      <c r="J17" s="242">
        <f>IF(AB17&lt;&gt;"",K17/((1+10/100)^(AC17-1)),"")</f>
        <v/>
      </c>
      <c r="K17" s="236">
        <f>IF(U17&lt;&gt;"",Info!$L$20*U17,"")</f>
        <v/>
      </c>
      <c r="L17" s="243">
        <f>IF(P17="",0,P17)+IF(Q17="",0,Q17)</f>
        <v/>
      </c>
      <c r="M17" s="244">
        <f>IF(Z17&lt;&gt;"",5/100*Z17,"")</f>
        <v/>
      </c>
      <c r="N17" s="244" t="n">
        <v>0</v>
      </c>
      <c r="O17" s="244">
        <f>IF(Z17&lt;&gt;"",0.02*Z17*(1-Info!$F$25),"")</f>
        <v/>
      </c>
      <c r="P17" s="243">
        <f>IF(AND(AB17&lt;=70,W17&lt;&gt;""),(1-Info!$I$27)*((W17*0.0008*(1+(LOOKUP(Info!$I$18,Rates!$O:$O,Rates!$M:$M)/100)))+((Y17*0.0008*Info!$L$14))*(1+(LOOKUP(Info!$I$18,Rates!$O:$O,Rates!$N:$N)/100))),"")</f>
        <v/>
      </c>
      <c r="Q17" s="239">
        <f>IF(AB17&lt;=60,(LOOKUP(AB17,Rates!$T:$T,Rates!#REF!))*V17/1000000*(1+Info!$L$20)*(1-Info!$I$29),"")</f>
        <v/>
      </c>
      <c r="R17" s="42">
        <f>IF(AND(Z17&lt;&gt;"",Q17&lt;&gt;"",P17&lt;&gt;""),IF(Info!$C$16="بله",(Z17-Q17-P17),Z17),"")</f>
        <v/>
      </c>
      <c r="S17" s="236" t="n">
        <v>0</v>
      </c>
      <c r="T17" s="236">
        <f>IF(AB17&lt;&gt;"",U17/((1+10/100)^(AC17-1)),"")</f>
        <v/>
      </c>
      <c r="U17" s="236">
        <f>IF(AB17&lt;&gt;"",(Y17*LOOKUP(AB17,Rates!$T:$T,Rates!$S:$S))/SQRT(1.1),"")</f>
        <v/>
      </c>
      <c r="V17" s="245">
        <f>IF(AND(AB17&lt;&gt;"",AB17&lt;=60),IF(V16*(1+Info!$F$10)&lt;300000000,V16*(1+Info!$F$10),300000000),"")</f>
        <v/>
      </c>
      <c r="W17" s="240">
        <f>IF(AND(AB17&lt;&gt;"",AB17&lt;=60),Y17*Info!$L$16,"")</f>
        <v/>
      </c>
      <c r="X17" s="245">
        <f>IF(AND(AB17&lt;&gt;"",AB17&lt;=70),Y17*(1+Info!$L$14),"")</f>
        <v/>
      </c>
      <c r="Y17" s="245">
        <f>IF(AB17&lt;&gt;"",(1+Info!$F$10)*Y16,"")</f>
        <v/>
      </c>
      <c r="Z17" s="42" t="n">
        <v>0</v>
      </c>
      <c r="AA17" s="57">
        <f>IF(AC17&lt;&gt;"",Info!$C$6+AC17-1,"")</f>
        <v/>
      </c>
      <c r="AB17" s="57">
        <f>IF(AC17&lt;&gt;"",Info!$F$6+AC17-1,"")</f>
        <v/>
      </c>
      <c r="AC17" s="57">
        <f>IF(AC16&lt;&gt;"",IF(AC16+1&lt;=Info!$I$6,AC16+1,""),"")</f>
        <v/>
      </c>
      <c r="AD17" s="241" t="n"/>
      <c r="AE17" s="241" t="n"/>
    </row>
    <row r="18">
      <c r="A18" s="51" t="n">
        <v>0</v>
      </c>
      <c r="B18" s="51">
        <f>IF(AB18&lt;&gt;"",E18+E18*(IF(AC18&gt;4,0.1,LOOKUP(Info!$C$10,Rates!$D$2:$D$4,Rates!$C$2:$C$4))+0.85*(Info!$I$22-(IF(AC18&gt;4,0.1,LOOKUP(Info!$C$10,Rates!$D$2:$D$4,Rates!$C$2:$C$4)))))*LOOKUP(Info!$C$8,Rates!$I$2:$I$7,Rates!$G$2:$G$7)+B17*(1+IF(AC18&gt;4,0.1,LOOKUP(Info!$C$10,Rates!$D$2:$D$4,Rates!$C$2:$C$4))+0.85*(Info!$I$22-IF(AC18&gt;4,0.1,LOOKUP(Info!$C$10,Rates!$D$2:$D$4,Rates!$C$2:$C$4)))),"")</f>
        <v/>
      </c>
      <c r="C18" s="242">
        <f>IF(AB18&lt;&gt;"",D18,"")</f>
        <v/>
      </c>
      <c r="D18" s="53">
        <f>IF(AB18&lt;&gt;"",E18*(1+IF(AC18&gt;4,0.1,LOOKUP(Info!$C$10,Rates!$D$2:$D$5,Rates!$B$2:$B$5))*LOOKUP(Info!$C$8,Rates!$I$2:$I$7,Rates!$G$2:$G$7))+D17*(1+IF(AC18&gt;4,0.1,LOOKUP(Info!$C$10,Rates!$D$2:$D$5,Rates!$B$2:$B$5))),"")</f>
        <v/>
      </c>
      <c r="E18" s="236">
        <f>IF(AB18&lt;&gt;"",IF(Info!$C$16="بله",IF(AND(AC18&lt;=Info!$F$20,AC18&gt;=Info!$I$20),Info!$C$20,0)+(Z18-S18-I18-H18-G18-F18-L18),IF(AND(AC18&lt;=Info!$F$20,AC18&gt;=Info!$I$20),Info!$C$20,0)+(Z18-S18-I18-H18-G18-F18)),"")</f>
        <v/>
      </c>
      <c r="F18" s="236">
        <f>IF(AB18&lt;&gt;"",0.03*(H18+I18+S18+L18),"")</f>
        <v/>
      </c>
      <c r="G18" s="236">
        <f>IF(AB18&lt;&gt;"",0.06*(H18+I18+S18+L18),"")</f>
        <v/>
      </c>
      <c r="H18" s="237">
        <f>IF(M18="",0,M18)+IF(N18="",0,N18)+IF(O18="",0,O18)</f>
        <v/>
      </c>
      <c r="I18" s="242" t="n">
        <v>0</v>
      </c>
      <c r="J18" s="242">
        <f>IF(AB18&lt;&gt;"",K18/((1+10/100)^(AC18-1)),"")</f>
        <v/>
      </c>
      <c r="K18" s="236">
        <f>IF(U18&lt;&gt;"",Info!$L$20*U18,"")</f>
        <v/>
      </c>
      <c r="L18" s="243">
        <f>IF(P18="",0,P18)+IF(Q18="",0,Q18)</f>
        <v/>
      </c>
      <c r="M18" s="244">
        <f>IF(Z18&lt;&gt;"",5/100*Z18,"")</f>
        <v/>
      </c>
      <c r="N18" s="244" t="n">
        <v>0</v>
      </c>
      <c r="O18" s="244">
        <f>IF(Z18&lt;&gt;"",0.02*Z18*(1-Info!$F$25),"")</f>
        <v/>
      </c>
      <c r="P18" s="243">
        <f>IF(AND(AB18&lt;=70,W18&lt;&gt;""),(1-Info!$I$27)*((W18*0.0008*(1+(LOOKUP(Info!$I$18,Rates!$O:$O,Rates!$M:$M)/100)))+((Y18*0.0008*Info!$L$14))*(1+(LOOKUP(Info!$I$18,Rates!$O:$O,Rates!$N:$N)/100))),"")</f>
        <v/>
      </c>
      <c r="Q18" s="239">
        <f>IF(AB18&lt;=60,(LOOKUP(AB18,Rates!$T:$T,Rates!#REF!))*V18/1000000*(1+Info!$L$20)*(1-Info!$I$29),"")</f>
        <v/>
      </c>
      <c r="R18" s="42">
        <f>IF(AND(Z18&lt;&gt;"",Q18&lt;&gt;"",P18&lt;&gt;""),IF(Info!$C$16="بله",(Z18-Q18-P18),Z18),"")</f>
        <v/>
      </c>
      <c r="S18" s="236" t="n">
        <v>0</v>
      </c>
      <c r="T18" s="236">
        <f>IF(AB18&lt;&gt;"",U18/((1+10/100)^(AC18-1)),"")</f>
        <v/>
      </c>
      <c r="U18" s="236">
        <f>IF(AB18&lt;&gt;"",(Y18*LOOKUP(AB18,Rates!$T:$T,Rates!$S:$S))/SQRT(1.1),"")</f>
        <v/>
      </c>
      <c r="V18" s="245">
        <f>IF(AND(AB18&lt;&gt;"",AB18&lt;=60),IF(V17*(1+Info!$F$10)&lt;300000000,V17*(1+Info!$F$10),300000000),"")</f>
        <v/>
      </c>
      <c r="W18" s="240">
        <f>IF(AND(AB18&lt;&gt;"",AB18&lt;=60),Y18*Info!$L$16,"")</f>
        <v/>
      </c>
      <c r="X18" s="245">
        <f>IF(AND(AB18&lt;&gt;"",AB18&lt;=70),Y18*(1+Info!$L$14),"")</f>
        <v/>
      </c>
      <c r="Y18" s="245">
        <f>IF(AB18&lt;&gt;"",(1+Info!$F$10)*Y17,"")</f>
        <v/>
      </c>
      <c r="Z18" s="42" t="n">
        <v>0</v>
      </c>
      <c r="AA18" s="57">
        <f>IF(AC18&lt;&gt;"",Info!$C$6+AC18-1,"")</f>
        <v/>
      </c>
      <c r="AB18" s="57">
        <f>IF(AC18&lt;&gt;"",Info!$F$6+AC18-1,"")</f>
        <v/>
      </c>
      <c r="AC18" s="57">
        <f>IF(AC17&lt;&gt;"",IF(AC17+1&lt;=Info!$I$6,AC17+1,""),"")</f>
        <v/>
      </c>
      <c r="AD18" s="241" t="n"/>
      <c r="AE18" s="241" t="n"/>
    </row>
    <row r="19">
      <c r="A19" s="51" t="n">
        <v>0</v>
      </c>
      <c r="B19" s="51">
        <f>IF(AB19&lt;&gt;"",E19+E19*(IF(AC19&gt;4,0.1,LOOKUP(Info!$C$10,Rates!$D$2:$D$4,Rates!$C$2:$C$4))+0.85*(Info!$I$22-(IF(AC19&gt;4,0.1,LOOKUP(Info!$C$10,Rates!$D$2:$D$4,Rates!$C$2:$C$4)))))*LOOKUP(Info!$C$8,Rates!$I$2:$I$7,Rates!$G$2:$G$7)+B18*(1+IF(AC19&gt;4,0.1,LOOKUP(Info!$C$10,Rates!$D$2:$D$4,Rates!$C$2:$C$4))+0.85*(Info!$I$22-IF(AC19&gt;4,0.1,LOOKUP(Info!$C$10,Rates!$D$2:$D$4,Rates!$C$2:$C$4)))),"")</f>
        <v/>
      </c>
      <c r="C19" s="242">
        <f>IF(AB19&lt;&gt;"",D19,"")</f>
        <v/>
      </c>
      <c r="D19" s="53">
        <f>IF(AB19&lt;&gt;"",E19*(1+IF(AC19&gt;4,0.1,LOOKUP(Info!$C$10,Rates!$D$2:$D$5,Rates!$B$2:$B$5))*LOOKUP(Info!$C$8,Rates!$I$2:$I$7,Rates!$G$2:$G$7))+D18*(1+IF(AC19&gt;4,0.1,LOOKUP(Info!$C$10,Rates!$D$2:$D$5,Rates!$B$2:$B$5))),"")</f>
        <v/>
      </c>
      <c r="E19" s="236">
        <f>IF(AB19&lt;&gt;"",IF(Info!$C$16="بله",IF(AND(AC19&lt;=Info!$F$20,AC19&gt;=Info!$I$20),Info!$C$20,0)+(Z19-S19-I19-H19-G19-F19-L19),IF(AND(AC19&lt;=Info!$F$20,AC19&gt;=Info!$I$20),Info!$C$20,0)+(Z19-S19-I19-H19-G19-F19)),"")</f>
        <v/>
      </c>
      <c r="F19" s="236">
        <f>IF(AB19&lt;&gt;"",0.03*(H19+I19+S19+L19),"")</f>
        <v/>
      </c>
      <c r="G19" s="236">
        <f>IF(AB19&lt;&gt;"",0.06*(H19+I19+S19+L19),"")</f>
        <v/>
      </c>
      <c r="H19" s="237">
        <f>IF(M19="",0,M19)+IF(N19="",0,N19)+IF(O19="",0,O19)</f>
        <v/>
      </c>
      <c r="I19" s="242" t="n">
        <v>0</v>
      </c>
      <c r="J19" s="242">
        <f>IF(AB19&lt;&gt;"",K19/((1+10/100)^(AC19-1)),"")</f>
        <v/>
      </c>
      <c r="K19" s="236">
        <f>IF(U19&lt;&gt;"",Info!$L$20*U19,"")</f>
        <v/>
      </c>
      <c r="L19" s="243">
        <f>IF(P19="",0,P19)+IF(Q19="",0,Q19)</f>
        <v/>
      </c>
      <c r="M19" s="244">
        <f>IF(Z19&lt;&gt;"",5/100*Z19,"")</f>
        <v/>
      </c>
      <c r="N19" s="244" t="n">
        <v>0</v>
      </c>
      <c r="O19" s="244">
        <f>IF(Z19&lt;&gt;"",0.02*Z19*(1-Info!$F$25),"")</f>
        <v/>
      </c>
      <c r="P19" s="243">
        <f>IF(AND(AB19&lt;=70,W19&lt;&gt;""),(1-Info!$I$27)*((W19*0.0008*(1+(LOOKUP(Info!$I$18,Rates!$O:$O,Rates!$M:$M)/100)))+((Y19*0.0008*Info!$L$14))*(1+(LOOKUP(Info!$I$18,Rates!$O:$O,Rates!$N:$N)/100))),"")</f>
        <v/>
      </c>
      <c r="Q19" s="239">
        <f>IF(AB19&lt;=60,(LOOKUP(AB19,Rates!$T:$T,Rates!#REF!))*V19/1000000*(1+Info!$L$20)*(1-Info!$I$29),"")</f>
        <v/>
      </c>
      <c r="R19" s="42">
        <f>IF(AND(Z19&lt;&gt;"",Q19&lt;&gt;"",P19&lt;&gt;""),IF(Info!$C$16="بله",(Z19-Q19-P19),Z19),"")</f>
        <v/>
      </c>
      <c r="S19" s="236" t="n">
        <v>0</v>
      </c>
      <c r="T19" s="236">
        <f>IF(AB19&lt;&gt;"",U19/((1+10/100)^(AC19-1)),"")</f>
        <v/>
      </c>
      <c r="U19" s="236">
        <f>IF(AB19&lt;&gt;"",(Y19*LOOKUP(AB19,Rates!$T:$T,Rates!$S:$S))/SQRT(1.1),"")</f>
        <v/>
      </c>
      <c r="V19" s="245">
        <f>IF(AND(AB19&lt;&gt;"",AB19&lt;=60),IF(V18*(1+Info!$F$10)&lt;300000000,V18*(1+Info!$F$10),300000000),"")</f>
        <v/>
      </c>
      <c r="W19" s="240">
        <f>IF(AND(AB19&lt;&gt;"",AB19&lt;=60),Y19*Info!$L$16,"")</f>
        <v/>
      </c>
      <c r="X19" s="245">
        <f>IF(AND(AB19&lt;&gt;"",AB19&lt;=70),Y19*(1+Info!$L$14),"")</f>
        <v/>
      </c>
      <c r="Y19" s="245">
        <f>IF(AB19&lt;&gt;"",(1+Info!$F$10)*Y18,"")</f>
        <v/>
      </c>
      <c r="Z19" s="42" t="n">
        <v>0</v>
      </c>
      <c r="AA19" s="57">
        <f>IF(AC19&lt;&gt;"",Info!$C$6+AC19-1,"")</f>
        <v/>
      </c>
      <c r="AB19" s="57">
        <f>IF(AC19&lt;&gt;"",Info!$F$6+AC19-1,"")</f>
        <v/>
      </c>
      <c r="AC19" s="57">
        <f>IF(AC18&lt;&gt;"",IF(AC18+1&lt;=Info!$I$6,AC18+1,""),"")</f>
        <v/>
      </c>
      <c r="AD19" s="241" t="n"/>
      <c r="AE19" s="241" t="n"/>
    </row>
    <row r="20">
      <c r="A20" s="51" t="n">
        <v>0</v>
      </c>
      <c r="B20" s="51">
        <f>IF(AB20&lt;&gt;"",E20+E20*(IF(AC20&gt;4,0.1,LOOKUP(Info!$C$10,Rates!$D$2:$D$4,Rates!$C$2:$C$4))+0.85*(Info!$I$22-(IF(AC20&gt;4,0.1,LOOKUP(Info!$C$10,Rates!$D$2:$D$4,Rates!$C$2:$C$4)))))*LOOKUP(Info!$C$8,Rates!$I$2:$I$7,Rates!$G$2:$G$7)+B19*(1+IF(AC20&gt;4,0.1,LOOKUP(Info!$C$10,Rates!$D$2:$D$4,Rates!$C$2:$C$4))+0.85*(Info!$I$22-IF(AC20&gt;4,0.1,LOOKUP(Info!$C$10,Rates!$D$2:$D$4,Rates!$C$2:$C$4)))),"")</f>
        <v/>
      </c>
      <c r="C20" s="242">
        <f>IF(AB20&lt;&gt;"",D20,"")</f>
        <v/>
      </c>
      <c r="D20" s="53">
        <f>IF(AB20&lt;&gt;"",E20*(1+IF(AC20&gt;4,0.1,LOOKUP(Info!$C$10,Rates!$D$2:$D$5,Rates!$B$2:$B$5))*LOOKUP(Info!$C$8,Rates!$I$2:$I$7,Rates!$G$2:$G$7))+D19*(1+IF(AC20&gt;4,0.1,LOOKUP(Info!$C$10,Rates!$D$2:$D$5,Rates!$B$2:$B$5))),"")</f>
        <v/>
      </c>
      <c r="E20" s="236">
        <f>IF(AB20&lt;&gt;"",IF(Info!$C$16="بله",IF(AND(AC20&lt;=Info!$F$20,AC20&gt;=Info!$I$20),Info!$C$20,0)+(Z20-S20-I20-H20-G20-F20-L20),IF(AND(AC20&lt;=Info!$F$20,AC20&gt;=Info!$I$20),Info!$C$20,0)+(Z20-S20-I20-H20-G20-F20)),"")</f>
        <v/>
      </c>
      <c r="F20" s="236">
        <f>IF(AB20&lt;&gt;"",0.03*(H20+I20+S20+L20),"")</f>
        <v/>
      </c>
      <c r="G20" s="236">
        <f>IF(AB20&lt;&gt;"",0.06*(H20+I20+S20+L20),"")</f>
        <v/>
      </c>
      <c r="H20" s="237">
        <f>IF(M20="",0,M20)+IF(N20="",0,N20)+IF(O20="",0,O20)</f>
        <v/>
      </c>
      <c r="I20" s="242" t="n">
        <v>0</v>
      </c>
      <c r="J20" s="242">
        <f>IF(AB20&lt;&gt;"",K20/((1+10/100)^(AC20-1)),"")</f>
        <v/>
      </c>
      <c r="K20" s="236">
        <f>IF(U20&lt;&gt;"",Info!$L$20*U20,"")</f>
        <v/>
      </c>
      <c r="L20" s="243">
        <f>IF(P20="",0,P20)+IF(Q20="",0,Q20)</f>
        <v/>
      </c>
      <c r="M20" s="244">
        <f>IF(Z20&lt;&gt;"",5/100*Z20,"")</f>
        <v/>
      </c>
      <c r="N20" s="244" t="n">
        <v>0</v>
      </c>
      <c r="O20" s="244">
        <f>IF(Z20&lt;&gt;"",0.02*Z20*(1-Info!$F$25),"")</f>
        <v/>
      </c>
      <c r="P20" s="243">
        <f>IF(AND(AB20&lt;=70,W20&lt;&gt;""),(1-Info!$I$27)*((W20*0.0008*(1+(LOOKUP(Info!$I$18,Rates!$O:$O,Rates!$M:$M)/100)))+((Y20*0.0008*Info!$L$14))*(1+(LOOKUP(Info!$I$18,Rates!$O:$O,Rates!$N:$N)/100))),"")</f>
        <v/>
      </c>
      <c r="Q20" s="239">
        <f>IF(AB20&lt;=60,(LOOKUP(AB20,Rates!$T:$T,Rates!#REF!))*V20/1000000*(1+Info!$L$20)*(1-Info!$I$29),"")</f>
        <v/>
      </c>
      <c r="R20" s="42">
        <f>IF(AND(Z20&lt;&gt;"",Q20&lt;&gt;"",P20&lt;&gt;""),IF(Info!$C$16="بله",(Z20-Q20-P20),Z20),"")</f>
        <v/>
      </c>
      <c r="S20" s="236" t="n">
        <v>0</v>
      </c>
      <c r="T20" s="236">
        <f>IF(AB20&lt;&gt;"",U20/((1+10/100)^(AC20-1)),"")</f>
        <v/>
      </c>
      <c r="U20" s="236">
        <f>IF(AB20&lt;&gt;"",(Y20*LOOKUP(AB20,Rates!$T:$T,Rates!$S:$S))/SQRT(1.1),"")</f>
        <v/>
      </c>
      <c r="V20" s="245">
        <f>IF(AND(AB20&lt;&gt;"",AB20&lt;=60),IF(V19*(1+Info!$F$10)&lt;300000000,V19*(1+Info!$F$10),300000000),"")</f>
        <v/>
      </c>
      <c r="W20" s="240">
        <f>IF(AND(AB20&lt;&gt;"",AB20&lt;=60),Y20*Info!$L$16,"")</f>
        <v/>
      </c>
      <c r="X20" s="245">
        <f>IF(AND(AB20&lt;&gt;"",AB20&lt;=70),Y20*(1+Info!$L$14),"")</f>
        <v/>
      </c>
      <c r="Y20" s="245">
        <f>IF(AB20&lt;&gt;"",(1+Info!$F$10)*Y19,"")</f>
        <v/>
      </c>
      <c r="Z20" s="42" t="n">
        <v>0</v>
      </c>
      <c r="AA20" s="57">
        <f>IF(AC20&lt;&gt;"",Info!$C$6+AC20-1,"")</f>
        <v/>
      </c>
      <c r="AB20" s="57">
        <f>IF(AC20&lt;&gt;"",Info!$F$6+AC20-1,"")</f>
        <v/>
      </c>
      <c r="AC20" s="57">
        <f>IF(AC19&lt;&gt;"",IF(AC19+1&lt;=Info!$I$6,AC19+1,""),"")</f>
        <v/>
      </c>
      <c r="AD20" s="241" t="n"/>
      <c r="AE20" s="241" t="n"/>
    </row>
    <row r="21">
      <c r="A21" s="51" t="n">
        <v>0</v>
      </c>
      <c r="B21" s="51">
        <f>IF(AB21&lt;&gt;"",E21+E21*(IF(AC21&gt;4,0.1,LOOKUP(Info!$C$10,Rates!$D$2:$D$4,Rates!$C$2:$C$4))+0.85*(Info!$I$22-(IF(AC21&gt;4,0.1,LOOKUP(Info!$C$10,Rates!$D$2:$D$4,Rates!$C$2:$C$4)))))*LOOKUP(Info!$C$8,Rates!$I$2:$I$7,Rates!$G$2:$G$7)+B20*(1+IF(AC21&gt;4,0.1,LOOKUP(Info!$C$10,Rates!$D$2:$D$4,Rates!$C$2:$C$4))+0.85*(Info!$I$22-IF(AC21&gt;4,0.1,LOOKUP(Info!$C$10,Rates!$D$2:$D$4,Rates!$C$2:$C$4)))),"")</f>
        <v/>
      </c>
      <c r="C21" s="242">
        <f>IF(AB21&lt;&gt;"",D21,"")</f>
        <v/>
      </c>
      <c r="D21" s="53">
        <f>IF(AB21&lt;&gt;"",E21*(1+IF(AC21&gt;4,0.1,LOOKUP(Info!$C$10,Rates!$D$2:$D$5,Rates!$B$2:$B$5))*LOOKUP(Info!$C$8,Rates!$I$2:$I$7,Rates!$G$2:$G$7))+D20*(1+IF(AC21&gt;4,0.1,LOOKUP(Info!$C$10,Rates!$D$2:$D$5,Rates!$B$2:$B$5))),"")</f>
        <v/>
      </c>
      <c r="E21" s="236">
        <f>IF(AB21&lt;&gt;"",IF(Info!$C$16="بله",IF(AND(AC21&lt;=Info!$F$20,AC21&gt;=Info!$I$20),Info!$C$20,0)+(Z21-S21-I21-H21-G21-F21-L21),IF(AND(AC21&lt;=Info!$F$20,AC21&gt;=Info!$I$20),Info!$C$20,0)+(Z21-S21-I21-H21-G21-F21)),"")</f>
        <v/>
      </c>
      <c r="F21" s="236">
        <f>IF(AB21&lt;&gt;"",0.03*(H21+I21+S21+L21),"")</f>
        <v/>
      </c>
      <c r="G21" s="236">
        <f>IF(AB21&lt;&gt;"",0.06*(H21+I21+S21+L21),"")</f>
        <v/>
      </c>
      <c r="H21" s="237">
        <f>IF(M21="",0,M21)+IF(N21="",0,N21)+IF(O21="",0,O21)</f>
        <v/>
      </c>
      <c r="I21" s="242" t="n">
        <v>0</v>
      </c>
      <c r="J21" s="242">
        <f>IF(AB21&lt;&gt;"",K21/((1+10/100)^(AC21-1)),"")</f>
        <v/>
      </c>
      <c r="K21" s="236">
        <f>IF(U21&lt;&gt;"",Info!$L$20*U21,"")</f>
        <v/>
      </c>
      <c r="L21" s="243">
        <f>IF(P21="",0,P21)+IF(Q21="",0,Q21)</f>
        <v/>
      </c>
      <c r="M21" s="244">
        <f>IF(Z21&lt;&gt;"",5/100*Z21,"")</f>
        <v/>
      </c>
      <c r="N21" s="244" t="n">
        <v>0</v>
      </c>
      <c r="O21" s="244">
        <f>IF(Z21&lt;&gt;"",0.02*Z21*(1-Info!$F$25),"")</f>
        <v/>
      </c>
      <c r="P21" s="243">
        <f>IF(AND(AB21&lt;=70,W21&lt;&gt;""),(1-Info!$I$27)*((W21*0.0008*(1+(LOOKUP(Info!$I$18,Rates!$O:$O,Rates!$M:$M)/100)))+((Y21*0.0008*Info!$L$14))*(1+(LOOKUP(Info!$I$18,Rates!$O:$O,Rates!$N:$N)/100))),"")</f>
        <v/>
      </c>
      <c r="Q21" s="239">
        <f>IF(AB21&lt;=60,(LOOKUP(AB21,Rates!$T:$T,Rates!#REF!))*V21/1000000*(1+Info!$L$20)*(1-Info!$I$29),"")</f>
        <v/>
      </c>
      <c r="R21" s="42">
        <f>IF(AND(Z21&lt;&gt;"",Q21&lt;&gt;"",P21&lt;&gt;""),IF(Info!$C$16="بله",(Z21-Q21-P21),Z21),"")</f>
        <v/>
      </c>
      <c r="S21" s="236" t="n">
        <v>0</v>
      </c>
      <c r="T21" s="236">
        <f>IF(AB21&lt;&gt;"",U21/((1+10/100)^(AC21-1)),"")</f>
        <v/>
      </c>
      <c r="U21" s="236">
        <f>IF(AB21&lt;&gt;"",(Y21*LOOKUP(AB21,Rates!$T:$T,Rates!$S:$S))/SQRT(1.1),"")</f>
        <v/>
      </c>
      <c r="V21" s="245">
        <f>IF(AND(AB21&lt;&gt;"",AB21&lt;=60),IF(V20*(1+Info!$F$10)&lt;300000000,V20*(1+Info!$F$10),300000000),"")</f>
        <v/>
      </c>
      <c r="W21" s="240">
        <f>IF(AND(AB21&lt;&gt;"",AB21&lt;=60),Y21*Info!$L$16,"")</f>
        <v/>
      </c>
      <c r="X21" s="245">
        <f>IF(AND(AB21&lt;&gt;"",AB21&lt;=70),Y21*(1+Info!$L$14),"")</f>
        <v/>
      </c>
      <c r="Y21" s="245">
        <f>IF(AB21&lt;&gt;"",(1+Info!$F$10)*Y20,"")</f>
        <v/>
      </c>
      <c r="Z21" s="42" t="n">
        <v>0</v>
      </c>
      <c r="AA21" s="57">
        <f>IF(AC21&lt;&gt;"",Info!$C$6+AC21-1,"")</f>
        <v/>
      </c>
      <c r="AB21" s="57">
        <f>IF(AC21&lt;&gt;"",Info!$F$6+AC21-1,"")</f>
        <v/>
      </c>
      <c r="AC21" s="57">
        <f>IF(AC20&lt;&gt;"",IF(AC20+1&lt;=Info!$I$6,AC20+1,""),"")</f>
        <v/>
      </c>
      <c r="AD21" s="241" t="n"/>
      <c r="AE21" s="241" t="n"/>
    </row>
    <row r="22">
      <c r="A22" s="51" t="n">
        <v>0</v>
      </c>
      <c r="B22" s="51">
        <f>IF(AB22&lt;&gt;"",E22+E22*(IF(AC22&gt;4,0.1,LOOKUP(Info!$C$10,Rates!$D$2:$D$4,Rates!$C$2:$C$4))+0.85*(Info!$I$22-(IF(AC22&gt;4,0.1,LOOKUP(Info!$C$10,Rates!$D$2:$D$4,Rates!$C$2:$C$4)))))*LOOKUP(Info!$C$8,Rates!$I$2:$I$7,Rates!$G$2:$G$7)+B21*(1+IF(AC22&gt;4,0.1,LOOKUP(Info!$C$10,Rates!$D$2:$D$4,Rates!$C$2:$C$4))+0.85*(Info!$I$22-IF(AC22&gt;4,0.1,LOOKUP(Info!$C$10,Rates!$D$2:$D$4,Rates!$C$2:$C$4)))),"")</f>
        <v/>
      </c>
      <c r="C22" s="242">
        <f>IF(AB22&lt;&gt;"",D22,"")</f>
        <v/>
      </c>
      <c r="D22" s="53">
        <f>IF(AB22&lt;&gt;"",E22*(1+IF(AC22&gt;4,0.1,LOOKUP(Info!$C$10,Rates!$D$2:$D$5,Rates!$B$2:$B$5))*LOOKUP(Info!$C$8,Rates!$I$2:$I$7,Rates!$G$2:$G$7))+D21*(1+IF(AC22&gt;4,0.1,LOOKUP(Info!$C$10,Rates!$D$2:$D$5,Rates!$B$2:$B$5))),"")</f>
        <v/>
      </c>
      <c r="E22" s="236">
        <f>IF(AB22&lt;&gt;"",IF(Info!$C$16="بله",IF(AND(AC22&lt;=Info!$F$20,AC22&gt;=Info!$I$20),Info!$C$20,0)+(Z22-S22-I22-H22-G22-F22-L22),IF(AND(AC22&lt;=Info!$F$20,AC22&gt;=Info!$I$20),Info!$C$20,0)+(Z22-S22-I22-H22-G22-F22)),"")</f>
        <v/>
      </c>
      <c r="F22" s="236">
        <f>IF(AB22&lt;&gt;"",0.03*(H22+I22+S22+L22),"")</f>
        <v/>
      </c>
      <c r="G22" s="236">
        <f>IF(AB22&lt;&gt;"",0.06*(H22+I22+S22+L22),"")</f>
        <v/>
      </c>
      <c r="H22" s="237">
        <f>IF(M22="",0,M22)+IF(N22="",0,N22)+IF(O22="",0,O22)</f>
        <v/>
      </c>
      <c r="I22" s="242" t="n">
        <v>0</v>
      </c>
      <c r="J22" s="242">
        <f>IF(AB22&lt;&gt;"",K22/((1+10/100)^(AC22-1)),"")</f>
        <v/>
      </c>
      <c r="K22" s="236">
        <f>IF(U22&lt;&gt;"",Info!$L$20*U22,"")</f>
        <v/>
      </c>
      <c r="L22" s="243">
        <f>IF(P22="",0,P22)+IF(Q22="",0,Q22)</f>
        <v/>
      </c>
      <c r="M22" s="244">
        <f>IF(Z22&lt;&gt;"",5/100*Z22,"")</f>
        <v/>
      </c>
      <c r="N22" s="244" t="n">
        <v>0</v>
      </c>
      <c r="O22" s="244">
        <f>IF(Z22&lt;&gt;"",0.02*Z22*(1-Info!$F$25),"")</f>
        <v/>
      </c>
      <c r="P22" s="243">
        <f>IF(AND(AB22&lt;=70,W22&lt;&gt;""),(1-Info!$I$27)*((W22*0.0008*(1+(LOOKUP(Info!$I$18,Rates!$O:$O,Rates!$M:$M)/100)))+((Y22*0.0008*Info!$L$14))*(1+(LOOKUP(Info!$I$18,Rates!$O:$O,Rates!$N:$N)/100))),"")</f>
        <v/>
      </c>
      <c r="Q22" s="239">
        <f>IF(AB22&lt;=60,(LOOKUP(AB22,Rates!$T:$T,Rates!#REF!))*V22/1000000*(1+Info!$L$20)*(1-Info!$I$29),"")</f>
        <v/>
      </c>
      <c r="R22" s="42">
        <f>IF(AND(Z22&lt;&gt;"",Q22&lt;&gt;"",P22&lt;&gt;""),IF(Info!$C$16="بله",(Z22-Q22-P22),Z22),"")</f>
        <v/>
      </c>
      <c r="S22" s="236" t="n">
        <v>0</v>
      </c>
      <c r="T22" s="236">
        <f>IF(AB22&lt;&gt;"",U22/((1+10/100)^(AC22-1)),"")</f>
        <v/>
      </c>
      <c r="U22" s="236">
        <f>IF(AB22&lt;&gt;"",(Y22*LOOKUP(AB22,Rates!$T:$T,Rates!$S:$S))/SQRT(1.1),"")</f>
        <v/>
      </c>
      <c r="V22" s="245">
        <f>IF(AND(AB22&lt;&gt;"",AB22&lt;=60),IF(V21*(1+Info!$F$10)&lt;300000000,V21*(1+Info!$F$10),300000000),"")</f>
        <v/>
      </c>
      <c r="W22" s="240">
        <f>IF(AND(AB22&lt;&gt;"",AB22&lt;=60),Y22*Info!$L$16,"")</f>
        <v/>
      </c>
      <c r="X22" s="245">
        <f>IF(AND(AB22&lt;&gt;"",AB22&lt;=70),Y22*(1+Info!$L$14),"")</f>
        <v/>
      </c>
      <c r="Y22" s="245">
        <f>IF(AB22&lt;&gt;"",(1+Info!$F$10)*Y21,"")</f>
        <v/>
      </c>
      <c r="Z22" s="42" t="n">
        <v>0</v>
      </c>
      <c r="AA22" s="57">
        <f>IF(AC22&lt;&gt;"",Info!$C$6+AC22-1,"")</f>
        <v/>
      </c>
      <c r="AB22" s="57">
        <f>IF(AC22&lt;&gt;"",Info!$F$6+AC22-1,"")</f>
        <v/>
      </c>
      <c r="AC22" s="57">
        <f>IF(AC21&lt;&gt;"",IF(AC21+1&lt;=Info!$I$6,AC21+1,""),"")</f>
        <v/>
      </c>
      <c r="AD22" s="241" t="n"/>
      <c r="AE22" s="241" t="n"/>
    </row>
    <row r="23">
      <c r="A23" s="51" t="n">
        <v>0</v>
      </c>
      <c r="B23" s="51">
        <f>IF(AB23&lt;&gt;"",E23+E23*(IF(AC23&gt;4,0.1,LOOKUP(Info!$C$10,Rates!$D$2:$D$4,Rates!$C$2:$C$4))+0.85*(Info!$I$22-(IF(AC23&gt;4,0.1,LOOKUP(Info!$C$10,Rates!$D$2:$D$4,Rates!$C$2:$C$4)))))*LOOKUP(Info!$C$8,Rates!$I$2:$I$7,Rates!$G$2:$G$7)+B22*(1+IF(AC23&gt;4,0.1,LOOKUP(Info!$C$10,Rates!$D$2:$D$4,Rates!$C$2:$C$4))+0.85*(Info!$I$22-IF(AC23&gt;4,0.1,LOOKUP(Info!$C$10,Rates!$D$2:$D$4,Rates!$C$2:$C$4)))),"")</f>
        <v/>
      </c>
      <c r="C23" s="242">
        <f>IF(AB23&lt;&gt;"",D23,"")</f>
        <v/>
      </c>
      <c r="D23" s="53">
        <f>IF(AB23&lt;&gt;"",E23*(1+IF(AC23&gt;4,0.1,LOOKUP(Info!$C$10,Rates!$D$2:$D$5,Rates!$B$2:$B$5))*LOOKUP(Info!$C$8,Rates!$I$2:$I$7,Rates!$G$2:$G$7))+D22*(1+IF(AC23&gt;4,0.1,LOOKUP(Info!$C$10,Rates!$D$2:$D$5,Rates!$B$2:$B$5))),"")</f>
        <v/>
      </c>
      <c r="E23" s="236">
        <f>IF(AB23&lt;&gt;"",IF(Info!$C$16="بله",IF(AND(AC23&lt;=Info!$F$20,AC23&gt;=Info!$I$20),Info!$C$20,0)+(Z23-S23-I23-H23-G23-F23-L23),IF(AND(AC23&lt;=Info!$F$20,AC23&gt;=Info!$I$20),Info!$C$20,0)+(Z23-S23-I23-H23-G23-F23)),"")</f>
        <v/>
      </c>
      <c r="F23" s="236">
        <f>IF(AB23&lt;&gt;"",0.03*(H23+I23+S23+L23),"")</f>
        <v/>
      </c>
      <c r="G23" s="236">
        <f>IF(AB23&lt;&gt;"",0.06*(H23+I23+S23+L23),"")</f>
        <v/>
      </c>
      <c r="H23" s="237">
        <f>IF(M23="",0,M23)+IF(N23="",0,N23)+IF(O23="",0,O23)</f>
        <v/>
      </c>
      <c r="I23" s="242" t="n">
        <v>0</v>
      </c>
      <c r="J23" s="242">
        <f>IF(AB23&lt;&gt;"",K23/((1+10/100)^(AC23-1)),"")</f>
        <v/>
      </c>
      <c r="K23" s="236">
        <f>IF(U23&lt;&gt;"",Info!$L$20*U23,"")</f>
        <v/>
      </c>
      <c r="L23" s="243">
        <f>IF(P23="",0,P23)+IF(Q23="",0,Q23)</f>
        <v/>
      </c>
      <c r="M23" s="244">
        <f>IF(Z23&lt;&gt;"",5/100*Z23,"")</f>
        <v/>
      </c>
      <c r="N23" s="244" t="n">
        <v>0</v>
      </c>
      <c r="O23" s="244">
        <f>IF(Z23&lt;&gt;"",0.02*Z23*(1-Info!$F$25),"")</f>
        <v/>
      </c>
      <c r="P23" s="243">
        <f>IF(AND(AB23&lt;=70,W23&lt;&gt;""),(1-Info!$I$27)*((W23*0.0008*(1+(LOOKUP(Info!$I$18,Rates!$O:$O,Rates!$M:$M)/100)))+((Y23*0.0008*Info!$L$14))*(1+(LOOKUP(Info!$I$18,Rates!$O:$O,Rates!$N:$N)/100))),"")</f>
        <v/>
      </c>
      <c r="Q23" s="239">
        <f>IF(AB23&lt;=60,(LOOKUP(AB23,Rates!$T:$T,Rates!#REF!))*V23/1000000*(1+Info!$L$20)*(1-Info!$I$29),"")</f>
        <v/>
      </c>
      <c r="R23" s="42">
        <f>IF(AND(Z23&lt;&gt;"",Q23&lt;&gt;"",P23&lt;&gt;""),IF(Info!$C$16="بله",(Z23-Q23-P23),Z23),"")</f>
        <v/>
      </c>
      <c r="S23" s="236" t="n">
        <v>0</v>
      </c>
      <c r="T23" s="236">
        <f>IF(AB23&lt;&gt;"",U23/((1+10/100)^(AC23-1)),"")</f>
        <v/>
      </c>
      <c r="U23" s="236">
        <f>IF(AB23&lt;&gt;"",(Y23*LOOKUP(AB23,Rates!$T:$T,Rates!$S:$S))/SQRT(1.1),"")</f>
        <v/>
      </c>
      <c r="V23" s="245">
        <f>IF(AND(AB23&lt;&gt;"",AB23&lt;=60),IF(V22*(1+Info!$F$10)&lt;300000000,V22*(1+Info!$F$10),300000000),"")</f>
        <v/>
      </c>
      <c r="W23" s="240">
        <f>IF(AND(AB23&lt;&gt;"",AB23&lt;=60),Y23*Info!$L$16,"")</f>
        <v/>
      </c>
      <c r="X23" s="245">
        <f>IF(AND(AB23&lt;&gt;"",AB23&lt;=70),Y23*(1+Info!$L$14),"")</f>
        <v/>
      </c>
      <c r="Y23" s="245">
        <f>IF(AB23&lt;&gt;"",(1+Info!$F$10)*Y22,"")</f>
        <v/>
      </c>
      <c r="Z23" s="42" t="n">
        <v>0</v>
      </c>
      <c r="AA23" s="57">
        <f>IF(AC23&lt;&gt;"",Info!$C$6+AC23-1,"")</f>
        <v/>
      </c>
      <c r="AB23" s="57">
        <f>IF(AC23&lt;&gt;"",Info!$F$6+AC23-1,"")</f>
        <v/>
      </c>
      <c r="AC23" s="57">
        <f>IF(AC22&lt;&gt;"",IF(AC22+1&lt;=Info!$I$6,AC22+1,""),"")</f>
        <v/>
      </c>
      <c r="AD23" s="241" t="n"/>
      <c r="AE23" s="241" t="n"/>
    </row>
    <row r="24">
      <c r="A24" s="51" t="n">
        <v>0</v>
      </c>
      <c r="B24" s="51">
        <f>IF(AB24&lt;&gt;"",E24+E24*(IF(AC24&gt;4,0.1,LOOKUP(Info!$C$10,Rates!$D$2:$D$4,Rates!$C$2:$C$4))+0.85*(Info!$I$22-(IF(AC24&gt;4,0.1,LOOKUP(Info!$C$10,Rates!$D$2:$D$4,Rates!$C$2:$C$4)))))*LOOKUP(Info!$C$8,Rates!$I$2:$I$7,Rates!$G$2:$G$7)+B23*(1+IF(AC24&gt;4,0.1,LOOKUP(Info!$C$10,Rates!$D$2:$D$4,Rates!$C$2:$C$4))+0.85*(Info!$I$22-IF(AC24&gt;4,0.1,LOOKUP(Info!$C$10,Rates!$D$2:$D$4,Rates!$C$2:$C$4)))),"")</f>
        <v/>
      </c>
      <c r="C24" s="242">
        <f>IF(AB24&lt;&gt;"",D24,"")</f>
        <v/>
      </c>
      <c r="D24" s="53">
        <f>IF(AB24&lt;&gt;"",E24*(1+IF(AC24&gt;4,0.1,LOOKUP(Info!$C$10,Rates!$D$2:$D$5,Rates!$B$2:$B$5))*LOOKUP(Info!$C$8,Rates!$I$2:$I$7,Rates!$G$2:$G$7))+D23*(1+IF(AC24&gt;4,0.1,LOOKUP(Info!$C$10,Rates!$D$2:$D$5,Rates!$B$2:$B$5))),"")</f>
        <v/>
      </c>
      <c r="E24" s="236">
        <f>IF(AB24&lt;&gt;"",IF(Info!$C$16="بله",IF(AND(AC24&lt;=Info!$F$20,AC24&gt;=Info!$I$20),Info!$C$20,0)+(Z24-S24-I24-H24-G24-F24-L24),IF(AND(AC24&lt;=Info!$F$20,AC24&gt;=Info!$I$20),Info!$C$20,0)+(Z24-S24-I24-H24-G24-F24)),"")</f>
        <v/>
      </c>
      <c r="F24" s="236">
        <f>IF(AB24&lt;&gt;"",0.03*(H24+I24+S24+L24),"")</f>
        <v/>
      </c>
      <c r="G24" s="236">
        <f>IF(AB24&lt;&gt;"",0.06*(H24+I24+S24+L24),"")</f>
        <v/>
      </c>
      <c r="H24" s="237">
        <f>IF(M24="",0,M24)+IF(N24="",0,N24)+IF(O24="",0,O24)</f>
        <v/>
      </c>
      <c r="I24" s="242" t="n">
        <v>0</v>
      </c>
      <c r="J24" s="242">
        <f>IF(AB24&lt;&gt;"",K24/((1+10/100)^(AC24-1)),"")</f>
        <v/>
      </c>
      <c r="K24" s="236">
        <f>IF(U24&lt;&gt;"",Info!$L$20*U24,"")</f>
        <v/>
      </c>
      <c r="L24" s="243">
        <f>IF(P24="",0,P24)+IF(Q24="",0,Q24)</f>
        <v/>
      </c>
      <c r="M24" s="244">
        <f>IF(Z24&lt;&gt;"",5/100*Z24,"")</f>
        <v/>
      </c>
      <c r="N24" s="244" t="n">
        <v>0</v>
      </c>
      <c r="O24" s="244">
        <f>IF(Z24&lt;&gt;"",0.02*Z24*(1-Info!$F$25),"")</f>
        <v/>
      </c>
      <c r="P24" s="243">
        <f>IF(AND(AB24&lt;=70,W24&lt;&gt;""),(1-Info!$I$27)*((W24*0.0008*(1+(LOOKUP(Info!$I$18,Rates!$O:$O,Rates!$M:$M)/100)))+((Y24*0.0008*Info!$L$14))*(1+(LOOKUP(Info!$I$18,Rates!$O:$O,Rates!$N:$N)/100))),"")</f>
        <v/>
      </c>
      <c r="Q24" s="239">
        <f>IF(AB24&lt;=60,(LOOKUP(AB24,Rates!$T:$T,Rates!#REF!))*V24/1000000*(1+Info!$L$20)*(1-Info!$I$29),"")</f>
        <v/>
      </c>
      <c r="R24" s="42">
        <f>IF(AND(Z24&lt;&gt;"",Q24&lt;&gt;"",P24&lt;&gt;""),IF(Info!$C$16="بله",(Z24-Q24-P24),Z24),"")</f>
        <v/>
      </c>
      <c r="S24" s="236" t="n">
        <v>0</v>
      </c>
      <c r="T24" s="236">
        <f>IF(AB24&lt;&gt;"",U24/((1+10/100)^(AC24-1)),"")</f>
        <v/>
      </c>
      <c r="U24" s="236">
        <f>IF(AB24&lt;&gt;"",(Y24*LOOKUP(AB24,Rates!$T:$T,Rates!$S:$S))/SQRT(1.1),"")</f>
        <v/>
      </c>
      <c r="V24" s="245">
        <f>IF(AND(AB24&lt;&gt;"",AB24&lt;=60),IF(V23*(1+Info!$F$10)&lt;300000000,V23*(1+Info!$F$10),300000000),"")</f>
        <v/>
      </c>
      <c r="W24" s="240">
        <f>IF(AND(AB24&lt;&gt;"",AB24&lt;=60),Y24*Info!$L$16,"")</f>
        <v/>
      </c>
      <c r="X24" s="245">
        <f>IF(AND(AB24&lt;&gt;"",AB24&lt;=70),Y24*(1+Info!$L$14),"")</f>
        <v/>
      </c>
      <c r="Y24" s="245">
        <f>IF(AB24&lt;&gt;"",(1+Info!$F$10)*Y23,"")</f>
        <v/>
      </c>
      <c r="Z24" s="42" t="n">
        <v>0</v>
      </c>
      <c r="AA24" s="57">
        <f>IF(AC24&lt;&gt;"",Info!$C$6+AC24-1,"")</f>
        <v/>
      </c>
      <c r="AB24" s="57">
        <f>IF(AC24&lt;&gt;"",Info!$F$6+AC24-1,"")</f>
        <v/>
      </c>
      <c r="AC24" s="57">
        <f>IF(AC23&lt;&gt;"",IF(AC23+1&lt;=Info!$I$6,AC23+1,""),"")</f>
        <v/>
      </c>
      <c r="AD24" s="241" t="n"/>
      <c r="AE24" s="241" t="n"/>
    </row>
    <row r="25">
      <c r="A25" s="51" t="n">
        <v>0</v>
      </c>
      <c r="B25" s="51">
        <f>IF(AB25&lt;&gt;"",E25+E25*(IF(AC25&gt;4,0.1,LOOKUP(Info!$C$10,Rates!$D$2:$D$4,Rates!$C$2:$C$4))+0.85*(Info!$I$22-(IF(AC25&gt;4,0.1,LOOKUP(Info!$C$10,Rates!$D$2:$D$4,Rates!$C$2:$C$4)))))*LOOKUP(Info!$C$8,Rates!$I$2:$I$7,Rates!$G$2:$G$7)+B24*(1+IF(AC25&gt;4,0.1,LOOKUP(Info!$C$10,Rates!$D$2:$D$4,Rates!$C$2:$C$4))+0.85*(Info!$I$22-IF(AC25&gt;4,0.1,LOOKUP(Info!$C$10,Rates!$D$2:$D$4,Rates!$C$2:$C$4)))),"")</f>
        <v/>
      </c>
      <c r="C25" s="242">
        <f>IF(AB25&lt;&gt;"",D25,"")</f>
        <v/>
      </c>
      <c r="D25" s="53">
        <f>IF(AB25&lt;&gt;"",E25*(1+IF(AC25&gt;4,0.1,LOOKUP(Info!$C$10,Rates!$D$2:$D$5,Rates!$B$2:$B$5))*LOOKUP(Info!$C$8,Rates!$I$2:$I$7,Rates!$G$2:$G$7))+D24*(1+IF(AC25&gt;4,0.1,LOOKUP(Info!$C$10,Rates!$D$2:$D$5,Rates!$B$2:$B$5))),"")</f>
        <v/>
      </c>
      <c r="E25" s="236">
        <f>IF(AB25&lt;&gt;"",IF(Info!$C$16="بله",IF(AND(AC25&lt;=Info!$F$20,AC25&gt;=Info!$I$20),Info!$C$20,0)+(Z25-S25-I25-H25-G25-F25-L25),IF(AND(AC25&lt;=Info!$F$20,AC25&gt;=Info!$I$20),Info!$C$20,0)+(Z25-S25-I25-H25-G25-F25)),"")</f>
        <v/>
      </c>
      <c r="F25" s="236">
        <f>IF(AB25&lt;&gt;"",0.03*(H25+I25+S25+L25),"")</f>
        <v/>
      </c>
      <c r="G25" s="236">
        <f>IF(AB25&lt;&gt;"",0.06*(H25+I25+S25+L25),"")</f>
        <v/>
      </c>
      <c r="H25" s="237">
        <f>IF(M25="",0,M25)+IF(N25="",0,N25)+IF(O25="",0,O25)</f>
        <v/>
      </c>
      <c r="I25" s="242" t="n">
        <v>0</v>
      </c>
      <c r="J25" s="242">
        <f>IF(AB25&lt;&gt;"",K25/((1+10/100)^(AC25-1)),"")</f>
        <v/>
      </c>
      <c r="K25" s="236">
        <f>IF(U25&lt;&gt;"",Info!$L$20*U25,"")</f>
        <v/>
      </c>
      <c r="L25" s="243">
        <f>IF(P25="",0,P25)+IF(Q25="",0,Q25)</f>
        <v/>
      </c>
      <c r="M25" s="244">
        <f>IF(Z25&lt;&gt;"",5/100*Z25,"")</f>
        <v/>
      </c>
      <c r="N25" s="244" t="n">
        <v>0</v>
      </c>
      <c r="O25" s="244">
        <f>IF(Z25&lt;&gt;"",0.02*Z25*(1-Info!$F$25),"")</f>
        <v/>
      </c>
      <c r="P25" s="243">
        <f>IF(AND(AB25&lt;=70,W25&lt;&gt;""),(1-Info!$I$27)*((W25*0.0008*(1+(LOOKUP(Info!$I$18,Rates!$O:$O,Rates!$M:$M)/100)))+((Y25*0.0008*Info!$L$14))*(1+(LOOKUP(Info!$I$18,Rates!$O:$O,Rates!$N:$N)/100))),"")</f>
        <v/>
      </c>
      <c r="Q25" s="239">
        <f>IF(AB25&lt;=60,(LOOKUP(AB25,Rates!$T:$T,Rates!#REF!))*V25/1000000*(1+Info!$L$20)*(1-Info!$I$29),"")</f>
        <v/>
      </c>
      <c r="R25" s="42">
        <f>IF(AND(Z25&lt;&gt;"",Q25&lt;&gt;"",P25&lt;&gt;""),IF(Info!$C$16="بله",(Z25-Q25-P25),Z25),"")</f>
        <v/>
      </c>
      <c r="S25" s="236" t="n">
        <v>0</v>
      </c>
      <c r="T25" s="236">
        <f>IF(AB25&lt;&gt;"",U25/((1+10/100)^(AC25-1)),"")</f>
        <v/>
      </c>
      <c r="U25" s="236">
        <f>IF(AB25&lt;&gt;"",(Y25*LOOKUP(AB25,Rates!$T:$T,Rates!$S:$S))/SQRT(1.1),"")</f>
        <v/>
      </c>
      <c r="V25" s="245">
        <f>IF(AND(AB25&lt;&gt;"",AB25&lt;=60),IF(V24*(1+Info!$F$10)&lt;300000000,V24*(1+Info!$F$10),300000000),"")</f>
        <v/>
      </c>
      <c r="W25" s="240">
        <f>IF(AND(AB25&lt;&gt;"",AB25&lt;=60),Y25*Info!$L$16,"")</f>
        <v/>
      </c>
      <c r="X25" s="245">
        <f>IF(AND(AB25&lt;&gt;"",AB25&lt;=70),Y25*(1+Info!$L$14),"")</f>
        <v/>
      </c>
      <c r="Y25" s="245">
        <f>IF(AB25&lt;&gt;"",(1+Info!$F$10)*Y24,"")</f>
        <v/>
      </c>
      <c r="Z25" s="42" t="n">
        <v>0</v>
      </c>
      <c r="AA25" s="57">
        <f>IF(AC25&lt;&gt;"",Info!$C$6+AC25-1,"")</f>
        <v/>
      </c>
      <c r="AB25" s="57">
        <f>IF(AC25&lt;&gt;"",Info!$F$6+AC25-1,"")</f>
        <v/>
      </c>
      <c r="AC25" s="57">
        <f>IF(AC24&lt;&gt;"",IF(AC24+1&lt;=Info!$I$6,AC24+1,""),"")</f>
        <v/>
      </c>
      <c r="AD25" s="241" t="n"/>
      <c r="AE25" s="241" t="n"/>
    </row>
    <row r="26">
      <c r="A26" s="51" t="n">
        <v>0</v>
      </c>
      <c r="B26" s="51">
        <f>IF(AB26&lt;&gt;"",E26+E26*(IF(AC26&gt;4,0.1,LOOKUP(Info!$C$10,Rates!$D$2:$D$4,Rates!$C$2:$C$4))+0.85*(Info!$I$22-(IF(AC26&gt;4,0.1,LOOKUP(Info!$C$10,Rates!$D$2:$D$4,Rates!$C$2:$C$4)))))*LOOKUP(Info!$C$8,Rates!$I$2:$I$7,Rates!$G$2:$G$7)+B25*(1+IF(AC26&gt;4,0.1,LOOKUP(Info!$C$10,Rates!$D$2:$D$4,Rates!$C$2:$C$4))+0.85*(Info!$I$22-IF(AC26&gt;4,0.1,LOOKUP(Info!$C$10,Rates!$D$2:$D$4,Rates!$C$2:$C$4)))),"")</f>
        <v/>
      </c>
      <c r="C26" s="242">
        <f>IF(AB26&lt;&gt;"",D26,"")</f>
        <v/>
      </c>
      <c r="D26" s="53">
        <f>IF(AB26&lt;&gt;"",E26*(1+IF(AC26&gt;4,0.1,LOOKUP(Info!$C$10,Rates!$D$2:$D$5,Rates!$B$2:$B$5))*LOOKUP(Info!$C$8,Rates!$I$2:$I$7,Rates!$G$2:$G$7))+D25*(1+IF(AC26&gt;4,0.1,LOOKUP(Info!$C$10,Rates!$D$2:$D$5,Rates!$B$2:$B$5))),"")</f>
        <v/>
      </c>
      <c r="E26" s="236">
        <f>IF(AB26&lt;&gt;"",IF(Info!$C$16="بله",IF(AND(AC26&lt;=Info!$F$20,AC26&gt;=Info!$I$20),Info!$C$20,0)+(Z26-S26-I26-H26-G26-F26-L26),IF(AND(AC26&lt;=Info!$F$20,AC26&gt;=Info!$I$20),Info!$C$20,0)+(Z26-S26-I26-H26-G26-F26)),"")</f>
        <v/>
      </c>
      <c r="F26" s="236">
        <f>IF(AB26&lt;&gt;"",0.03*(H26+I26+S26+L26),"")</f>
        <v/>
      </c>
      <c r="G26" s="236">
        <f>IF(AB26&lt;&gt;"",0.06*(H26+I26+S26+L26),"")</f>
        <v/>
      </c>
      <c r="H26" s="237">
        <f>IF(M26="",0,M26)+IF(N26="",0,N26)+IF(O26="",0,O26)</f>
        <v/>
      </c>
      <c r="I26" s="242" t="n">
        <v>0</v>
      </c>
      <c r="J26" s="242">
        <f>IF(AB26&lt;&gt;"",K26/((1+10/100)^(AC26-1)),"")</f>
        <v/>
      </c>
      <c r="K26" s="236">
        <f>IF(U26&lt;&gt;"",Info!$L$20*U26,"")</f>
        <v/>
      </c>
      <c r="L26" s="243">
        <f>IF(P26="",0,P26)+IF(Q26="",0,Q26)</f>
        <v/>
      </c>
      <c r="M26" s="244">
        <f>IF(Z26&lt;&gt;"",5/100*Z26,"")</f>
        <v/>
      </c>
      <c r="N26" s="244" t="n">
        <v>0</v>
      </c>
      <c r="O26" s="244">
        <f>IF(Z26&lt;&gt;"",0.02*Z26*(1-Info!$F$25),"")</f>
        <v/>
      </c>
      <c r="P26" s="243">
        <f>IF(AND(AB26&lt;=70,W26&lt;&gt;""),(1-Info!$I$27)*((W26*0.0008*(1+(LOOKUP(Info!$I$18,Rates!$O:$O,Rates!$M:$M)/100)))+((Y26*0.0008*Info!$L$14))*(1+(LOOKUP(Info!$I$18,Rates!$O:$O,Rates!$N:$N)/100))),"")</f>
        <v/>
      </c>
      <c r="Q26" s="239">
        <f>IF(AB26&lt;=60,(LOOKUP(AB26,Rates!$T:$T,Rates!#REF!))*V26/1000000*(1+Info!$L$20)*(1-Info!$I$29),"")</f>
        <v/>
      </c>
      <c r="R26" s="42">
        <f>IF(AND(Z26&lt;&gt;"",Q26&lt;&gt;"",P26&lt;&gt;""),IF(Info!$C$16="بله",(Z26-Q26-P26),Z26),"")</f>
        <v/>
      </c>
      <c r="S26" s="236" t="n">
        <v>0</v>
      </c>
      <c r="T26" s="236">
        <f>IF(AB26&lt;&gt;"",U26/((1+10/100)^(AC26-1)),"")</f>
        <v/>
      </c>
      <c r="U26" s="236">
        <f>IF(AB26&lt;&gt;"",(Y26*LOOKUP(AB26,Rates!$T:$T,Rates!$S:$S))/SQRT(1.1),"")</f>
        <v/>
      </c>
      <c r="V26" s="245">
        <f>IF(AND(AB26&lt;&gt;"",AB26&lt;=60),IF(V25*(1+Info!$F$10)&lt;300000000,V25*(1+Info!$F$10),300000000),"")</f>
        <v/>
      </c>
      <c r="W26" s="240">
        <f>IF(AND(AB26&lt;&gt;"",AB26&lt;=60),Y26*Info!$L$16,"")</f>
        <v/>
      </c>
      <c r="X26" s="245">
        <f>IF(AND(AB26&lt;&gt;"",AB26&lt;=70),Y26*(1+Info!$L$14),"")</f>
        <v/>
      </c>
      <c r="Y26" s="245">
        <f>IF(AB26&lt;&gt;"",(1+Info!$F$10)*Y25,"")</f>
        <v/>
      </c>
      <c r="Z26" s="42" t="n">
        <v>0</v>
      </c>
      <c r="AA26" s="57">
        <f>IF(AC26&lt;&gt;"",Info!$C$6+AC26-1,"")</f>
        <v/>
      </c>
      <c r="AB26" s="57">
        <f>IF(AC26&lt;&gt;"",Info!$F$6+AC26-1,"")</f>
        <v/>
      </c>
      <c r="AC26" s="57">
        <f>IF(AC25&lt;&gt;"",IF(AC25+1&lt;=Info!$I$6,AC25+1,""),"")</f>
        <v/>
      </c>
      <c r="AD26" s="241" t="n"/>
      <c r="AE26" s="241" t="n"/>
    </row>
    <row r="27">
      <c r="A27" s="51" t="n">
        <v>0</v>
      </c>
      <c r="B27" s="51">
        <f>IF(AB27&lt;&gt;"",E27+E27*(IF(AC27&gt;4,0.1,LOOKUP(Info!$C$10,Rates!$D$2:$D$4,Rates!$C$2:$C$4))+0.85*(Info!$I$22-(IF(AC27&gt;4,0.1,LOOKUP(Info!$C$10,Rates!$D$2:$D$4,Rates!$C$2:$C$4)))))*LOOKUP(Info!$C$8,Rates!$I$2:$I$7,Rates!$G$2:$G$7)+B26*(1+IF(AC27&gt;4,0.1,LOOKUP(Info!$C$10,Rates!$D$2:$D$4,Rates!$C$2:$C$4))+0.85*(Info!$I$22-IF(AC27&gt;4,0.1,LOOKUP(Info!$C$10,Rates!$D$2:$D$4,Rates!$C$2:$C$4)))),"")</f>
        <v/>
      </c>
      <c r="C27" s="242">
        <f>IF(AB27&lt;&gt;"",D27,"")</f>
        <v/>
      </c>
      <c r="D27" s="53">
        <f>IF(AB27&lt;&gt;"",E27*(1+IF(AC27&gt;4,0.1,LOOKUP(Info!$C$10,Rates!$D$2:$D$5,Rates!$B$2:$B$5))*LOOKUP(Info!$C$8,Rates!$I$2:$I$7,Rates!$G$2:$G$7))+D26*(1+IF(AC27&gt;4,0.1,LOOKUP(Info!$C$10,Rates!$D$2:$D$5,Rates!$B$2:$B$5))),"")</f>
        <v/>
      </c>
      <c r="E27" s="236">
        <f>IF(AB27&lt;&gt;"",IF(Info!$C$16="بله",IF(AND(AC27&lt;=Info!$F$20,AC27&gt;=Info!$I$20),Info!$C$20,0)+(Z27-S27-I27-H27-G27-F27-L27),IF(AND(AC27&lt;=Info!$F$20,AC27&gt;=Info!$I$20),Info!$C$20,0)+(Z27-S27-I27-H27-G27-F27)),"")</f>
        <v/>
      </c>
      <c r="F27" s="236">
        <f>IF(AB27&lt;&gt;"",0.03*(H27+I27+S27+L27),"")</f>
        <v/>
      </c>
      <c r="G27" s="236">
        <f>IF(AB27&lt;&gt;"",0.06*(H27+I27+S27+L27),"")</f>
        <v/>
      </c>
      <c r="H27" s="237">
        <f>IF(M27="",0,M27)+IF(N27="",0,N27)+IF(O27="",0,O27)</f>
        <v/>
      </c>
      <c r="I27" s="242" t="n">
        <v>0</v>
      </c>
      <c r="J27" s="242">
        <f>IF(AB27&lt;&gt;"",K27/((1+10/100)^(AC27-1)),"")</f>
        <v/>
      </c>
      <c r="K27" s="236">
        <f>IF(U27&lt;&gt;"",Info!$L$20*U27,"")</f>
        <v/>
      </c>
      <c r="L27" s="243">
        <f>IF(P27="",0,P27)+IF(Q27="",0,Q27)</f>
        <v/>
      </c>
      <c r="M27" s="244">
        <f>IF(Z27&lt;&gt;"",5/100*Z27,"")</f>
        <v/>
      </c>
      <c r="N27" s="244" t="n">
        <v>0</v>
      </c>
      <c r="O27" s="244">
        <f>IF(Z27&lt;&gt;"",0.02*Z27*(1-Info!$F$25),"")</f>
        <v/>
      </c>
      <c r="P27" s="243">
        <f>IF(AND(AB27&lt;=70,W27&lt;&gt;""),(1-Info!$I$27)*((W27*0.0008*(1+(LOOKUP(Info!$I$18,Rates!$O:$O,Rates!$M:$M)/100)))+((Y27*0.0008*Info!$L$14))*(1+(LOOKUP(Info!$I$18,Rates!$O:$O,Rates!$N:$N)/100))),"")</f>
        <v/>
      </c>
      <c r="Q27" s="239">
        <f>IF(AB27&lt;=60,(LOOKUP(AB27,Rates!$T:$T,Rates!#REF!))*V27/1000000*(1+Info!$L$20)*(1-Info!$I$29),"")</f>
        <v/>
      </c>
      <c r="R27" s="42">
        <f>IF(AND(Z27&lt;&gt;"",Q27&lt;&gt;"",P27&lt;&gt;""),IF(Info!$C$16="بله",(Z27-Q27-P27),Z27),"")</f>
        <v/>
      </c>
      <c r="S27" s="236" t="n">
        <v>0</v>
      </c>
      <c r="T27" s="236">
        <f>IF(AB27&lt;&gt;"",U27/((1+10/100)^(AC27-1)),"")</f>
        <v/>
      </c>
      <c r="U27" s="236">
        <f>IF(AB27&lt;&gt;"",(Y27*LOOKUP(AB27,Rates!$T:$T,Rates!$S:$S))/SQRT(1.1),"")</f>
        <v/>
      </c>
      <c r="V27" s="245">
        <f>IF(AND(AB27&lt;&gt;"",AB27&lt;=60),IF(V26*(1+Info!$F$10)&lt;300000000,V26*(1+Info!$F$10),300000000),"")</f>
        <v/>
      </c>
      <c r="W27" s="240">
        <f>IF(AND(AB27&lt;&gt;"",AB27&lt;=60),Y27*Info!$L$16,"")</f>
        <v/>
      </c>
      <c r="X27" s="245">
        <f>IF(AND(AB27&lt;&gt;"",AB27&lt;=70),Y27*(1+Info!$L$14),"")</f>
        <v/>
      </c>
      <c r="Y27" s="245">
        <f>IF(AB27&lt;&gt;"",(1+Info!$F$10)*Y26,"")</f>
        <v/>
      </c>
      <c r="Z27" s="42" t="n">
        <v>0</v>
      </c>
      <c r="AA27" s="57">
        <f>IF(AC27&lt;&gt;"",Info!$C$6+AC27-1,"")</f>
        <v/>
      </c>
      <c r="AB27" s="57">
        <f>IF(AC27&lt;&gt;"",Info!$F$6+AC27-1,"")</f>
        <v/>
      </c>
      <c r="AC27" s="57">
        <f>IF(AC26&lt;&gt;"",IF(AC26+1&lt;=Info!$I$6,AC26+1,""),"")</f>
        <v/>
      </c>
      <c r="AD27" s="241" t="n"/>
      <c r="AE27" s="241" t="n"/>
    </row>
    <row r="28">
      <c r="A28" s="51" t="n">
        <v>0</v>
      </c>
      <c r="B28" s="51">
        <f>IF(AB28&lt;&gt;"",E28+E28*(IF(AC28&gt;4,0.1,LOOKUP(Info!$C$10,Rates!$D$2:$D$4,Rates!$C$2:$C$4))+0.85*(Info!$I$22-(IF(AC28&gt;4,0.1,LOOKUP(Info!$C$10,Rates!$D$2:$D$4,Rates!$C$2:$C$4)))))*LOOKUP(Info!$C$8,Rates!$I$2:$I$7,Rates!$G$2:$G$7)+B27*(1+IF(AC28&gt;4,0.1,LOOKUP(Info!$C$10,Rates!$D$2:$D$4,Rates!$C$2:$C$4))+0.85*(Info!$I$22-IF(AC28&gt;4,0.1,LOOKUP(Info!$C$10,Rates!$D$2:$D$4,Rates!$C$2:$C$4)))),"")</f>
        <v/>
      </c>
      <c r="C28" s="242">
        <f>IF(AB28&lt;&gt;"",D28,"")</f>
        <v/>
      </c>
      <c r="D28" s="53">
        <f>IF(AB28&lt;&gt;"",E28*(1+IF(AC28&gt;4,0.1,LOOKUP(Info!$C$10,Rates!$D$2:$D$5,Rates!$B$2:$B$5))*LOOKUP(Info!$C$8,Rates!$I$2:$I$7,Rates!$G$2:$G$7))+D27*(1+IF(AC28&gt;4,0.1,LOOKUP(Info!$C$10,Rates!$D$2:$D$5,Rates!$B$2:$B$5))),"")</f>
        <v/>
      </c>
      <c r="E28" s="236">
        <f>IF(AB28&lt;&gt;"",IF(Info!$C$16="بله",IF(AND(AC28&lt;=Info!$F$20,AC28&gt;=Info!$I$20),Info!$C$20,0)+(Z28-S28-I28-H28-G28-F28-L28),IF(AND(AC28&lt;=Info!$F$20,AC28&gt;=Info!$I$20),Info!$C$20,0)+(Z28-S28-I28-H28-G28-F28)),"")</f>
        <v/>
      </c>
      <c r="F28" s="236">
        <f>IF(AB28&lt;&gt;"",0.03*(H28+I28+S28+L28),"")</f>
        <v/>
      </c>
      <c r="G28" s="236">
        <f>IF(AB28&lt;&gt;"",0.06*(H28+I28+S28+L28),"")</f>
        <v/>
      </c>
      <c r="H28" s="237">
        <f>IF(M28="",0,M28)+IF(N28="",0,N28)+IF(O28="",0,O28)</f>
        <v/>
      </c>
      <c r="I28" s="242" t="n">
        <v>0</v>
      </c>
      <c r="J28" s="242">
        <f>IF(AB28&lt;&gt;"",K28/((1+10/100)^(AC28-1)),"")</f>
        <v/>
      </c>
      <c r="K28" s="236">
        <f>IF(U28&lt;&gt;"",Info!$L$20*U28,"")</f>
        <v/>
      </c>
      <c r="L28" s="243">
        <f>IF(P28="",0,P28)+IF(Q28="",0,Q28)</f>
        <v/>
      </c>
      <c r="M28" s="244">
        <f>IF(Z28&lt;&gt;"",5/100*Z28,"")</f>
        <v/>
      </c>
      <c r="N28" s="244" t="n">
        <v>0</v>
      </c>
      <c r="O28" s="244">
        <f>IF(Z28&lt;&gt;"",0.02*Z28*(1-Info!$F$25),"")</f>
        <v/>
      </c>
      <c r="P28" s="243">
        <f>IF(AND(AB28&lt;=70,W28&lt;&gt;""),(1-Info!$I$27)*((W28*0.0008*(1+(LOOKUP(Info!$I$18,Rates!$O:$O,Rates!$M:$M)/100)))+((Y28*0.0008*Info!$L$14))*(1+(LOOKUP(Info!$I$18,Rates!$O:$O,Rates!$N:$N)/100))),"")</f>
        <v/>
      </c>
      <c r="Q28" s="239">
        <f>IF(AB28&lt;=60,(LOOKUP(AB28,Rates!$T:$T,Rates!#REF!))*V28/1000000*(1+Info!$L$20)*(1-Info!$I$29),"")</f>
        <v/>
      </c>
      <c r="R28" s="42">
        <f>IF(AND(Z28&lt;&gt;"",Q28&lt;&gt;"",P28&lt;&gt;""),IF(Info!$C$16="بله",(Z28-Q28-P28),Z28),"")</f>
        <v/>
      </c>
      <c r="S28" s="236" t="n">
        <v>0</v>
      </c>
      <c r="T28" s="236">
        <f>IF(AB28&lt;&gt;"",U28/((1+10/100)^(AC28-1)),"")</f>
        <v/>
      </c>
      <c r="U28" s="236">
        <f>IF(AB28&lt;&gt;"",(Y28*LOOKUP(AB28,Rates!$T:$T,Rates!$S:$S))/SQRT(1.1),"")</f>
        <v/>
      </c>
      <c r="V28" s="245">
        <f>IF(AND(AB28&lt;&gt;"",AB28&lt;=60),IF(V27*(1+Info!$F$10)&lt;300000000,V27*(1+Info!$F$10),300000000),"")</f>
        <v/>
      </c>
      <c r="W28" s="240">
        <f>IF(AND(AB28&lt;&gt;"",AB28&lt;=60),Y28*Info!$L$16,"")</f>
        <v/>
      </c>
      <c r="X28" s="245">
        <f>IF(AND(AB28&lt;&gt;"",AB28&lt;=70),Y28*(1+Info!$L$14),"")</f>
        <v/>
      </c>
      <c r="Y28" s="245">
        <f>IF(AB28&lt;&gt;"",(1+Info!$F$10)*Y27,"")</f>
        <v/>
      </c>
      <c r="Z28" s="42" t="n">
        <v>0</v>
      </c>
      <c r="AA28" s="57">
        <f>IF(AC28&lt;&gt;"",Info!$C$6+AC28-1,"")</f>
        <v/>
      </c>
      <c r="AB28" s="57">
        <f>IF(AC28&lt;&gt;"",Info!$F$6+AC28-1,"")</f>
        <v/>
      </c>
      <c r="AC28" s="57">
        <f>IF(AC27&lt;&gt;"",IF(AC27+1&lt;=Info!$I$6,AC27+1,""),"")</f>
        <v/>
      </c>
      <c r="AD28" s="241" t="n"/>
      <c r="AE28" s="241" t="n"/>
    </row>
    <row r="29">
      <c r="A29" s="51" t="n">
        <v>0</v>
      </c>
      <c r="B29" s="51">
        <f>IF(AB29&lt;&gt;"",E29+E29*(IF(AC29&gt;4,0.1,LOOKUP(Info!$C$10,Rates!$D$2:$D$4,Rates!$C$2:$C$4))+0.85*(Info!$I$22-(IF(AC29&gt;4,0.1,LOOKUP(Info!$C$10,Rates!$D$2:$D$4,Rates!$C$2:$C$4)))))*LOOKUP(Info!$C$8,Rates!$I$2:$I$7,Rates!$G$2:$G$7)+B28*(1+IF(AC29&gt;4,0.1,LOOKUP(Info!$C$10,Rates!$D$2:$D$4,Rates!$C$2:$C$4))+0.85*(Info!$I$22-IF(AC29&gt;4,0.1,LOOKUP(Info!$C$10,Rates!$D$2:$D$4,Rates!$C$2:$C$4)))),"")</f>
        <v/>
      </c>
      <c r="C29" s="242">
        <f>IF(AB29&lt;&gt;"",D29,"")</f>
        <v/>
      </c>
      <c r="D29" s="53">
        <f>IF(AB29&lt;&gt;"",E29*(1+IF(AC29&gt;4,0.1,LOOKUP(Info!$C$10,Rates!$D$2:$D$5,Rates!$B$2:$B$5))*LOOKUP(Info!$C$8,Rates!$I$2:$I$7,Rates!$G$2:$G$7))+D28*(1+IF(AC29&gt;4,0.1,LOOKUP(Info!$C$10,Rates!$D$2:$D$5,Rates!$B$2:$B$5))),"")</f>
        <v/>
      </c>
      <c r="E29" s="236">
        <f>IF(AB29&lt;&gt;"",IF(Info!$C$16="بله",IF(AND(AC29&lt;=Info!$F$20,AC29&gt;=Info!$I$20),Info!$C$20,0)+(Z29-S29-I29-H29-G29-F29-L29),IF(AND(AC29&lt;=Info!$F$20,AC29&gt;=Info!$I$20),Info!$C$20,0)+(Z29-S29-I29-H29-G29-F29)),"")</f>
        <v/>
      </c>
      <c r="F29" s="236">
        <f>IF(AB29&lt;&gt;"",0.03*(H29+I29+S29+L29),"")</f>
        <v/>
      </c>
      <c r="G29" s="236">
        <f>IF(AB29&lt;&gt;"",0.06*(H29+I29+S29+L29),"")</f>
        <v/>
      </c>
      <c r="H29" s="237">
        <f>IF(M29="",0,M29)+IF(N29="",0,N29)+IF(O29="",0,O29)</f>
        <v/>
      </c>
      <c r="I29" s="242" t="n">
        <v>0</v>
      </c>
      <c r="J29" s="242">
        <f>IF(AB29&lt;&gt;"",K29/((1+10/100)^(AC29-1)),"")</f>
        <v/>
      </c>
      <c r="K29" s="236">
        <f>IF(U29&lt;&gt;"",Info!$L$20*U29,"")</f>
        <v/>
      </c>
      <c r="L29" s="243">
        <f>IF(P29="",0,P29)+IF(Q29="",0,Q29)</f>
        <v/>
      </c>
      <c r="M29" s="244">
        <f>IF(Z29&lt;&gt;"",5/100*Z29,"")</f>
        <v/>
      </c>
      <c r="N29" s="244" t="n">
        <v>0</v>
      </c>
      <c r="O29" s="244">
        <f>IF(Z29&lt;&gt;"",0.02*Z29*(1-Info!$F$25),"")</f>
        <v/>
      </c>
      <c r="P29" s="243">
        <f>IF(AND(AB29&lt;=70,W29&lt;&gt;""),(1-Info!$I$27)*((W29*0.0008*(1+(LOOKUP(Info!$I$18,Rates!$O:$O,Rates!$M:$M)/100)))+((Y29*0.0008*Info!$L$14))*(1+(LOOKUP(Info!$I$18,Rates!$O:$O,Rates!$N:$N)/100))),"")</f>
        <v/>
      </c>
      <c r="Q29" s="239">
        <f>IF(AB29&lt;=60,(LOOKUP(AB29,Rates!$T:$T,Rates!#REF!))*V29/1000000*(1+Info!$L$20)*(1-Info!$I$29),"")</f>
        <v/>
      </c>
      <c r="R29" s="42">
        <f>IF(AND(Z29&lt;&gt;"",Q29&lt;&gt;"",P29&lt;&gt;""),IF(Info!$C$16="بله",(Z29-Q29-P29),Z29),"")</f>
        <v/>
      </c>
      <c r="S29" s="236" t="n">
        <v>0</v>
      </c>
      <c r="T29" s="236">
        <f>IF(AB29&lt;&gt;"",U29/((1+10/100)^(AC29-1)),"")</f>
        <v/>
      </c>
      <c r="U29" s="236">
        <f>IF(AB29&lt;&gt;"",(Y29*LOOKUP(AB29,Rates!$T:$T,Rates!$S:$S))/SQRT(1.1),"")</f>
        <v/>
      </c>
      <c r="V29" s="245">
        <f>IF(AND(AB29&lt;&gt;"",AB29&lt;=60),IF(V28*(1+Info!$F$10)&lt;300000000,V28*(1+Info!$F$10),300000000),"")</f>
        <v/>
      </c>
      <c r="W29" s="240">
        <f>IF(AND(AB29&lt;&gt;"",AB29&lt;=60),Y29*Info!$L$16,"")</f>
        <v/>
      </c>
      <c r="X29" s="245">
        <f>IF(AND(AB29&lt;&gt;"",AB29&lt;=70),Y29*(1+Info!$L$14),"")</f>
        <v/>
      </c>
      <c r="Y29" s="245">
        <f>IF(AB29&lt;&gt;"",(1+Info!$F$10)*Y28,"")</f>
        <v/>
      </c>
      <c r="Z29" s="42" t="n">
        <v>0</v>
      </c>
      <c r="AA29" s="57">
        <f>IF(AC29&lt;&gt;"",Info!$C$6+AC29-1,"")</f>
        <v/>
      </c>
      <c r="AB29" s="57">
        <f>IF(AC29&lt;&gt;"",Info!$F$6+AC29-1,"")</f>
        <v/>
      </c>
      <c r="AC29" s="57">
        <f>IF(AC28&lt;&gt;"",IF(AC28+1&lt;=Info!$I$6,AC28+1,""),"")</f>
        <v/>
      </c>
      <c r="AD29" s="241" t="n"/>
      <c r="AE29" s="241" t="n"/>
    </row>
    <row r="30">
      <c r="A30" s="51" t="n">
        <v>0</v>
      </c>
      <c r="B30" s="51">
        <f>IF(AB30&lt;&gt;"",E30+E30*(IF(AC30&gt;4,0.1,LOOKUP(Info!$C$10,Rates!$D$2:$D$4,Rates!$C$2:$C$4))+0.85*(Info!$I$22-(IF(AC30&gt;4,0.1,LOOKUP(Info!$C$10,Rates!$D$2:$D$4,Rates!$C$2:$C$4)))))*LOOKUP(Info!$C$8,Rates!$I$2:$I$7,Rates!$G$2:$G$7)+B29*(1+IF(AC30&gt;4,0.1,LOOKUP(Info!$C$10,Rates!$D$2:$D$4,Rates!$C$2:$C$4))+0.85*(Info!$I$22-IF(AC30&gt;4,0.1,LOOKUP(Info!$C$10,Rates!$D$2:$D$4,Rates!$C$2:$C$4)))),"")</f>
        <v/>
      </c>
      <c r="C30" s="242">
        <f>IF(AB30&lt;&gt;"",D30,"")</f>
        <v/>
      </c>
      <c r="D30" s="53">
        <f>IF(AB30&lt;&gt;"",E30*(1+IF(AC30&gt;4,0.1,LOOKUP(Info!$C$10,Rates!$D$2:$D$5,Rates!$B$2:$B$5))*LOOKUP(Info!$C$8,Rates!$I$2:$I$7,Rates!$G$2:$G$7))+D29*(1+IF(AC30&gt;4,0.1,LOOKUP(Info!$C$10,Rates!$D$2:$D$5,Rates!$B$2:$B$5))),"")</f>
        <v/>
      </c>
      <c r="E30" s="236">
        <f>IF(AB30&lt;&gt;"",IF(Info!$C$16="بله",IF(AND(AC30&lt;=Info!$F$20,AC30&gt;=Info!$I$20),Info!$C$20,0)+(Z30-S30-I30-H30-G30-F30-L30),IF(AND(AC30&lt;=Info!$F$20,AC30&gt;=Info!$I$20),Info!$C$20,0)+(Z30-S30-I30-H30-G30-F30)),"")</f>
        <v/>
      </c>
      <c r="F30" s="236">
        <f>IF(AB30&lt;&gt;"",0.03*(H30+I30+S30+L30),"")</f>
        <v/>
      </c>
      <c r="G30" s="236">
        <f>IF(AB30&lt;&gt;"",0.06*(H30+I30+S30+L30),"")</f>
        <v/>
      </c>
      <c r="H30" s="237">
        <f>IF(M30="",0,M30)+IF(N30="",0,N30)+IF(O30="",0,O30)</f>
        <v/>
      </c>
      <c r="I30" s="242" t="n">
        <v>0</v>
      </c>
      <c r="J30" s="242">
        <f>IF(AB30&lt;&gt;"",K30/((1+10/100)^(AC30-1)),"")</f>
        <v/>
      </c>
      <c r="K30" s="236">
        <f>IF(U30&lt;&gt;"",Info!$L$20*U30,"")</f>
        <v/>
      </c>
      <c r="L30" s="243">
        <f>IF(P30="",0,P30)+IF(Q30="",0,Q30)</f>
        <v/>
      </c>
      <c r="M30" s="244">
        <f>IF(Z30&lt;&gt;"",5/100*Z30,"")</f>
        <v/>
      </c>
      <c r="N30" s="244" t="n">
        <v>0</v>
      </c>
      <c r="O30" s="244">
        <f>IF(Z30&lt;&gt;"",0.02*Z30*(1-Info!$F$25),"")</f>
        <v/>
      </c>
      <c r="P30" s="243">
        <f>IF(AND(AB30&lt;=70,W30&lt;&gt;""),(1-Info!$I$27)*((W30*0.0008*(1+(LOOKUP(Info!$I$18,Rates!$O:$O,Rates!$M:$M)/100)))+((Y30*0.0008*Info!$L$14))*(1+(LOOKUP(Info!$I$18,Rates!$O:$O,Rates!$N:$N)/100))),"")</f>
        <v/>
      </c>
      <c r="Q30" s="239">
        <f>IF(AB30&lt;=60,(LOOKUP(AB30,Rates!$T:$T,Rates!#REF!))*V30/1000000*(1+Info!$L$20)*(1-Info!$I$29),"")</f>
        <v/>
      </c>
      <c r="R30" s="42">
        <f>IF(AND(Z30&lt;&gt;"",Q30&lt;&gt;"",P30&lt;&gt;""),IF(Info!$C$16="بله",(Z30-Q30-P30),Z30),"")</f>
        <v/>
      </c>
      <c r="S30" s="236" t="n">
        <v>0</v>
      </c>
      <c r="T30" s="236">
        <f>IF(AB30&lt;&gt;"",U30/((1+10/100)^(AC30-1)),"")</f>
        <v/>
      </c>
      <c r="U30" s="236">
        <f>IF(AB30&lt;&gt;"",(Y30*LOOKUP(AB30,Rates!$T:$T,Rates!$S:$S))/SQRT(1.1),"")</f>
        <v/>
      </c>
      <c r="V30" s="245">
        <f>IF(AND(AB30&lt;&gt;"",AB30&lt;=60),IF(V29*(1+Info!$F$10)&lt;300000000,V29*(1+Info!$F$10),300000000),"")</f>
        <v/>
      </c>
      <c r="W30" s="240">
        <f>IF(AND(AB30&lt;&gt;"",AB30&lt;=60),Y30*Info!$L$16,"")</f>
        <v/>
      </c>
      <c r="X30" s="245">
        <f>IF(AND(AB30&lt;&gt;"",AB30&lt;=70),Y30*(1+Info!$L$14),"")</f>
        <v/>
      </c>
      <c r="Y30" s="245">
        <f>IF(AB30&lt;&gt;"",(1+Info!$F$10)*Y29,"")</f>
        <v/>
      </c>
      <c r="Z30" s="42" t="n">
        <v>0</v>
      </c>
      <c r="AA30" s="57">
        <f>IF(AC30&lt;&gt;"",Info!$C$6+AC30-1,"")</f>
        <v/>
      </c>
      <c r="AB30" s="57">
        <f>IF(AC30&lt;&gt;"",Info!$F$6+AC30-1,"")</f>
        <v/>
      </c>
      <c r="AC30" s="57">
        <f>IF(AC29&lt;&gt;"",IF(AC29+1&lt;=Info!$I$6,AC29+1,""),"")</f>
        <v/>
      </c>
      <c r="AD30" s="241" t="n"/>
      <c r="AE30" s="241" t="n"/>
    </row>
    <row r="31">
      <c r="A31" s="51" t="n">
        <v>0</v>
      </c>
      <c r="B31" s="51">
        <f>IF(AB31&lt;&gt;"",E31+E31*(IF(AC31&gt;4,0.1,LOOKUP(Info!$C$10,Rates!$D$2:$D$4,Rates!$C$2:$C$4))+0.85*(Info!$I$22-(IF(AC31&gt;4,0.1,LOOKUP(Info!$C$10,Rates!$D$2:$D$4,Rates!$C$2:$C$4)))))*LOOKUP(Info!$C$8,Rates!$I$2:$I$7,Rates!$G$2:$G$7)+B30*(1+IF(AC31&gt;4,0.1,LOOKUP(Info!$C$10,Rates!$D$2:$D$4,Rates!$C$2:$C$4))+0.85*(Info!$I$22-IF(AC31&gt;4,0.1,LOOKUP(Info!$C$10,Rates!$D$2:$D$4,Rates!$C$2:$C$4)))),"")</f>
        <v/>
      </c>
      <c r="C31" s="242">
        <f>IF(AB31&lt;&gt;"",D31,"")</f>
        <v/>
      </c>
      <c r="D31" s="53">
        <f>IF(AB31&lt;&gt;"",E31*(1+IF(AC31&gt;4,0.1,LOOKUP(Info!$C$10,Rates!$D$2:$D$5,Rates!$B$2:$B$5))*LOOKUP(Info!$C$8,Rates!$I$2:$I$7,Rates!$G$2:$G$7))+D30*(1+IF(AC31&gt;4,0.1,LOOKUP(Info!$C$10,Rates!$D$2:$D$5,Rates!$B$2:$B$5))),"")</f>
        <v/>
      </c>
      <c r="E31" s="236">
        <f>IF(AB31&lt;&gt;"",IF(Info!$C$16="بله",IF(AND(AC31&lt;=Info!$F$20,AC31&gt;=Info!$I$20),Info!$C$20,0)+(Z31-S31-I31-H31-G31-F31-L31),IF(AND(AC31&lt;=Info!$F$20,AC31&gt;=Info!$I$20),Info!$C$20,0)+(Z31-S31-I31-H31-G31-F31)),"")</f>
        <v/>
      </c>
      <c r="F31" s="236">
        <f>IF(AB31&lt;&gt;"",0.03*(H31+I31+S31+L31),"")</f>
        <v/>
      </c>
      <c r="G31" s="236">
        <f>IF(AB31&lt;&gt;"",0.06*(H31+I31+S31+L31),"")</f>
        <v/>
      </c>
      <c r="H31" s="237">
        <f>IF(M31="",0,M31)+IF(N31="",0,N31)+IF(O31="",0,O31)</f>
        <v/>
      </c>
      <c r="I31" s="242" t="n">
        <v>0</v>
      </c>
      <c r="J31" s="242">
        <f>IF(AB31&lt;&gt;"",K31/((1+10/100)^(AC31-1)),"")</f>
        <v/>
      </c>
      <c r="K31" s="236">
        <f>IF(U31&lt;&gt;"",Info!$L$20*U31,"")</f>
        <v/>
      </c>
      <c r="L31" s="243">
        <f>IF(P31="",0,P31)+IF(Q31="",0,Q31)</f>
        <v/>
      </c>
      <c r="M31" s="244">
        <f>IF(Z31&lt;&gt;"",5/100*Z31,"")</f>
        <v/>
      </c>
      <c r="N31" s="244" t="n">
        <v>0</v>
      </c>
      <c r="O31" s="244">
        <f>IF(Z31&lt;&gt;"",0.02*Z31*(1-Info!$F$25),"")</f>
        <v/>
      </c>
      <c r="P31" s="243">
        <f>IF(AND(AB31&lt;=70,W31&lt;&gt;""),(1-Info!$I$27)*((W31*0.0008*(1+(LOOKUP(Info!$I$18,Rates!$O:$O,Rates!$M:$M)/100)))+((Y31*0.0008*Info!$L$14))*(1+(LOOKUP(Info!$I$18,Rates!$O:$O,Rates!$N:$N)/100))),"")</f>
        <v/>
      </c>
      <c r="Q31" s="239">
        <f>IF(AB31&lt;=60,(LOOKUP(AB31,Rates!$T:$T,Rates!#REF!))*V31/1000000*(1+Info!$L$20)*(1-Info!$I$29),"")</f>
        <v/>
      </c>
      <c r="R31" s="42">
        <f>IF(AND(Z31&lt;&gt;"",Q31&lt;&gt;"",P31&lt;&gt;""),IF(Info!$C$16="بله",(Z31-Q31-P31),Z31),"")</f>
        <v/>
      </c>
      <c r="S31" s="236" t="n">
        <v>0</v>
      </c>
      <c r="T31" s="236">
        <f>IF(AB31&lt;&gt;"",U31/((1+10/100)^(AC31-1)),"")</f>
        <v/>
      </c>
      <c r="U31" s="236">
        <f>IF(AB31&lt;&gt;"",(Y31*LOOKUP(AB31,Rates!$T:$T,Rates!$S:$S))/SQRT(1.1),"")</f>
        <v/>
      </c>
      <c r="V31" s="245">
        <f>IF(AND(AB31&lt;&gt;"",AB31&lt;=60),IF(V30*(1+Info!$F$10)&lt;300000000,V30*(1+Info!$F$10),300000000),"")</f>
        <v/>
      </c>
      <c r="W31" s="240">
        <f>IF(AND(AB31&lt;&gt;"",AB31&lt;=60),Y31*Info!$L$16,"")</f>
        <v/>
      </c>
      <c r="X31" s="245">
        <f>IF(AND(AB31&lt;&gt;"",AB31&lt;=70),Y31*(1+Info!$L$14),"")</f>
        <v/>
      </c>
      <c r="Y31" s="245">
        <f>IF(AB31&lt;&gt;"",(1+Info!$F$10)*Y30,"")</f>
        <v/>
      </c>
      <c r="Z31" s="42" t="n">
        <v>0</v>
      </c>
      <c r="AA31" s="57">
        <f>IF(AC31&lt;&gt;"",Info!$C$6+AC31-1,"")</f>
        <v/>
      </c>
      <c r="AB31" s="57">
        <f>IF(AC31&lt;&gt;"",Info!$F$6+AC31-1,"")</f>
        <v/>
      </c>
      <c r="AC31" s="57">
        <f>IF(AC30&lt;&gt;"",IF(AC30+1&lt;=Info!$I$6,AC30+1,""),"")</f>
        <v/>
      </c>
      <c r="AD31" s="241" t="n"/>
      <c r="AE31" s="241" t="n"/>
    </row>
    <row r="32">
      <c r="A32" s="51" t="n">
        <v>0</v>
      </c>
      <c r="B32" s="51">
        <f>IF(AB32&lt;&gt;"",E32+E32*(IF(AC32&gt;4,0.1,LOOKUP(Info!$C$10,Rates!$D$2:$D$4,Rates!$C$2:$C$4))+0.85*(Info!$I$22-(IF(AC32&gt;4,0.1,LOOKUP(Info!$C$10,Rates!$D$2:$D$4,Rates!$C$2:$C$4)))))*LOOKUP(Info!$C$8,Rates!$I$2:$I$7,Rates!$G$2:$G$7)+B31*(1+IF(AC32&gt;4,0.1,LOOKUP(Info!$C$10,Rates!$D$2:$D$4,Rates!$C$2:$C$4))+0.85*(Info!$I$22-IF(AC32&gt;4,0.1,LOOKUP(Info!$C$10,Rates!$D$2:$D$4,Rates!$C$2:$C$4)))),"")</f>
        <v/>
      </c>
      <c r="C32" s="242">
        <f>IF(AB32&lt;&gt;"",D32,"")</f>
        <v/>
      </c>
      <c r="D32" s="53">
        <f>IF(AB32&lt;&gt;"",E32*(1+IF(AC32&gt;4,0.1,LOOKUP(Info!$C$10,Rates!$D$2:$D$5,Rates!$B$2:$B$5))*LOOKUP(Info!$C$8,Rates!$I$2:$I$7,Rates!$G$2:$G$7))+D31*(1+IF(AC32&gt;4,0.1,LOOKUP(Info!$C$10,Rates!$D$2:$D$5,Rates!$B$2:$B$5))),"")</f>
        <v/>
      </c>
      <c r="E32" s="236">
        <f>IF(AB32&lt;&gt;"",IF(Info!$C$16="بله",IF(AND(AC32&lt;=Info!$F$20,AC32&gt;=Info!$I$20),Info!$C$20,0)+(Z32-S32-I32-H32-G32-F32-L32),IF(AND(AC32&lt;=Info!$F$20,AC32&gt;=Info!$I$20),Info!$C$20,0)+(Z32-S32-I32-H32-G32-F32)),"")</f>
        <v/>
      </c>
      <c r="F32" s="236">
        <f>IF(AB32&lt;&gt;"",0.03*(H32+I32+S32+L32),"")</f>
        <v/>
      </c>
      <c r="G32" s="236">
        <f>IF(AB32&lt;&gt;"",0.06*(H32+I32+S32+L32),"")</f>
        <v/>
      </c>
      <c r="H32" s="237">
        <f>IF(M32="",0,M32)+IF(N32="",0,N32)+IF(O32="",0,O32)</f>
        <v/>
      </c>
      <c r="I32" s="242" t="n">
        <v>0</v>
      </c>
      <c r="J32" s="242">
        <f>IF(AB32&lt;&gt;"",K32/((1+10/100)^(AC32-1)),"")</f>
        <v/>
      </c>
      <c r="K32" s="236">
        <f>IF(U32&lt;&gt;"",Info!$L$20*U32,"")</f>
        <v/>
      </c>
      <c r="L32" s="243">
        <f>IF(P32="",0,P32)+IF(Q32="",0,Q32)</f>
        <v/>
      </c>
      <c r="M32" s="244">
        <f>IF(Z32&lt;&gt;"",5/100*Z32,"")</f>
        <v/>
      </c>
      <c r="N32" s="244" t="n">
        <v>0</v>
      </c>
      <c r="O32" s="244">
        <f>IF(Z32&lt;&gt;"",0.02*Z32*(1-Info!$F$25),"")</f>
        <v/>
      </c>
      <c r="P32" s="243">
        <f>IF(AND(AB32&lt;=70,W32&lt;&gt;""),(1-Info!$I$27)*((W32*0.0008*(1+(LOOKUP(Info!$I$18,Rates!$O:$O,Rates!$M:$M)/100)))+((Y32*0.0008*Info!$L$14))*(1+(LOOKUP(Info!$I$18,Rates!$O:$O,Rates!$N:$N)/100))),"")</f>
        <v/>
      </c>
      <c r="Q32" s="239">
        <f>IF(AB32&lt;=60,(LOOKUP(AB32,Rates!$T:$T,Rates!#REF!))*V32/1000000*(1+Info!$L$20)*(1-Info!$I$29),"")</f>
        <v/>
      </c>
      <c r="R32" s="42">
        <f>IF(AND(Z32&lt;&gt;"",Q32&lt;&gt;"",P32&lt;&gt;""),IF(Info!$C$16="بله",(Z32-Q32-P32),Z32),"")</f>
        <v/>
      </c>
      <c r="S32" s="236" t="n">
        <v>0</v>
      </c>
      <c r="T32" s="236">
        <f>IF(AB32&lt;&gt;"",U32/((1+10/100)^(AC32-1)),"")</f>
        <v/>
      </c>
      <c r="U32" s="236">
        <f>IF(AB32&lt;&gt;"",(Y32*LOOKUP(AB32,Rates!$T:$T,Rates!$S:$S))/SQRT(1.1),"")</f>
        <v/>
      </c>
      <c r="V32" s="245">
        <f>IF(AND(AB32&lt;&gt;"",AB32&lt;=60),IF(V31*(1+Info!$F$10)&lt;300000000,V31*(1+Info!$F$10),300000000),"")</f>
        <v/>
      </c>
      <c r="W32" s="240">
        <f>IF(AND(AB32&lt;&gt;"",AB32&lt;=60),Y32*Info!$L$16,"")</f>
        <v/>
      </c>
      <c r="X32" s="245">
        <f>IF(AND(AB32&lt;&gt;"",AB32&lt;=70),Y32*(1+Info!$L$14),"")</f>
        <v/>
      </c>
      <c r="Y32" s="245">
        <f>IF(AB32&lt;&gt;"",(1+Info!$F$10)*Y31,"")</f>
        <v/>
      </c>
      <c r="Z32" s="42" t="n">
        <v>0</v>
      </c>
      <c r="AA32" s="57">
        <f>IF(AC32&lt;&gt;"",Info!$C$6+AC32-1,"")</f>
        <v/>
      </c>
      <c r="AB32" s="57">
        <f>IF(AC32&lt;&gt;"",Info!$F$6+AC32-1,"")</f>
        <v/>
      </c>
      <c r="AC32" s="57">
        <f>IF(AC31&lt;&gt;"",IF(AC31+1&lt;=Info!$I$6,AC31+1,""),"")</f>
        <v/>
      </c>
      <c r="AD32" s="241" t="n"/>
      <c r="AE32" s="241" t="n"/>
    </row>
    <row r="33">
      <c r="A33" s="51" t="n">
        <v>0</v>
      </c>
      <c r="B33" s="51">
        <f>IF(AB33&lt;&gt;"",E33+E33*(IF(AC33&gt;4,0.1,LOOKUP(Info!$C$10,Rates!$D$2:$D$4,Rates!$C$2:$C$4))+0.85*(Info!$I$22-(IF(AC33&gt;4,0.1,LOOKUP(Info!$C$10,Rates!$D$2:$D$4,Rates!$C$2:$C$4)))))*LOOKUP(Info!$C$8,Rates!$I$2:$I$7,Rates!$G$2:$G$7)+B32*(1+IF(AC33&gt;4,0.1,LOOKUP(Info!$C$10,Rates!$D$2:$D$4,Rates!$C$2:$C$4))+0.85*(Info!$I$22-IF(AC33&gt;4,0.1,LOOKUP(Info!$C$10,Rates!$D$2:$D$4,Rates!$C$2:$C$4)))),"")</f>
        <v/>
      </c>
      <c r="C33" s="242">
        <f>IF(AB33&lt;&gt;"",D33,"")</f>
        <v/>
      </c>
      <c r="D33" s="53">
        <f>IF(AB33&lt;&gt;"",E33*(1+IF(AC33&gt;4,0.1,LOOKUP(Info!$C$10,Rates!$D$2:$D$5,Rates!$B$2:$B$5))*LOOKUP(Info!$C$8,Rates!$I$2:$I$7,Rates!$G$2:$G$7))+D32*(1+IF(AC33&gt;4,0.1,LOOKUP(Info!$C$10,Rates!$D$2:$D$5,Rates!$B$2:$B$5))),"")</f>
        <v/>
      </c>
      <c r="E33" s="236">
        <f>IF(AB33&lt;&gt;"",IF(Info!$C$16="بله",IF(AND(AC33&lt;=Info!$F$20,AC33&gt;=Info!$I$20),Info!$C$20,0)+(Z33-S33-I33-H33-G33-F33-L33),IF(AND(AC33&lt;=Info!$F$20,AC33&gt;=Info!$I$20),Info!$C$20,0)+(Z33-S33-I33-H33-G33-F33)),"")</f>
        <v/>
      </c>
      <c r="F33" s="236">
        <f>IF(AB33&lt;&gt;"",0.03*(H33+I33+S33+L33),"")</f>
        <v/>
      </c>
      <c r="G33" s="236">
        <f>IF(AB33&lt;&gt;"",0.06*(H33+I33+S33+L33),"")</f>
        <v/>
      </c>
      <c r="H33" s="237">
        <f>IF(M33="",0,M33)+IF(N33="",0,N33)+IF(O33="",0,O33)</f>
        <v/>
      </c>
      <c r="I33" s="242" t="n">
        <v>0</v>
      </c>
      <c r="J33" s="242">
        <f>IF(AB33&lt;&gt;"",K33/((1+10/100)^(AC33-1)),"")</f>
        <v/>
      </c>
      <c r="K33" s="236">
        <f>IF(U33&lt;&gt;"",Info!$L$20*U33,"")</f>
        <v/>
      </c>
      <c r="L33" s="243">
        <f>IF(P33="",0,P33)+IF(Q33="",0,Q33)</f>
        <v/>
      </c>
      <c r="M33" s="244">
        <f>IF(Z33&lt;&gt;"",5/100*Z33,"")</f>
        <v/>
      </c>
      <c r="N33" s="244" t="n">
        <v>0</v>
      </c>
      <c r="O33" s="244">
        <f>IF(Z33&lt;&gt;"",0.02*Z33*(1-Info!$F$25),"")</f>
        <v/>
      </c>
      <c r="P33" s="243">
        <f>IF(AND(AB33&lt;=70,W33&lt;&gt;""),(1-Info!$I$27)*((W33*0.0008*(1+(LOOKUP(Info!$I$18,Rates!$O:$O,Rates!$M:$M)/100)))+((Y33*0.0008*Info!$L$14))*(1+(LOOKUP(Info!$I$18,Rates!$O:$O,Rates!$N:$N)/100))),"")</f>
        <v/>
      </c>
      <c r="Q33" s="239">
        <f>IF(AB33&lt;=60,(LOOKUP(AB33,Rates!$T:$T,Rates!#REF!))*V33/1000000*(1+Info!$L$20)*(1-Info!$I$29),"")</f>
        <v/>
      </c>
      <c r="R33" s="42">
        <f>IF(AND(Z33&lt;&gt;"",Q33&lt;&gt;"",P33&lt;&gt;""),IF(Info!$C$16="بله",(Z33-Q33-P33),Z33),"")</f>
        <v/>
      </c>
      <c r="S33" s="236" t="n">
        <v>0</v>
      </c>
      <c r="T33" s="236">
        <f>IF(AB33&lt;&gt;"",U33/((1+10/100)^(AC33-1)),"")</f>
        <v/>
      </c>
      <c r="U33" s="236">
        <f>IF(AB33&lt;&gt;"",(Y33*LOOKUP(AB33,Rates!$T:$T,Rates!$S:$S))/SQRT(1.1),"")</f>
        <v/>
      </c>
      <c r="V33" s="245">
        <f>IF(AND(AB33&lt;&gt;"",AB33&lt;=60),IF(V32*(1+Info!$F$10)&lt;300000000,V32*(1+Info!$F$10),300000000),"")</f>
        <v/>
      </c>
      <c r="W33" s="240">
        <f>IF(AND(AB33&lt;&gt;"",AB33&lt;=60),Y33*Info!$L$16,"")</f>
        <v/>
      </c>
      <c r="X33" s="245">
        <f>IF(AND(AB33&lt;&gt;"",AB33&lt;=70),Y33*(1+Info!$L$14),"")</f>
        <v/>
      </c>
      <c r="Y33" s="245">
        <f>IF(AB33&lt;&gt;"",(1+Info!$F$10)*Y32,"")</f>
        <v/>
      </c>
      <c r="Z33" s="42" t="n">
        <v>0</v>
      </c>
      <c r="AA33" s="57">
        <f>IF(AC33&lt;&gt;"",Info!$C$6+AC33-1,"")</f>
        <v/>
      </c>
      <c r="AB33" s="57">
        <f>IF(AC33&lt;&gt;"",Info!$F$6+AC33-1,"")</f>
        <v/>
      </c>
      <c r="AC33" s="57">
        <f>IF(AC32&lt;&gt;"",IF(AC32+1&lt;=Info!$I$6,AC32+1,""),"")</f>
        <v/>
      </c>
      <c r="AD33" s="241" t="n"/>
      <c r="AE33" s="241" t="n"/>
    </row>
    <row r="34">
      <c r="A34" s="51" t="n">
        <v>0</v>
      </c>
      <c r="B34" s="51">
        <f>IF(AB34&lt;&gt;"",E34+E34*(IF(AC34&gt;4,0.1,LOOKUP(Info!$C$10,Rates!$D$2:$D$4,Rates!$C$2:$C$4))+0.85*(Info!$I$22-(IF(AC34&gt;4,0.1,LOOKUP(Info!$C$10,Rates!$D$2:$D$4,Rates!$C$2:$C$4)))))*LOOKUP(Info!$C$8,Rates!$I$2:$I$7,Rates!$G$2:$G$7)+B33*(1+IF(AC34&gt;4,0.1,LOOKUP(Info!$C$10,Rates!$D$2:$D$4,Rates!$C$2:$C$4))+0.85*(Info!$I$22-IF(AC34&gt;4,0.1,LOOKUP(Info!$C$10,Rates!$D$2:$D$4,Rates!$C$2:$C$4)))),"")</f>
        <v/>
      </c>
      <c r="C34" s="242">
        <f>IF(AB34&lt;&gt;"",D34,"")</f>
        <v/>
      </c>
      <c r="D34" s="53">
        <f>IF(AB34&lt;&gt;"",E34*(1+IF(AC34&gt;4,0.1,LOOKUP(Info!$C$10,Rates!$D$2:$D$5,Rates!$B$2:$B$5))*LOOKUP(Info!$C$8,Rates!$I$2:$I$7,Rates!$G$2:$G$7))+D33*(1+IF(AC34&gt;4,0.1,LOOKUP(Info!$C$10,Rates!$D$2:$D$5,Rates!$B$2:$B$5))),"")</f>
        <v/>
      </c>
      <c r="E34" s="236">
        <f>IF(AB34&lt;&gt;"",IF(Info!$C$16="بله",IF(AND(AC34&lt;=Info!$F$20,AC34&gt;=Info!$I$20),Info!$C$20,0)+(Z34-S34-I34-H34-G34-F34-L34),IF(AND(AC34&lt;=Info!$F$20,AC34&gt;=Info!$I$20),Info!$C$20,0)+(Z34-S34-I34-H34-G34-F34)),"")</f>
        <v/>
      </c>
      <c r="F34" s="236">
        <f>IF(AB34&lt;&gt;"",0.03*(H34+I34+S34+L34),"")</f>
        <v/>
      </c>
      <c r="G34" s="236">
        <f>IF(AB34&lt;&gt;"",0.06*(H34+I34+S34+L34),"")</f>
        <v/>
      </c>
      <c r="H34" s="237">
        <f>IF(M34="",0,M34)+IF(N34="",0,N34)+IF(O34="",0,O34)</f>
        <v/>
      </c>
      <c r="I34" s="242" t="n">
        <v>0</v>
      </c>
      <c r="J34" s="242">
        <f>IF(AB34&lt;&gt;"",K34/((1+10/100)^(AC34-1)),"")</f>
        <v/>
      </c>
      <c r="K34" s="236">
        <f>IF(U34&lt;&gt;"",Info!$L$20*U34,"")</f>
        <v/>
      </c>
      <c r="L34" s="243">
        <f>IF(P34="",0,P34)+IF(Q34="",0,Q34)</f>
        <v/>
      </c>
      <c r="M34" s="244">
        <f>IF(Z34&lt;&gt;"",5/100*Z34,"")</f>
        <v/>
      </c>
      <c r="N34" s="244" t="n">
        <v>0</v>
      </c>
      <c r="O34" s="244">
        <f>IF(Z34&lt;&gt;"",0.02*Z34*(1-Info!$F$25),"")</f>
        <v/>
      </c>
      <c r="P34" s="243">
        <f>IF(AND(AB34&lt;=70,W34&lt;&gt;""),(1-Info!$I$27)*((W34*0.0008*(1+(LOOKUP(Info!$I$18,Rates!$O:$O,Rates!$M:$M)/100)))+((Y34*0.0008*Info!$L$14))*(1+(LOOKUP(Info!$I$18,Rates!$O:$O,Rates!$N:$N)/100))),"")</f>
        <v/>
      </c>
      <c r="Q34" s="239">
        <f>IF(AB34&lt;=60,(LOOKUP(AB34,Rates!$T:$T,Rates!#REF!))*V34/1000000*(1+Info!$L$20)*(1-Info!$I$29),"")</f>
        <v/>
      </c>
      <c r="R34" s="42">
        <f>IF(AND(Z34&lt;&gt;"",Q34&lt;&gt;"",P34&lt;&gt;""),IF(Info!$C$16="بله",(Z34-Q34-P34),Z34),"")</f>
        <v/>
      </c>
      <c r="S34" s="236" t="n">
        <v>0</v>
      </c>
      <c r="T34" s="236">
        <f>IF(AB34&lt;&gt;"",U34/((1+10/100)^(AC34-1)),"")</f>
        <v/>
      </c>
      <c r="U34" s="236">
        <f>IF(AB34&lt;&gt;"",(Y34*LOOKUP(AB34,Rates!$T:$T,Rates!$S:$S))/SQRT(1.1),"")</f>
        <v/>
      </c>
      <c r="V34" s="245">
        <f>IF(AND(AB34&lt;&gt;"",AB34&lt;=60),IF(V33*(1+Info!$F$10)&lt;300000000,V33*(1+Info!$F$10),300000000),"")</f>
        <v/>
      </c>
      <c r="W34" s="240">
        <f>IF(AND(AB34&lt;&gt;"",AB34&lt;=60),Y34*Info!$L$16,"")</f>
        <v/>
      </c>
      <c r="X34" s="245">
        <f>IF(AND(AB34&lt;&gt;"",AB34&lt;=70),Y34*(1+Info!$L$14),"")</f>
        <v/>
      </c>
      <c r="Y34" s="245">
        <f>IF(AB34&lt;&gt;"",(1+Info!$F$10)*Y33,"")</f>
        <v/>
      </c>
      <c r="Z34" s="42" t="n">
        <v>0</v>
      </c>
      <c r="AA34" s="57">
        <f>IF(AC34&lt;&gt;"",Info!$C$6+AC34-1,"")</f>
        <v/>
      </c>
      <c r="AB34" s="57">
        <f>IF(AC34&lt;&gt;"",Info!$F$6+AC34-1,"")</f>
        <v/>
      </c>
      <c r="AC34" s="57">
        <f>IF(AC33&lt;&gt;"",IF(AC33+1&lt;=Info!$I$6,AC33+1,""),"")</f>
        <v/>
      </c>
      <c r="AD34" s="241" t="n"/>
      <c r="AE34" s="241" t="n"/>
    </row>
    <row r="35">
      <c r="A35" s="51" t="n">
        <v>0</v>
      </c>
      <c r="B35" s="51">
        <f>IF(AB35&lt;&gt;"",E35+E35*(IF(AC35&gt;4,0.1,LOOKUP(Info!$C$10,Rates!$D$2:$D$4,Rates!$C$2:$C$4))+0.85*(Info!$I$22-(IF(AC35&gt;4,0.1,LOOKUP(Info!$C$10,Rates!$D$2:$D$4,Rates!$C$2:$C$4)))))*LOOKUP(Info!$C$8,Rates!$I$2:$I$7,Rates!$G$2:$G$7)+B34*(1+IF(AC35&gt;4,0.1,LOOKUP(Info!$C$10,Rates!$D$2:$D$4,Rates!$C$2:$C$4))+0.85*(Info!$I$22-IF(AC35&gt;4,0.1,LOOKUP(Info!$C$10,Rates!$D$2:$D$4,Rates!$C$2:$C$4)))),"")</f>
        <v/>
      </c>
      <c r="C35" s="242">
        <f>IF(AB35&lt;&gt;"",D35,"")</f>
        <v/>
      </c>
      <c r="D35" s="53">
        <f>IF(AB35&lt;&gt;"",E35*(1+IF(AC35&gt;4,0.1,LOOKUP(Info!$C$10,Rates!$D$2:$D$5,Rates!$B$2:$B$5))*LOOKUP(Info!$C$8,Rates!$I$2:$I$7,Rates!$G$2:$G$7))+D34*(1+IF(AC35&gt;4,0.1,LOOKUP(Info!$C$10,Rates!$D$2:$D$5,Rates!$B$2:$B$5))),"")</f>
        <v/>
      </c>
      <c r="E35" s="236">
        <f>IF(AB35&lt;&gt;"",IF(Info!$C$16="بله",IF(AND(AC35&lt;=Info!$F$20,AC35&gt;=Info!$I$20),Info!$C$20,0)+(Z35-S35-I35-H35-G35-F35-L35),IF(AND(AC35&lt;=Info!$F$20,AC35&gt;=Info!$I$20),Info!$C$20,0)+(Z35-S35-I35-H35-G35-F35)),"")</f>
        <v/>
      </c>
      <c r="F35" s="236">
        <f>IF(AB35&lt;&gt;"",0.03*(H35+I35+S35+L35),"")</f>
        <v/>
      </c>
      <c r="G35" s="236">
        <f>IF(AB35&lt;&gt;"",0.06*(H35+I35+S35+L35),"")</f>
        <v/>
      </c>
      <c r="H35" s="237">
        <f>IF(M35="",0,M35)+IF(N35="",0,N35)+IF(O35="",0,O35)</f>
        <v/>
      </c>
      <c r="I35" s="242" t="n">
        <v>0</v>
      </c>
      <c r="J35" s="242">
        <f>IF(AB35&lt;&gt;"",K35/((1+10/100)^(AC35-1)),"")</f>
        <v/>
      </c>
      <c r="K35" s="236">
        <f>IF(U35&lt;&gt;"",Info!$L$20*U35,"")</f>
        <v/>
      </c>
      <c r="L35" s="243">
        <f>IF(P35="",0,P35)+IF(Q35="",0,Q35)</f>
        <v/>
      </c>
      <c r="M35" s="244">
        <f>IF(Z35&lt;&gt;"",5/100*Z35,"")</f>
        <v/>
      </c>
      <c r="N35" s="244" t="n">
        <v>0</v>
      </c>
      <c r="O35" s="244">
        <f>IF(Z35&lt;&gt;"",0.02*Z35*(1-Info!$F$25),"")</f>
        <v/>
      </c>
      <c r="P35" s="243">
        <f>IF(AND(AB35&lt;=70,W35&lt;&gt;""),(1-Info!$I$27)*((W35*0.0008*(1+(LOOKUP(Info!$I$18,Rates!$O:$O,Rates!$M:$M)/100)))+((Y35*0.0008*Info!$L$14))*(1+(LOOKUP(Info!$I$18,Rates!$O:$O,Rates!$N:$N)/100))),"")</f>
        <v/>
      </c>
      <c r="Q35" s="239">
        <f>IF(AB35&lt;=60,(LOOKUP(AB35,Rates!$T:$T,Rates!#REF!))*V35/1000000*(1+Info!$L$20)*(1-Info!$I$29),"")</f>
        <v/>
      </c>
      <c r="R35" s="42">
        <f>IF(AND(Z35&lt;&gt;"",Q35&lt;&gt;"",P35&lt;&gt;""),IF(Info!$C$16="بله",(Z35-Q35-P35),Z35),"")</f>
        <v/>
      </c>
      <c r="S35" s="236" t="n">
        <v>0</v>
      </c>
      <c r="T35" s="236">
        <f>IF(AB35&lt;&gt;"",U35/((1+10/100)^(AC35-1)),"")</f>
        <v/>
      </c>
      <c r="U35" s="236">
        <f>IF(AB35&lt;&gt;"",(Y35*LOOKUP(AB35,Rates!$T:$T,Rates!$S:$S))/SQRT(1.1),"")</f>
        <v/>
      </c>
      <c r="V35" s="245">
        <f>IF(AND(AB35&lt;&gt;"",AB35&lt;=60),IF(V34*(1+Info!$F$10)&lt;300000000,V34*(1+Info!$F$10),300000000),"")</f>
        <v/>
      </c>
      <c r="W35" s="240">
        <f>IF(AND(AB35&lt;&gt;"",AB35&lt;=60),Y35*Info!$L$16,"")</f>
        <v/>
      </c>
      <c r="X35" s="245">
        <f>IF(AND(AB35&lt;&gt;"",AB35&lt;=70),Y35*(1+Info!$L$14),"")</f>
        <v/>
      </c>
      <c r="Y35" s="245">
        <f>IF(AB35&lt;&gt;"",(1+Info!$F$10)*Y34,"")</f>
        <v/>
      </c>
      <c r="Z35" s="42" t="n">
        <v>0</v>
      </c>
      <c r="AA35" s="57">
        <f>IF(AC35&lt;&gt;"",Info!$C$6+AC35-1,"")</f>
        <v/>
      </c>
      <c r="AB35" s="57">
        <f>IF(AC35&lt;&gt;"",Info!$F$6+AC35-1,"")</f>
        <v/>
      </c>
      <c r="AC35" s="57">
        <f>IF(AC34&lt;&gt;"",IF(AC34+1&lt;=Info!$I$6,AC34+1,""),"")</f>
        <v/>
      </c>
      <c r="AD35" s="241" t="n"/>
      <c r="AE35" s="241" t="n"/>
    </row>
    <row r="36">
      <c r="A36" s="51" t="n">
        <v>0</v>
      </c>
      <c r="B36" s="51">
        <f>IF(AB36&lt;&gt;"",E36+E36*(IF(AC36&gt;4,0.1,LOOKUP(Info!$C$10,Rates!$D$2:$D$4,Rates!$C$2:$C$4))+0.85*(Info!$I$22-(IF(AC36&gt;4,0.1,LOOKUP(Info!$C$10,Rates!$D$2:$D$4,Rates!$C$2:$C$4)))))*LOOKUP(Info!$C$8,Rates!$I$2:$I$7,Rates!$G$2:$G$7)+B35*(1+IF(AC36&gt;4,0.1,LOOKUP(Info!$C$10,Rates!$D$2:$D$4,Rates!$C$2:$C$4))+0.85*(Info!$I$22-IF(AC36&gt;4,0.1,LOOKUP(Info!$C$10,Rates!$D$2:$D$4,Rates!$C$2:$C$4)))),"")</f>
        <v/>
      </c>
      <c r="C36" s="242">
        <f>IF(AB36&lt;&gt;"",D36,"")</f>
        <v/>
      </c>
      <c r="D36" s="53">
        <f>IF(AB36&lt;&gt;"",E36*(1+IF(AC36&gt;4,0.1,LOOKUP(Info!$C$10,Rates!$D$2:$D$5,Rates!$B$2:$B$5))*LOOKUP(Info!$C$8,Rates!$I$2:$I$7,Rates!$G$2:$G$7))+D35*(1+IF(AC36&gt;4,0.1,LOOKUP(Info!$C$10,Rates!$D$2:$D$5,Rates!$B$2:$B$5))),"")</f>
        <v/>
      </c>
      <c r="E36" s="236">
        <f>IF(AB36&lt;&gt;"",IF(Info!$C$16="بله",IF(AND(AC36&lt;=Info!$F$20,AC36&gt;=Info!$I$20),Info!$C$20,0)+(Z36-S36-I36-H36-G36-F36-L36),IF(AND(AC36&lt;=Info!$F$20,AC36&gt;=Info!$I$20),Info!$C$20,0)+(Z36-S36-I36-H36-G36-F36)),"")</f>
        <v/>
      </c>
      <c r="F36" s="236">
        <f>IF(AB36&lt;&gt;"",0.03*(H36+I36+S36+L36),"")</f>
        <v/>
      </c>
      <c r="G36" s="236">
        <f>IF(AB36&lt;&gt;"",0.06*(H36+I36+S36+L36),"")</f>
        <v/>
      </c>
      <c r="H36" s="237">
        <f>IF(M36="",0,M36)+IF(N36="",0,N36)+IF(O36="",0,O36)</f>
        <v/>
      </c>
      <c r="I36" s="242" t="n">
        <v>0</v>
      </c>
      <c r="J36" s="242">
        <f>IF(AB36&lt;&gt;"",K36/((1+10/100)^(AC36-1)),"")</f>
        <v/>
      </c>
      <c r="K36" s="236">
        <f>IF(U36&lt;&gt;"",Info!$L$20*U36,"")</f>
        <v/>
      </c>
      <c r="L36" s="243">
        <f>IF(P36="",0,P36)+IF(Q36="",0,Q36)</f>
        <v/>
      </c>
      <c r="M36" s="244">
        <f>IF(Z36&lt;&gt;"",5/100*Z36,"")</f>
        <v/>
      </c>
      <c r="N36" s="244" t="n">
        <v>0</v>
      </c>
      <c r="O36" s="244">
        <f>IF(Z36&lt;&gt;"",0.02*Z36*(1-Info!$F$25),"")</f>
        <v/>
      </c>
      <c r="P36" s="243">
        <f>IF(AND(AB36&lt;=70,W36&lt;&gt;""),(1-Info!$I$27)*((W36*0.0008*(1+(LOOKUP(Info!$I$18,Rates!$O:$O,Rates!$M:$M)/100)))+((Y36*0.0008*Info!$L$14))*(1+(LOOKUP(Info!$I$18,Rates!$O:$O,Rates!$N:$N)/100))),"")</f>
        <v/>
      </c>
      <c r="Q36" s="239">
        <f>IF(AB36&lt;=60,(LOOKUP(AB36,Rates!$T:$T,Rates!#REF!))*V36/1000000*(1+Info!$L$20)*(1-Info!$I$29),"")</f>
        <v/>
      </c>
      <c r="R36" s="42">
        <f>IF(AND(Z36&lt;&gt;"",Q36&lt;&gt;"",P36&lt;&gt;""),IF(Info!$C$16="بله",(Z36-Q36-P36),Z36),"")</f>
        <v/>
      </c>
      <c r="S36" s="236" t="n">
        <v>0</v>
      </c>
      <c r="T36" s="236">
        <f>IF(AB36&lt;&gt;"",U36/((1+10/100)^(AC36-1)),"")</f>
        <v/>
      </c>
      <c r="U36" s="236">
        <f>IF(AB36&lt;&gt;"",(Y36*LOOKUP(AB36,Rates!$T:$T,Rates!$S:$S))/SQRT(1.1),"")</f>
        <v/>
      </c>
      <c r="V36" s="245">
        <f>IF(AND(AB36&lt;&gt;"",AB36&lt;=60),IF(V35*(1+Info!$F$10)&lt;300000000,V35*(1+Info!$F$10),300000000),"")</f>
        <v/>
      </c>
      <c r="W36" s="240">
        <f>IF(AND(AB36&lt;&gt;"",AB36&lt;=60),Y36*Info!$L$16,"")</f>
        <v/>
      </c>
      <c r="X36" s="245">
        <f>IF(AND(AB36&lt;&gt;"",AB36&lt;=70),Y36*(1+Info!$L$14),"")</f>
        <v/>
      </c>
      <c r="Y36" s="245">
        <f>IF(AB36&lt;&gt;"",(1+Info!$F$10)*Y35,"")</f>
        <v/>
      </c>
      <c r="Z36" s="42" t="n">
        <v>0</v>
      </c>
      <c r="AA36" s="57">
        <f>IF(AC36&lt;&gt;"",Info!$C$6+AC36-1,"")</f>
        <v/>
      </c>
      <c r="AB36" s="57">
        <f>IF(AC36&lt;&gt;"",Info!$F$6+AC36-1,"")</f>
        <v/>
      </c>
      <c r="AC36" s="57">
        <f>IF(AC35&lt;&gt;"",IF(AC35+1&lt;=Info!$I$6,AC35+1,""),"")</f>
        <v/>
      </c>
      <c r="AD36" s="241" t="n"/>
      <c r="AE36" s="241" t="n"/>
    </row>
    <row r="37">
      <c r="A37" s="51" t="n">
        <v>0</v>
      </c>
      <c r="B37" s="51">
        <f>IF(AB37&lt;&gt;"",E37+E37*(IF(AC37&gt;4,0.1,LOOKUP(Info!$C$10,Rates!$D$2:$D$4,Rates!$C$2:$C$4))+0.85*(Info!$I$22-(IF(AC37&gt;4,0.1,LOOKUP(Info!$C$10,Rates!$D$2:$D$4,Rates!$C$2:$C$4)))))*LOOKUP(Info!$C$8,Rates!$I$2:$I$7,Rates!$G$2:$G$7)+B36*(1+IF(AC37&gt;4,0.1,LOOKUP(Info!$C$10,Rates!$D$2:$D$4,Rates!$C$2:$C$4))+0.85*(Info!$I$22-IF(AC37&gt;4,0.1,LOOKUP(Info!$C$10,Rates!$D$2:$D$4,Rates!$C$2:$C$4)))),"")</f>
        <v/>
      </c>
      <c r="C37" s="242">
        <f>IF(AB37&lt;&gt;"",D37,"")</f>
        <v/>
      </c>
      <c r="D37" s="53">
        <f>IF(AB37&lt;&gt;"",E37*(1+IF(AC37&gt;4,0.1,LOOKUP(Info!$C$10,Rates!$D$2:$D$5,Rates!$B$2:$B$5))*LOOKUP(Info!$C$8,Rates!$I$2:$I$7,Rates!$G$2:$G$7))+D36*(1+IF(AC37&gt;4,0.1,LOOKUP(Info!$C$10,Rates!$D$2:$D$5,Rates!$B$2:$B$5))),"")</f>
        <v/>
      </c>
      <c r="E37" s="236">
        <f>IF(AB37&lt;&gt;"",IF(Info!$C$16="بله",IF(AND(AC37&lt;=Info!$F$20,AC37&gt;=Info!$I$20),Info!$C$20,0)+(Z37-S37-I37-H37-G37-F37-L37),IF(AND(AC37&lt;=Info!$F$20,AC37&gt;=Info!$I$20),Info!$C$20,0)+(Z37-S37-I37-H37-G37-F37)),"")</f>
        <v/>
      </c>
      <c r="F37" s="236">
        <f>IF(AB37&lt;&gt;"",0.03*(H37+I37+S37+L37),"")</f>
        <v/>
      </c>
      <c r="G37" s="236">
        <f>IF(AB37&lt;&gt;"",0.06*(H37+I37+S37+L37),"")</f>
        <v/>
      </c>
      <c r="H37" s="237">
        <f>IF(M37="",0,M37)+IF(N37="",0,N37)+IF(O37="",0,O37)</f>
        <v/>
      </c>
      <c r="I37" s="242" t="n">
        <v>0</v>
      </c>
      <c r="J37" s="242">
        <f>IF(AB37&lt;&gt;"",K37/((1+10/100)^(AC37-1)),"")</f>
        <v/>
      </c>
      <c r="K37" s="236">
        <f>IF(U37&lt;&gt;"",Info!$L$20*U37,"")</f>
        <v/>
      </c>
      <c r="L37" s="243">
        <f>IF(P37="",0,P37)+IF(Q37="",0,Q37)</f>
        <v/>
      </c>
      <c r="M37" s="244">
        <f>IF(Z37&lt;&gt;"",5/100*Z37,"")</f>
        <v/>
      </c>
      <c r="N37" s="244" t="n">
        <v>0</v>
      </c>
      <c r="O37" s="244">
        <f>IF(Z37&lt;&gt;"",0.02*Z37*(1-Info!$F$25),"")</f>
        <v/>
      </c>
      <c r="P37" s="243">
        <f>IF(AND(AB37&lt;=70,W37&lt;&gt;""),(1-Info!$I$27)*((W37*0.0008*(1+(LOOKUP(Info!$I$18,Rates!$O:$O,Rates!$M:$M)/100)))+((Y37*0.0008*Info!$L$14))*(1+(LOOKUP(Info!$I$18,Rates!$O:$O,Rates!$N:$N)/100))),"")</f>
        <v/>
      </c>
      <c r="Q37" s="239">
        <f>IF(AB37&lt;=60,(LOOKUP(AB37,Rates!$T:$T,Rates!#REF!))*V37/1000000*(1+Info!$L$20)*(1-Info!$I$29),"")</f>
        <v/>
      </c>
      <c r="R37" s="42">
        <f>IF(AND(Z37&lt;&gt;"",Q37&lt;&gt;"",P37&lt;&gt;""),IF(Info!$C$16="بله",(Z37-Q37-P37),Z37),"")</f>
        <v/>
      </c>
      <c r="S37" s="236" t="n">
        <v>0</v>
      </c>
      <c r="T37" s="236">
        <f>IF(AB37&lt;&gt;"",U37/((1+10/100)^(AC37-1)),"")</f>
        <v/>
      </c>
      <c r="U37" s="236">
        <f>IF(AB37&lt;&gt;"",(Y37*LOOKUP(AB37,Rates!$T:$T,Rates!$S:$S))/SQRT(1.1),"")</f>
        <v/>
      </c>
      <c r="V37" s="245">
        <f>IF(AND(AB37&lt;&gt;"",AB37&lt;=60),IF(V36*(1+Info!$F$10)&lt;300000000,V36*(1+Info!$F$10),300000000),"")</f>
        <v/>
      </c>
      <c r="W37" s="240">
        <f>IF(AND(AB37&lt;&gt;"",AB37&lt;=60),Y37*Info!$L$16,"")</f>
        <v/>
      </c>
      <c r="X37" s="245">
        <f>IF(AND(AB37&lt;&gt;"",AB37&lt;=70),Y37*(1+Info!$L$14),"")</f>
        <v/>
      </c>
      <c r="Y37" s="245">
        <f>IF(AB37&lt;&gt;"",(1+Info!$F$10)*Y36,"")</f>
        <v/>
      </c>
      <c r="Z37" s="42" t="n">
        <v>0</v>
      </c>
      <c r="AA37" s="57">
        <f>IF(AC37&lt;&gt;"",Info!$C$6+AC37-1,"")</f>
        <v/>
      </c>
      <c r="AB37" s="57">
        <f>IF(AC37&lt;&gt;"",Info!$F$6+AC37-1,"")</f>
        <v/>
      </c>
      <c r="AC37" s="57">
        <f>IF(AC36&lt;&gt;"",IF(AC36+1&lt;=Info!$I$6,AC36+1,""),"")</f>
        <v/>
      </c>
      <c r="AD37" s="241" t="n"/>
      <c r="AE37" s="241" t="n"/>
    </row>
    <row r="38">
      <c r="A38" s="51" t="n">
        <v>0</v>
      </c>
      <c r="B38" s="51">
        <f>IF(AB38&lt;&gt;"",E38+E38*(IF(AC38&gt;4,0.1,LOOKUP(Info!$C$10,Rates!$D$2:$D$4,Rates!$C$2:$C$4))+0.85*(Info!$I$22-(IF(AC38&gt;4,0.1,LOOKUP(Info!$C$10,Rates!$D$2:$D$4,Rates!$C$2:$C$4)))))*LOOKUP(Info!$C$8,Rates!$I$2:$I$7,Rates!$G$2:$G$7)+B37*(1+IF(AC38&gt;4,0.1,LOOKUP(Info!$C$10,Rates!$D$2:$D$4,Rates!$C$2:$C$4))+0.85*(Info!$I$22-IF(AC38&gt;4,0.1,LOOKUP(Info!$C$10,Rates!$D$2:$D$4,Rates!$C$2:$C$4)))),"")</f>
        <v/>
      </c>
      <c r="C38" s="242">
        <f>IF(AB38&lt;&gt;"",D38,"")</f>
        <v/>
      </c>
      <c r="D38" s="53">
        <f>IF(AB38&lt;&gt;"",E38*(1+IF(AC38&gt;4,0.1,LOOKUP(Info!$C$10,Rates!$D$2:$D$5,Rates!$B$2:$B$5))*LOOKUP(Info!$C$8,Rates!$I$2:$I$7,Rates!$G$2:$G$7))+D37*(1+IF(AC38&gt;4,0.1,LOOKUP(Info!$C$10,Rates!$D$2:$D$5,Rates!$B$2:$B$5))),"")</f>
        <v/>
      </c>
      <c r="E38" s="236">
        <f>IF(AB38&lt;&gt;"",IF(Info!$C$16="بله",IF(AND(AC38&lt;=Info!$F$20,AC38&gt;=Info!$I$20),Info!$C$20,0)+(Z38-S38-I38-H38-G38-F38-L38),IF(AND(AC38&lt;=Info!$F$20,AC38&gt;=Info!$I$20),Info!$C$20,0)+(Z38-S38-I38-H38-G38-F38)),"")</f>
        <v/>
      </c>
      <c r="F38" s="236">
        <f>IF(AB38&lt;&gt;"",0.03*(H38+I38+S38+L38),"")</f>
        <v/>
      </c>
      <c r="G38" s="236">
        <f>IF(AB38&lt;&gt;"",0.06*(H38+I38+S38+L38),"")</f>
        <v/>
      </c>
      <c r="H38" s="237">
        <f>IF(M38="",0,M38)+IF(N38="",0,N38)+IF(O38="",0,O38)</f>
        <v/>
      </c>
      <c r="I38" s="242" t="n">
        <v>0</v>
      </c>
      <c r="J38" s="242">
        <f>IF(AB38&lt;&gt;"",K38/((1+10/100)^(AC38-1)),"")</f>
        <v/>
      </c>
      <c r="K38" s="236">
        <f>IF(U38&lt;&gt;"",Info!$L$20*U38,"")</f>
        <v/>
      </c>
      <c r="L38" s="243">
        <f>IF(P38="",0,P38)+IF(Q38="",0,Q38)</f>
        <v/>
      </c>
      <c r="M38" s="244">
        <f>IF(Z38&lt;&gt;"",5/100*Z38,"")</f>
        <v/>
      </c>
      <c r="N38" s="244" t="n">
        <v>0</v>
      </c>
      <c r="O38" s="244">
        <f>IF(Z38&lt;&gt;"",0.02*Z38*(1-Info!$F$25),"")</f>
        <v/>
      </c>
      <c r="P38" s="243">
        <f>IF(AND(AB38&lt;=70,W38&lt;&gt;""),(1-Info!$I$27)*((W38*0.0008*(1+(LOOKUP(Info!$I$18,Rates!$O:$O,Rates!$M:$M)/100)))+((Y38*0.0008*Info!$L$14))*(1+(LOOKUP(Info!$I$18,Rates!$O:$O,Rates!$N:$N)/100))),"")</f>
        <v/>
      </c>
      <c r="Q38" s="239">
        <f>IF(AB38&lt;=60,(LOOKUP(AB38,Rates!$T:$T,Rates!#REF!))*V38/1000000*(1+Info!$L$20)*(1-Info!$I$29),"")</f>
        <v/>
      </c>
      <c r="R38" s="42">
        <f>IF(AND(Z38&lt;&gt;"",Q38&lt;&gt;"",P38&lt;&gt;""),IF(Info!$C$16="بله",(Z38-Q38-P38),Z38),"")</f>
        <v/>
      </c>
      <c r="S38" s="236" t="n">
        <v>0</v>
      </c>
      <c r="T38" s="236">
        <f>IF(AB38&lt;&gt;"",U38/((1+10/100)^(AC38-1)),"")</f>
        <v/>
      </c>
      <c r="U38" s="236">
        <f>IF(AB38&lt;&gt;"",(Y38*LOOKUP(AB38,Rates!$T:$T,Rates!$S:$S))/SQRT(1.1),"")</f>
        <v/>
      </c>
      <c r="V38" s="245">
        <f>IF(AND(AB38&lt;&gt;"",AB38&lt;=60),IF(V37*(1+Info!$F$10)&lt;300000000,V37*(1+Info!$F$10),300000000),"")</f>
        <v/>
      </c>
      <c r="W38" s="240">
        <f>IF(AND(AB38&lt;&gt;"",AB38&lt;=60),Y38*Info!$L$16,"")</f>
        <v/>
      </c>
      <c r="X38" s="245">
        <f>IF(AND(AB38&lt;&gt;"",AB38&lt;=70),Y38*(1+Info!$L$14),"")</f>
        <v/>
      </c>
      <c r="Y38" s="245">
        <f>IF(AB38&lt;&gt;"",(1+Info!$F$10)*Y37,"")</f>
        <v/>
      </c>
      <c r="Z38" s="42" t="n">
        <v>0</v>
      </c>
      <c r="AA38" s="57">
        <f>IF(AC38&lt;&gt;"",Info!$C$6+AC38-1,"")</f>
        <v/>
      </c>
      <c r="AB38" s="57">
        <f>IF(AC38&lt;&gt;"",Info!$F$6+AC38-1,"")</f>
        <v/>
      </c>
      <c r="AC38" s="57">
        <f>IF(AC37&lt;&gt;"",IF(AC37+1&lt;=Info!$I$6,AC37+1,""),"")</f>
        <v/>
      </c>
      <c r="AD38" s="241" t="n"/>
      <c r="AE38" s="241" t="n"/>
    </row>
    <row r="39">
      <c r="A39" s="51" t="n">
        <v>0</v>
      </c>
      <c r="B39" s="51">
        <f>IF(AB39&lt;&gt;"",E39+E39*(IF(AC39&gt;4,0.1,LOOKUP(Info!$C$10,Rates!$D$2:$D$4,Rates!$C$2:$C$4))+0.85*(Info!$I$22-(IF(AC39&gt;4,0.1,LOOKUP(Info!$C$10,Rates!$D$2:$D$4,Rates!$C$2:$C$4)))))*LOOKUP(Info!$C$8,Rates!$I$2:$I$7,Rates!$G$2:$G$7)+B38*(1+IF(AC39&gt;4,0.1,LOOKUP(Info!$C$10,Rates!$D$2:$D$4,Rates!$C$2:$C$4))+0.85*(Info!$I$22-IF(AC39&gt;4,0.1,LOOKUP(Info!$C$10,Rates!$D$2:$D$4,Rates!$C$2:$C$4)))),"")</f>
        <v/>
      </c>
      <c r="C39" s="242">
        <f>IF(AB39&lt;&gt;"",D39,"")</f>
        <v/>
      </c>
      <c r="D39" s="53">
        <f>IF(AB39&lt;&gt;"",E39*(1+IF(AC39&gt;4,0.1,LOOKUP(Info!$C$10,Rates!$D$2:$D$5,Rates!$B$2:$B$5))*LOOKUP(Info!$C$8,Rates!$I$2:$I$7,Rates!$G$2:$G$7))+D38*(1+IF(AC39&gt;4,0.1,LOOKUP(Info!$C$10,Rates!$D$2:$D$5,Rates!$B$2:$B$5))),"")</f>
        <v/>
      </c>
      <c r="E39" s="236">
        <f>IF(AB39&lt;&gt;"",IF(Info!$C$16="بله",IF(AND(AC39&lt;=Info!$F$20,AC39&gt;=Info!$I$20),Info!$C$20,0)+(Z39-S39-I39-H39-G39-F39-L39),IF(AND(AC39&lt;=Info!$F$20,AC39&gt;=Info!$I$20),Info!$C$20,0)+(Z39-S39-I39-H39-G39-F39)),"")</f>
        <v/>
      </c>
      <c r="F39" s="236">
        <f>IF(AB39&lt;&gt;"",0.03*(H39+I39+S39+L39),"")</f>
        <v/>
      </c>
      <c r="G39" s="236">
        <f>IF(AB39&lt;&gt;"",0.06*(H39+I39+S39+L39),"")</f>
        <v/>
      </c>
      <c r="H39" s="237">
        <f>IF(M39="",0,M39)+IF(N39="",0,N39)+IF(O39="",0,O39)</f>
        <v/>
      </c>
      <c r="I39" s="242" t="n">
        <v>0</v>
      </c>
      <c r="J39" s="242">
        <f>IF(AB39&lt;&gt;"",K39/((1+10/100)^(AC39-1)),"")</f>
        <v/>
      </c>
      <c r="K39" s="236">
        <f>IF(U39&lt;&gt;"",Info!$L$20*U39,"")</f>
        <v/>
      </c>
      <c r="L39" s="243">
        <f>IF(P39="",0,P39)+IF(Q39="",0,Q39)</f>
        <v/>
      </c>
      <c r="M39" s="244">
        <f>IF(Z39&lt;&gt;"",5/100*Z39,"")</f>
        <v/>
      </c>
      <c r="N39" s="244" t="n">
        <v>0</v>
      </c>
      <c r="O39" s="244">
        <f>IF(Z39&lt;&gt;"",0.02*Z39*(1-Info!$F$25),"")</f>
        <v/>
      </c>
      <c r="P39" s="243">
        <f>IF(AND(AB39&lt;=70,W39&lt;&gt;""),(1-Info!$I$27)*((W39*0.0008*(1+(LOOKUP(Info!$I$18,Rates!$O:$O,Rates!$M:$M)/100)))+((Y39*0.0008*Info!$L$14))*(1+(LOOKUP(Info!$I$18,Rates!$O:$O,Rates!$N:$N)/100))),"")</f>
        <v/>
      </c>
      <c r="Q39" s="239">
        <f>IF(AB39&lt;=60,(LOOKUP(AB39,Rates!$T:$T,Rates!#REF!))*V39/1000000*(1+Info!$L$20)*(1-Info!$I$29),"")</f>
        <v/>
      </c>
      <c r="R39" s="42">
        <f>IF(AND(Z39&lt;&gt;"",Q39&lt;&gt;"",P39&lt;&gt;""),IF(Info!$C$16="بله",(Z39-Q39-P39),Z39),"")</f>
        <v/>
      </c>
      <c r="S39" s="236" t="n">
        <v>0</v>
      </c>
      <c r="T39" s="236">
        <f>IF(AB39&lt;&gt;"",U39/((1+10/100)^(AC39-1)),"")</f>
        <v/>
      </c>
      <c r="U39" s="236">
        <f>IF(AB39&lt;&gt;"",(Y39*LOOKUP(AB39,Rates!$T:$T,Rates!$S:$S))/SQRT(1.1),"")</f>
        <v/>
      </c>
      <c r="V39" s="245">
        <f>IF(AND(AB39&lt;&gt;"",AB39&lt;=60),IF(V38*(1+Info!$F$10)&lt;300000000,V38*(1+Info!$F$10),300000000),"")</f>
        <v/>
      </c>
      <c r="W39" s="240">
        <f>IF(AND(AB39&lt;&gt;"",AB39&lt;=60),Y39*Info!$L$16,"")</f>
        <v/>
      </c>
      <c r="X39" s="245">
        <f>IF(AND(AB39&lt;&gt;"",AB39&lt;=70),Y39*(1+Info!$L$14),"")</f>
        <v/>
      </c>
      <c r="Y39" s="245">
        <f>IF(AB39&lt;&gt;"",(1+Info!$F$10)*Y38,"")</f>
        <v/>
      </c>
      <c r="Z39" s="42" t="n">
        <v>0</v>
      </c>
      <c r="AA39" s="57">
        <f>IF(AC39&lt;&gt;"",Info!$C$6+AC39-1,"")</f>
        <v/>
      </c>
      <c r="AB39" s="57">
        <f>IF(AC39&lt;&gt;"",Info!$F$6+AC39-1,"")</f>
        <v/>
      </c>
      <c r="AC39" s="57">
        <f>IF(AC38&lt;&gt;"",IF(AC38+1&lt;=Info!$I$6,AC38+1,""),"")</f>
        <v/>
      </c>
      <c r="AD39" s="241" t="n"/>
      <c r="AE39" s="241" t="n"/>
    </row>
    <row r="40">
      <c r="A40" s="51" t="n">
        <v>0</v>
      </c>
      <c r="B40" s="51">
        <f>IF(AB40&lt;&gt;"",E40+E40*(IF(AC40&gt;4,0.1,LOOKUP(Info!$C$10,Rates!$D$2:$D$4,Rates!$C$2:$C$4))+0.85*(Info!$I$22-(IF(AC40&gt;4,0.1,LOOKUP(Info!$C$10,Rates!$D$2:$D$4,Rates!$C$2:$C$4)))))*LOOKUP(Info!$C$8,Rates!$I$2:$I$7,Rates!$G$2:$G$7)+B39*(1+IF(AC40&gt;4,0.1,LOOKUP(Info!$C$10,Rates!$D$2:$D$4,Rates!$C$2:$C$4))+0.85*(Info!$I$22-IF(AC40&gt;4,0.1,LOOKUP(Info!$C$10,Rates!$D$2:$D$4,Rates!$C$2:$C$4)))),"")</f>
        <v/>
      </c>
      <c r="C40" s="242">
        <f>IF(AB40&lt;&gt;"",D40,"")</f>
        <v/>
      </c>
      <c r="D40" s="53">
        <f>IF(AB40&lt;&gt;"",E40*(1+IF(AC40&gt;4,0.1,LOOKUP(Info!$C$10,Rates!$D$2:$D$5,Rates!$B$2:$B$5))*LOOKUP(Info!$C$8,Rates!$I$2:$I$7,Rates!$G$2:$G$7))+D39*(1+IF(AC40&gt;4,0.1,LOOKUP(Info!$C$10,Rates!$D$2:$D$5,Rates!$B$2:$B$5))),"")</f>
        <v/>
      </c>
      <c r="E40" s="236">
        <f>IF(AB40&lt;&gt;"",IF(Info!$C$16="بله",IF(AND(AC40&lt;=Info!$F$20,AC40&gt;=Info!$I$20),Info!$C$20,0)+(Z40-S40-I40-H40-G40-F40-L40),IF(AND(AC40&lt;=Info!$F$20,AC40&gt;=Info!$I$20),Info!$C$20,0)+(Z40-S40-I40-H40-G40-F40)),"")</f>
        <v/>
      </c>
      <c r="F40" s="236">
        <f>IF(AB40&lt;&gt;"",0.03*(H40+I40+S40+L40),"")</f>
        <v/>
      </c>
      <c r="G40" s="236">
        <f>IF(AB40&lt;&gt;"",0.06*(H40+I40+S40+L40),"")</f>
        <v/>
      </c>
      <c r="H40" s="237">
        <f>IF(M40="",0,M40)+IF(N40="",0,N40)+IF(O40="",0,O40)</f>
        <v/>
      </c>
      <c r="I40" s="242" t="n">
        <v>0</v>
      </c>
      <c r="J40" s="242">
        <f>IF(AB40&lt;&gt;"",K40/((1+10/100)^(AC40-1)),"")</f>
        <v/>
      </c>
      <c r="K40" s="236">
        <f>IF(U40&lt;&gt;"",Info!$L$20*U40,"")</f>
        <v/>
      </c>
      <c r="L40" s="243">
        <f>IF(P40="",0,P40)+IF(Q40="",0,Q40)</f>
        <v/>
      </c>
      <c r="M40" s="244">
        <f>IF(Z40&lt;&gt;"",5/100*Z40,"")</f>
        <v/>
      </c>
      <c r="N40" s="244" t="n">
        <v>0</v>
      </c>
      <c r="O40" s="244">
        <f>IF(Z40&lt;&gt;"",0.02*Z40*(1-Info!$F$25),"")</f>
        <v/>
      </c>
      <c r="P40" s="243">
        <f>IF(AND(AB40&lt;=70,W40&lt;&gt;""),(1-Info!$I$27)*((W40*0.0008*(1+(LOOKUP(Info!$I$18,Rates!$O:$O,Rates!$M:$M)/100)))+((Y40*0.0008*Info!$L$14))*(1+(LOOKUP(Info!$I$18,Rates!$O:$O,Rates!$N:$N)/100))),"")</f>
        <v/>
      </c>
      <c r="Q40" s="239">
        <f>IF(AB40&lt;=60,(LOOKUP(AB40,Rates!$T:$T,Rates!#REF!))*V40/1000000*(1+Info!$L$20)*(1-Info!$I$29),"")</f>
        <v/>
      </c>
      <c r="R40" s="42">
        <f>IF(AND(Z40&lt;&gt;"",Q40&lt;&gt;"",P40&lt;&gt;""),IF(Info!$C$16="بله",(Z40-Q40-P40),Z40),"")</f>
        <v/>
      </c>
      <c r="S40" s="236" t="n">
        <v>0</v>
      </c>
      <c r="T40" s="236">
        <f>IF(AB40&lt;&gt;"",U40/((1+10/100)^(AC40-1)),"")</f>
        <v/>
      </c>
      <c r="U40" s="236">
        <f>IF(AB40&lt;&gt;"",(Y40*LOOKUP(AB40,Rates!$T:$T,Rates!$S:$S))/SQRT(1.1),"")</f>
        <v/>
      </c>
      <c r="V40" s="245">
        <f>IF(AND(AB40&lt;&gt;"",AB40&lt;=60),IF(V39*(1+Info!$F$10)&lt;300000000,V39*(1+Info!$F$10),300000000),"")</f>
        <v/>
      </c>
      <c r="W40" s="240">
        <f>IF(AND(AB40&lt;&gt;"",AB40&lt;=60),Y40*Info!$L$16,"")</f>
        <v/>
      </c>
      <c r="X40" s="245">
        <f>IF(AND(AB40&lt;&gt;"",AB40&lt;=70),Y40*(1+Info!$L$14),"")</f>
        <v/>
      </c>
      <c r="Y40" s="245">
        <f>IF(AB40&lt;&gt;"",(1+Info!$F$10)*Y39,"")</f>
        <v/>
      </c>
      <c r="Z40" s="42" t="n">
        <v>0</v>
      </c>
      <c r="AA40" s="57">
        <f>IF(AC40&lt;&gt;"",Info!$C$6+AC40-1,"")</f>
        <v/>
      </c>
      <c r="AB40" s="57">
        <f>IF(AC40&lt;&gt;"",Info!$F$6+AC40-1,"")</f>
        <v/>
      </c>
      <c r="AC40" s="57">
        <f>IF(AC39&lt;&gt;"",IF(AC39+1&lt;=Info!$I$6,AC39+1,""),"")</f>
        <v/>
      </c>
      <c r="AD40" s="241" t="n"/>
      <c r="AE40" s="241" t="n"/>
    </row>
    <row r="41">
      <c r="A41" s="51" t="n">
        <v>0</v>
      </c>
      <c r="B41" s="51">
        <f>IF(AB41&lt;&gt;"",E41+E41*(IF(AC41&gt;4,0.1,LOOKUP(Info!$C$10,Rates!$D$2:$D$4,Rates!$C$2:$C$4))+0.85*(Info!$I$22-(IF(AC41&gt;4,0.1,LOOKUP(Info!$C$10,Rates!$D$2:$D$4,Rates!$C$2:$C$4)))))*LOOKUP(Info!$C$8,Rates!$I$2:$I$7,Rates!$G$2:$G$7)+B40*(1+IF(AC41&gt;4,0.1,LOOKUP(Info!$C$10,Rates!$D$2:$D$4,Rates!$C$2:$C$4))+0.85*(Info!$I$22-IF(AC41&gt;4,0.1,LOOKUP(Info!$C$10,Rates!$D$2:$D$4,Rates!$C$2:$C$4)))),"")</f>
        <v/>
      </c>
      <c r="C41" s="242">
        <f>IF(AB41&lt;&gt;"",D41,"")</f>
        <v/>
      </c>
      <c r="D41" s="53">
        <f>IF(AB41&lt;&gt;"",E41*(1+IF(AC41&gt;4,0.1,LOOKUP(Info!$C$10,Rates!$D$2:$D$5,Rates!$B$2:$B$5))*LOOKUP(Info!$C$8,Rates!$I$2:$I$7,Rates!$G$2:$G$7))+D40*(1+IF(AC41&gt;4,0.1,LOOKUP(Info!$C$10,Rates!$D$2:$D$5,Rates!$B$2:$B$5))),"")</f>
        <v/>
      </c>
      <c r="E41" s="236">
        <f>IF(AB41&lt;&gt;"",IF(Info!$C$16="بله",IF(AND(AC41&lt;=Info!$F$20,AC41&gt;=Info!$I$20),Info!$C$20,0)+(Z41-S41-I41-H41-G41-F41-L41),IF(AND(AC41&lt;=Info!$F$20,AC41&gt;=Info!$I$20),Info!$C$20,0)+(Z41-S41-I41-H41-G41-F41)),"")</f>
        <v/>
      </c>
      <c r="F41" s="236">
        <f>IF(AB41&lt;&gt;"",0.03*(H41+I41+S41+L41),"")</f>
        <v/>
      </c>
      <c r="G41" s="236">
        <f>IF(AB41&lt;&gt;"",0.06*(H41+I41+S41+L41),"")</f>
        <v/>
      </c>
      <c r="H41" s="237">
        <f>IF(M41="",0,M41)+IF(N41="",0,N41)+IF(O41="",0,O41)</f>
        <v/>
      </c>
      <c r="I41" s="242" t="n">
        <v>0</v>
      </c>
      <c r="J41" s="242">
        <f>IF(AB41&lt;&gt;"",K41/((1+10/100)^(AC41-1)),"")</f>
        <v/>
      </c>
      <c r="K41" s="236">
        <f>IF(U41&lt;&gt;"",Info!$L$20*U41,"")</f>
        <v/>
      </c>
      <c r="L41" s="243">
        <f>IF(P41="",0,P41)+IF(Q41="",0,Q41)</f>
        <v/>
      </c>
      <c r="M41" s="244">
        <f>IF(Z41&lt;&gt;"",5/100*Z41,"")</f>
        <v/>
      </c>
      <c r="N41" s="244" t="n">
        <v>0</v>
      </c>
      <c r="O41" s="244">
        <f>IF(Z41&lt;&gt;"",0.02*Z41*(1-Info!$F$25),"")</f>
        <v/>
      </c>
      <c r="P41" s="243">
        <f>IF(AND(AB41&lt;=70,W41&lt;&gt;""),(1-Info!$I$27)*((W41*0.0008*(1+(LOOKUP(Info!$I$18,Rates!$O:$O,Rates!$M:$M)/100)))+((Y41*0.0008*Info!$L$14))*(1+(LOOKUP(Info!$I$18,Rates!$O:$O,Rates!$N:$N)/100))),"")</f>
        <v/>
      </c>
      <c r="Q41" s="239">
        <f>IF(AB41&lt;=60,(LOOKUP(AB41,Rates!$T:$T,Rates!#REF!))*V41/1000000*(1+Info!$L$20)*(1-Info!$I$29),"")</f>
        <v/>
      </c>
      <c r="R41" s="42">
        <f>IF(AND(Z41&lt;&gt;"",Q41&lt;&gt;"",P41&lt;&gt;""),IF(Info!$C$16="بله",(Z41-Q41-P41),Z41),"")</f>
        <v/>
      </c>
      <c r="S41" s="236" t="n">
        <v>0</v>
      </c>
      <c r="T41" s="236">
        <f>IF(AB41&lt;&gt;"",U41/((1+10/100)^(AC41-1)),"")</f>
        <v/>
      </c>
      <c r="U41" s="236">
        <f>IF(AB41&lt;&gt;"",(Y41*LOOKUP(AB41,Rates!$T:$T,Rates!$S:$S))/SQRT(1.1),"")</f>
        <v/>
      </c>
      <c r="V41" s="245">
        <f>IF(AND(AB41&lt;&gt;"",AB41&lt;=60),IF(V40*(1+Info!$F$10)&lt;300000000,V40*(1+Info!$F$10),300000000),"")</f>
        <v/>
      </c>
      <c r="W41" s="240">
        <f>IF(AND(AB41&lt;&gt;"",AB41&lt;=60),Y41*Info!$L$16,"")</f>
        <v/>
      </c>
      <c r="X41" s="245">
        <f>IF(AND(AB41&lt;&gt;"",AB41&lt;=70),Y41*(1+Info!$L$14),"")</f>
        <v/>
      </c>
      <c r="Y41" s="245">
        <f>IF(AB41&lt;&gt;"",(1+Info!$F$10)*Y40,"")</f>
        <v/>
      </c>
      <c r="Z41" s="42" t="n">
        <v>0</v>
      </c>
      <c r="AA41" s="57">
        <f>IF(AC41&lt;&gt;"",Info!$C$6+AC41-1,"")</f>
        <v/>
      </c>
      <c r="AB41" s="57">
        <f>IF(AC41&lt;&gt;"",Info!$F$6+AC41-1,"")</f>
        <v/>
      </c>
      <c r="AC41" s="57">
        <f>IF(AC40&lt;&gt;"",IF(AC40+1&lt;=Info!$I$6,AC40+1,""),"")</f>
        <v/>
      </c>
      <c r="AD41" s="241" t="n"/>
      <c r="AE41" s="241" t="n"/>
    </row>
    <row r="42">
      <c r="A42" s="51" t="n">
        <v>0</v>
      </c>
      <c r="B42" s="51">
        <f>IF(AB42&lt;&gt;"",E42+E42*(IF(AC42&gt;4,0.1,LOOKUP(Info!$C$10,Rates!$D$2:$D$4,Rates!$C$2:$C$4))+0.85*(Info!$I$22-(IF(AC42&gt;4,0.1,LOOKUP(Info!$C$10,Rates!$D$2:$D$4,Rates!$C$2:$C$4)))))*LOOKUP(Info!$C$8,Rates!$I$2:$I$7,Rates!$G$2:$G$7)+B41*(1+IF(AC42&gt;4,0.1,LOOKUP(Info!$C$10,Rates!$D$2:$D$4,Rates!$C$2:$C$4))+0.85*(Info!$I$22-IF(AC42&gt;4,0.1,LOOKUP(Info!$C$10,Rates!$D$2:$D$4,Rates!$C$2:$C$4)))),"")</f>
        <v/>
      </c>
      <c r="C42" s="242">
        <f>IF(AB42&lt;&gt;"",D42,"")</f>
        <v/>
      </c>
      <c r="D42" s="53">
        <f>IF(AB42&lt;&gt;"",E42*(1+IF(AC42&gt;4,0.1,LOOKUP(Info!$C$10,Rates!$D$2:$D$5,Rates!$B$2:$B$5))*LOOKUP(Info!$C$8,Rates!$I$2:$I$7,Rates!$G$2:$G$7))+D41*(1+IF(AC42&gt;4,0.1,LOOKUP(Info!$C$10,Rates!$D$2:$D$5,Rates!$B$2:$B$5))),"")</f>
        <v/>
      </c>
      <c r="E42" s="236">
        <f>IF(AB42&lt;&gt;"",IF(Info!$C$16="بله",IF(AND(AC42&lt;=Info!$F$20,AC42&gt;=Info!$I$20),Info!$C$20,0)+(Z42-S42-I42-H42-G42-F42-L42),IF(AND(AC42&lt;=Info!$F$20,AC42&gt;=Info!$I$20),Info!$C$20,0)+(Z42-S42-I42-H42-G42-F42)),"")</f>
        <v/>
      </c>
      <c r="F42" s="236">
        <f>IF(AB42&lt;&gt;"",0.03*(H42+I42+S42+L42),"")</f>
        <v/>
      </c>
      <c r="G42" s="236">
        <f>IF(AB42&lt;&gt;"",0.06*(H42+I42+S42+L42),"")</f>
        <v/>
      </c>
      <c r="H42" s="237">
        <f>IF(M42="",0,M42)+IF(N42="",0,N42)+IF(O42="",0,O42)</f>
        <v/>
      </c>
      <c r="I42" s="242" t="n">
        <v>0</v>
      </c>
      <c r="J42" s="242">
        <f>IF(AB42&lt;&gt;"",K42/((1+10/100)^(AC42-1)),"")</f>
        <v/>
      </c>
      <c r="K42" s="236">
        <f>IF(U42&lt;&gt;"",Info!$L$20*U42,"")</f>
        <v/>
      </c>
      <c r="L42" s="243">
        <f>IF(P42="",0,P42)+IF(Q42="",0,Q42)</f>
        <v/>
      </c>
      <c r="M42" s="244">
        <f>IF(Z42&lt;&gt;"",5/100*Z42,"")</f>
        <v/>
      </c>
      <c r="N42" s="244" t="n">
        <v>0</v>
      </c>
      <c r="O42" s="244">
        <f>IF(Z42&lt;&gt;"",0.02*Z42*(1-Info!$F$25),"")</f>
        <v/>
      </c>
      <c r="P42" s="243">
        <f>IF(AND(AB42&lt;=70,W42&lt;&gt;""),(1-Info!$I$27)*((W42*0.0008*(1+(LOOKUP(Info!$I$18,Rates!$O:$O,Rates!$M:$M)/100)))+((Y42*0.0008*Info!$L$14))*(1+(LOOKUP(Info!$I$18,Rates!$O:$O,Rates!$N:$N)/100))),"")</f>
        <v/>
      </c>
      <c r="Q42" s="239">
        <f>IF(AB42&lt;=60,(LOOKUP(AB42,Rates!$T:$T,Rates!#REF!))*V42/1000000*(1+Info!$L$20)*(1-Info!$I$29),"")</f>
        <v/>
      </c>
      <c r="R42" s="42">
        <f>IF(AND(Z42&lt;&gt;"",Q42&lt;&gt;"",P42&lt;&gt;""),IF(Info!$C$16="بله",(Z42-Q42-P42),Z42),"")</f>
        <v/>
      </c>
      <c r="S42" s="236" t="n">
        <v>0</v>
      </c>
      <c r="T42" s="236">
        <f>IF(AB42&lt;&gt;"",U42/((1+10/100)^(AC42-1)),"")</f>
        <v/>
      </c>
      <c r="U42" s="236">
        <f>IF(AB42&lt;&gt;"",(Y42*LOOKUP(AB42,Rates!$T:$T,Rates!$S:$S))/SQRT(1.1),"")</f>
        <v/>
      </c>
      <c r="V42" s="245">
        <f>IF(AND(AB42&lt;&gt;"",AB42&lt;=60),IF(V41*(1+Info!$F$10)&lt;300000000,V41*(1+Info!$F$10),300000000),"")</f>
        <v/>
      </c>
      <c r="W42" s="240">
        <f>IF(AND(AB42&lt;&gt;"",AB42&lt;=60),Y42*Info!$L$16,"")</f>
        <v/>
      </c>
      <c r="X42" s="245">
        <f>IF(AND(AB42&lt;&gt;"",AB42&lt;=70),Y42*(1+Info!$L$14),"")</f>
        <v/>
      </c>
      <c r="Y42" s="245">
        <f>IF(AB42&lt;&gt;"",(1+Info!$F$10)*Y41,"")</f>
        <v/>
      </c>
      <c r="Z42" s="42" t="n">
        <v>0</v>
      </c>
      <c r="AA42" s="57">
        <f>IF(AC42&lt;&gt;"",Info!$C$6+AC42-1,"")</f>
        <v/>
      </c>
      <c r="AB42" s="57">
        <f>IF(AC42&lt;&gt;"",Info!$F$6+AC42-1,"")</f>
        <v/>
      </c>
      <c r="AC42" s="57">
        <f>IF(AC41&lt;&gt;"",IF(AC41+1&lt;=Info!$I$6,AC41+1,""),"")</f>
        <v/>
      </c>
      <c r="AD42" s="241" t="n"/>
      <c r="AE42" s="241" t="n"/>
    </row>
    <row r="43">
      <c r="A43" s="51" t="n">
        <v>0</v>
      </c>
      <c r="B43" s="51">
        <f>IF(AB43&lt;&gt;"",E43+E43*(IF(AC43&gt;4,0.1,LOOKUP(Info!$C$10,Rates!$D$2:$D$4,Rates!$C$2:$C$4))+0.85*(Info!$I$22-(IF(AC43&gt;4,0.1,LOOKUP(Info!$C$10,Rates!$D$2:$D$4,Rates!$C$2:$C$4)))))*LOOKUP(Info!$C$8,Rates!$I$2:$I$7,Rates!$G$2:$G$7)+B42*(1+IF(AC43&gt;4,0.1,LOOKUP(Info!$C$10,Rates!$D$2:$D$4,Rates!$C$2:$C$4))+0.85*(Info!$I$22-IF(AC43&gt;4,0.1,LOOKUP(Info!$C$10,Rates!$D$2:$D$4,Rates!$C$2:$C$4)))),"")</f>
        <v/>
      </c>
      <c r="C43" s="242">
        <f>IF(AB43&lt;&gt;"",D43,"")</f>
        <v/>
      </c>
      <c r="D43" s="53">
        <f>IF(AB43&lt;&gt;"",E43*(1+IF(AC43&gt;4,0.1,LOOKUP(Info!$C$10,Rates!$D$2:$D$5,Rates!$B$2:$B$5))*LOOKUP(Info!$C$8,Rates!$I$2:$I$7,Rates!$G$2:$G$7))+D42*(1+IF(AC43&gt;4,0.1,LOOKUP(Info!$C$10,Rates!$D$2:$D$5,Rates!$B$2:$B$5))),"")</f>
        <v/>
      </c>
      <c r="E43" s="236">
        <f>IF(AB43&lt;&gt;"",IF(Info!$C$16="بله",IF(AND(AC43&lt;=Info!$F$20,AC43&gt;=Info!$I$20),Info!$C$20,0)+(Z43-S43-I43-H43-G43-F43-L43),IF(AND(AC43&lt;=Info!$F$20,AC43&gt;=Info!$I$20),Info!$C$20,0)+(Z43-S43-I43-H43-G43-F43)),"")</f>
        <v/>
      </c>
      <c r="F43" s="236">
        <f>IF(AB43&lt;&gt;"",0.03*(H43+I43+S43+L43),"")</f>
        <v/>
      </c>
      <c r="G43" s="236">
        <f>IF(AB43&lt;&gt;"",0.06*(H43+I43+S43+L43),"")</f>
        <v/>
      </c>
      <c r="H43" s="237">
        <f>IF(M43="",0,M43)+IF(N43="",0,N43)+IF(O43="",0,O43)</f>
        <v/>
      </c>
      <c r="I43" s="242" t="n">
        <v>0</v>
      </c>
      <c r="J43" s="242">
        <f>IF(AB43&lt;&gt;"",K43/((1+10/100)^(AC43-1)),"")</f>
        <v/>
      </c>
      <c r="K43" s="236">
        <f>IF(U43&lt;&gt;"",Info!$L$20*U43,"")</f>
        <v/>
      </c>
      <c r="L43" s="243">
        <f>IF(P43="",0,P43)+IF(Q43="",0,Q43)</f>
        <v/>
      </c>
      <c r="M43" s="244">
        <f>IF(Z43&lt;&gt;"",5/100*Z43,"")</f>
        <v/>
      </c>
      <c r="N43" s="244" t="n">
        <v>0</v>
      </c>
      <c r="O43" s="244">
        <f>IF(Z43&lt;&gt;"",0.02*Z43*(1-Info!$F$25),"")</f>
        <v/>
      </c>
      <c r="P43" s="243">
        <f>IF(AND(AB43&lt;=70,W43&lt;&gt;""),(1-Info!$I$27)*((W43*0.0008*(1+(LOOKUP(Info!$I$18,Rates!$O:$O,Rates!$M:$M)/100)))+((Y43*0.0008*Info!$L$14))*(1+(LOOKUP(Info!$I$18,Rates!$O:$O,Rates!$N:$N)/100))),"")</f>
        <v/>
      </c>
      <c r="Q43" s="239">
        <f>IF(AB43&lt;=60,(LOOKUP(AB43,Rates!$T:$T,Rates!#REF!))*V43/1000000*(1+Info!$L$20)*(1-Info!$I$29),"")</f>
        <v/>
      </c>
      <c r="R43" s="42">
        <f>IF(AND(Z43&lt;&gt;"",Q43&lt;&gt;"",P43&lt;&gt;""),IF(Info!$C$16="بله",(Z43-Q43-P43),Z43),"")</f>
        <v/>
      </c>
      <c r="S43" s="236" t="n">
        <v>0</v>
      </c>
      <c r="T43" s="236">
        <f>IF(AB43&lt;&gt;"",U43/((1+10/100)^(AC43-1)),"")</f>
        <v/>
      </c>
      <c r="U43" s="236">
        <f>IF(AB43&lt;&gt;"",(Y43*LOOKUP(AB43,Rates!$T:$T,Rates!$S:$S))/SQRT(1.1),"")</f>
        <v/>
      </c>
      <c r="V43" s="245">
        <f>IF(AND(AB43&lt;&gt;"",AB43&lt;=60),IF(V42*(1+Info!$F$10)&lt;300000000,V42*(1+Info!$F$10),300000000),"")</f>
        <v/>
      </c>
      <c r="W43" s="240">
        <f>IF(AND(AB43&lt;&gt;"",AB43&lt;=60),Y43*Info!$L$16,"")</f>
        <v/>
      </c>
      <c r="X43" s="245">
        <f>IF(AND(AB43&lt;&gt;"",AB43&lt;=70),Y43*(1+Info!$L$14),"")</f>
        <v/>
      </c>
      <c r="Y43" s="245">
        <f>IF(AB43&lt;&gt;"",(1+Info!$F$10)*Y42,"")</f>
        <v/>
      </c>
      <c r="Z43" s="42" t="n">
        <v>0</v>
      </c>
      <c r="AA43" s="57">
        <f>IF(AC43&lt;&gt;"",Info!$C$6+AC43-1,"")</f>
        <v/>
      </c>
      <c r="AB43" s="57">
        <f>IF(AC43&lt;&gt;"",Info!$F$6+AC43-1,"")</f>
        <v/>
      </c>
      <c r="AC43" s="57">
        <f>IF(AC42&lt;&gt;"",IF(AC42+1&lt;=Info!$I$6,AC42+1,""),"")</f>
        <v/>
      </c>
      <c r="AD43" s="241" t="n"/>
      <c r="AE43" s="241" t="n"/>
    </row>
    <row r="44">
      <c r="A44" s="51" t="n">
        <v>0</v>
      </c>
      <c r="B44" s="51">
        <f>IF(AB44&lt;&gt;"",E44+E44*(IF(AC44&gt;4,0.1,LOOKUP(Info!$C$10,Rates!$D$2:$D$4,Rates!$C$2:$C$4))+0.85*(Info!$I$22-(IF(AC44&gt;4,0.1,LOOKUP(Info!$C$10,Rates!$D$2:$D$4,Rates!$C$2:$C$4)))))*LOOKUP(Info!$C$8,Rates!$I$2:$I$7,Rates!$G$2:$G$7)+B43*(1+IF(AC44&gt;4,0.1,LOOKUP(Info!$C$10,Rates!$D$2:$D$4,Rates!$C$2:$C$4))+0.85*(Info!$I$22-IF(AC44&gt;4,0.1,LOOKUP(Info!$C$10,Rates!$D$2:$D$4,Rates!$C$2:$C$4)))),"")</f>
        <v/>
      </c>
      <c r="C44" s="242">
        <f>IF(AB44&lt;&gt;"",D44,"")</f>
        <v/>
      </c>
      <c r="D44" s="53">
        <f>IF(AB44&lt;&gt;"",E44*(1+IF(AC44&gt;4,0.1,LOOKUP(Info!$C$10,Rates!$D$2:$D$5,Rates!$B$2:$B$5))*LOOKUP(Info!$C$8,Rates!$I$2:$I$7,Rates!$G$2:$G$7))+D43*(1+IF(AC44&gt;4,0.1,LOOKUP(Info!$C$10,Rates!$D$2:$D$5,Rates!$B$2:$B$5))),"")</f>
        <v/>
      </c>
      <c r="E44" s="236">
        <f>IF(AB44&lt;&gt;"",IF(Info!$C$16="بله",IF(AND(AC44&lt;=Info!$F$20,AC44&gt;=Info!$I$20),Info!$C$20,0)+(Z44-S44-I44-H44-G44-F44-L44),IF(AND(AC44&lt;=Info!$F$20,AC44&gt;=Info!$I$20),Info!$C$20,0)+(Z44-S44-I44-H44-G44-F44)),"")</f>
        <v/>
      </c>
      <c r="F44" s="236">
        <f>IF(AB44&lt;&gt;"",0.03*(H44+I44+S44+L44),"")</f>
        <v/>
      </c>
      <c r="G44" s="236">
        <f>IF(AB44&lt;&gt;"",0.06*(H44+I44+S44+L44),"")</f>
        <v/>
      </c>
      <c r="H44" s="237">
        <f>IF(M44="",0,M44)+IF(N44="",0,N44)+IF(O44="",0,O44)</f>
        <v/>
      </c>
      <c r="I44" s="242" t="n">
        <v>0</v>
      </c>
      <c r="J44" s="242">
        <f>IF(AB44&lt;&gt;"",K44/((1+10/100)^(AC44-1)),"")</f>
        <v/>
      </c>
      <c r="K44" s="236">
        <f>IF(U44&lt;&gt;"",Info!$L$20*U44,"")</f>
        <v/>
      </c>
      <c r="L44" s="243">
        <f>IF(P44="",0,P44)+IF(Q44="",0,Q44)</f>
        <v/>
      </c>
      <c r="M44" s="244">
        <f>IF(Z44&lt;&gt;"",5/100*Z44,"")</f>
        <v/>
      </c>
      <c r="N44" s="244" t="n">
        <v>0</v>
      </c>
      <c r="O44" s="244">
        <f>IF(Z44&lt;&gt;"",0.02*Z44*(1-Info!$F$25),"")</f>
        <v/>
      </c>
      <c r="P44" s="243">
        <f>IF(AND(AB44&lt;=70,W44&lt;&gt;""),(1-Info!$I$27)*((W44*0.0008*(1+(LOOKUP(Info!$I$18,Rates!$O:$O,Rates!$M:$M)/100)))+((Y44*0.0008*Info!$L$14))*(1+(LOOKUP(Info!$I$18,Rates!$O:$O,Rates!$N:$N)/100))),"")</f>
        <v/>
      </c>
      <c r="Q44" s="239">
        <f>IF(AB44&lt;=60,(LOOKUP(AB44,Rates!$T:$T,Rates!#REF!))*V44/1000000*(1+Info!$L$20)*(1-Info!$I$29),"")</f>
        <v/>
      </c>
      <c r="R44" s="42">
        <f>IF(AND(Z44&lt;&gt;"",Q44&lt;&gt;"",P44&lt;&gt;""),IF(Info!$C$16="بله",(Z44-Q44-P44),Z44),"")</f>
        <v/>
      </c>
      <c r="S44" s="236" t="n">
        <v>0</v>
      </c>
      <c r="T44" s="236">
        <f>IF(AB44&lt;&gt;"",U44/((1+10/100)^(AC44-1)),"")</f>
        <v/>
      </c>
      <c r="U44" s="236">
        <f>IF(AB44&lt;&gt;"",(Y44*LOOKUP(AB44,Rates!$T:$T,Rates!$S:$S))/SQRT(1.1),"")</f>
        <v/>
      </c>
      <c r="V44" s="245">
        <f>IF(AND(AB44&lt;&gt;"",AB44&lt;=60),IF(V43*(1+Info!$F$10)&lt;300000000,V43*(1+Info!$F$10),300000000),"")</f>
        <v/>
      </c>
      <c r="W44" s="240">
        <f>IF(AND(AB44&lt;&gt;"",AB44&lt;=60),Y44*Info!$L$16,"")</f>
        <v/>
      </c>
      <c r="X44" s="245">
        <f>IF(AND(AB44&lt;&gt;"",AB44&lt;=70),Y44*(1+Info!$L$14),"")</f>
        <v/>
      </c>
      <c r="Y44" s="245">
        <f>IF(AB44&lt;&gt;"",(1+Info!$F$10)*Y43,"")</f>
        <v/>
      </c>
      <c r="Z44" s="42" t="n">
        <v>0</v>
      </c>
      <c r="AA44" s="57">
        <f>IF(AC44&lt;&gt;"",Info!$C$6+AC44-1,"")</f>
        <v/>
      </c>
      <c r="AB44" s="57">
        <f>IF(AC44&lt;&gt;"",Info!$F$6+AC44-1,"")</f>
        <v/>
      </c>
      <c r="AC44" s="57">
        <f>IF(AC43&lt;&gt;"",IF(AC43+1&lt;=Info!$I$6,AC43+1,""),"")</f>
        <v/>
      </c>
      <c r="AD44" s="241" t="n"/>
      <c r="AE44" s="241" t="n"/>
    </row>
    <row r="45">
      <c r="A45" s="51" t="n">
        <v>0</v>
      </c>
      <c r="B45" s="51">
        <f>IF(AB45&lt;&gt;"",E45+E45*(IF(AC45&gt;4,0.1,LOOKUP(Info!$C$10,Rates!$D$2:$D$4,Rates!$C$2:$C$4))+0.85*(Info!$I$22-(IF(AC45&gt;4,0.1,LOOKUP(Info!$C$10,Rates!$D$2:$D$4,Rates!$C$2:$C$4)))))*LOOKUP(Info!$C$8,Rates!$I$2:$I$7,Rates!$G$2:$G$7)+B44*(1+IF(AC45&gt;4,0.1,LOOKUP(Info!$C$10,Rates!$D$2:$D$4,Rates!$C$2:$C$4))+0.85*(Info!$I$22-IF(AC45&gt;4,0.1,LOOKUP(Info!$C$10,Rates!$D$2:$D$4,Rates!$C$2:$C$4)))),"")</f>
        <v/>
      </c>
      <c r="C45" s="242">
        <f>IF(AB45&lt;&gt;"",D45,"")</f>
        <v/>
      </c>
      <c r="D45" s="53">
        <f>IF(AB45&lt;&gt;"",E45*(1+IF(AC45&gt;4,0.1,LOOKUP(Info!$C$10,Rates!$D$2:$D$5,Rates!$B$2:$B$5))*LOOKUP(Info!$C$8,Rates!$I$2:$I$7,Rates!$G$2:$G$7))+D44*(1+IF(AC45&gt;4,0.1,LOOKUP(Info!$C$10,Rates!$D$2:$D$5,Rates!$B$2:$B$5))),"")</f>
        <v/>
      </c>
      <c r="E45" s="236">
        <f>IF(AB45&lt;&gt;"",IF(Info!$C$16="بله",IF(AND(AC45&lt;=Info!$F$20,AC45&gt;=Info!$I$20),Info!$C$20,0)+(Z45-S45-I45-H45-G45-F45-L45),IF(AND(AC45&lt;=Info!$F$20,AC45&gt;=Info!$I$20),Info!$C$20,0)+(Z45-S45-I45-H45-G45-F45)),"")</f>
        <v/>
      </c>
      <c r="F45" s="236">
        <f>IF(AB45&lt;&gt;"",0.03*(H45+I45+S45+L45),"")</f>
        <v/>
      </c>
      <c r="G45" s="236">
        <f>IF(AB45&lt;&gt;"",0.06*(H45+I45+S45+L45),"")</f>
        <v/>
      </c>
      <c r="H45" s="237">
        <f>IF(M45="",0,M45)+IF(N45="",0,N45)+IF(O45="",0,O45)</f>
        <v/>
      </c>
      <c r="I45" s="242" t="n">
        <v>0</v>
      </c>
      <c r="J45" s="242">
        <f>IF(AB45&lt;&gt;"",K45/((1+10/100)^(AC45-1)),"")</f>
        <v/>
      </c>
      <c r="K45" s="236">
        <f>IF(U45&lt;&gt;"",Info!$L$20*U45,"")</f>
        <v/>
      </c>
      <c r="L45" s="243">
        <f>IF(P45="",0,P45)+IF(Q45="",0,Q45)</f>
        <v/>
      </c>
      <c r="M45" s="244">
        <f>IF(Z45&lt;&gt;"",5/100*Z45,"")</f>
        <v/>
      </c>
      <c r="N45" s="244" t="n">
        <v>0</v>
      </c>
      <c r="O45" s="244">
        <f>IF(Z45&lt;&gt;"",0.02*Z45*(1-Info!$F$25),"")</f>
        <v/>
      </c>
      <c r="P45" s="243">
        <f>IF(AND(AB45&lt;=70,W45&lt;&gt;""),(1-Info!$I$27)*((W45*0.0008*(1+(LOOKUP(Info!$I$18,Rates!$O:$O,Rates!$M:$M)/100)))+((Y45*0.0008*Info!$L$14))*(1+(LOOKUP(Info!$I$18,Rates!$O:$O,Rates!$N:$N)/100))),"")</f>
        <v/>
      </c>
      <c r="Q45" s="239">
        <f>IF(AB45&lt;=60,(LOOKUP(AB45,Rates!$T:$T,Rates!#REF!))*V45/1000000*(1+Info!$L$20)*(1-Info!$I$29),"")</f>
        <v/>
      </c>
      <c r="R45" s="42">
        <f>IF(AND(Z45&lt;&gt;"",Q45&lt;&gt;"",P45&lt;&gt;""),IF(Info!$C$16="بله",(Z45-Q45-P45),Z45),"")</f>
        <v/>
      </c>
      <c r="S45" s="236" t="n">
        <v>0</v>
      </c>
      <c r="T45" s="236">
        <f>IF(AB45&lt;&gt;"",U45/((1+10/100)^(AC45-1)),"")</f>
        <v/>
      </c>
      <c r="U45" s="236">
        <f>IF(AB45&lt;&gt;"",(Y45*LOOKUP(AB45,Rates!$T:$T,Rates!$S:$S))/SQRT(1.1),"")</f>
        <v/>
      </c>
      <c r="V45" s="245">
        <f>IF(AND(AB45&lt;&gt;"",AB45&lt;=60),IF(V44*(1+Info!$F$10)&lt;300000000,V44*(1+Info!$F$10),300000000),"")</f>
        <v/>
      </c>
      <c r="W45" s="240">
        <f>IF(AND(AB45&lt;&gt;"",AB45&lt;=60),Y45*Info!$L$16,"")</f>
        <v/>
      </c>
      <c r="X45" s="245">
        <f>IF(AND(AB45&lt;&gt;"",AB45&lt;=70),Y45*(1+Info!$L$14),"")</f>
        <v/>
      </c>
      <c r="Y45" s="245">
        <f>IF(AB45&lt;&gt;"",(1+Info!$F$10)*Y44,"")</f>
        <v/>
      </c>
      <c r="Z45" s="42" t="n">
        <v>0</v>
      </c>
      <c r="AA45" s="57">
        <f>IF(AC45&lt;&gt;"",Info!$C$6+AC45-1,"")</f>
        <v/>
      </c>
      <c r="AB45" s="57">
        <f>IF(AC45&lt;&gt;"",Info!$F$6+AC45-1,"")</f>
        <v/>
      </c>
      <c r="AC45" s="57">
        <f>IF(AC44&lt;&gt;"",IF(AC44+1&lt;=Info!$I$6,AC44+1,""),"")</f>
        <v/>
      </c>
      <c r="AD45" s="241" t="n"/>
      <c r="AE45" s="241" t="n"/>
    </row>
    <row r="46">
      <c r="A46" s="51" t="n">
        <v>0</v>
      </c>
      <c r="B46" s="51">
        <f>IF(AB46&lt;&gt;"",E46+E46*(IF(AC46&gt;4,0.1,LOOKUP(Info!$C$10,Rates!$D$2:$D$4,Rates!$C$2:$C$4))+0.85*(Info!$I$22-(IF(AC46&gt;4,0.1,LOOKUP(Info!$C$10,Rates!$D$2:$D$4,Rates!$C$2:$C$4)))))*LOOKUP(Info!$C$8,Rates!$I$2:$I$7,Rates!$G$2:$G$7)+B45*(1+IF(AC46&gt;4,0.1,LOOKUP(Info!$C$10,Rates!$D$2:$D$4,Rates!$C$2:$C$4))+0.85*(Info!$I$22-IF(AC46&gt;4,0.1,LOOKUP(Info!$C$10,Rates!$D$2:$D$4,Rates!$C$2:$C$4)))),"")</f>
        <v/>
      </c>
      <c r="C46" s="242">
        <f>IF(AB46&lt;&gt;"",D46,"")</f>
        <v/>
      </c>
      <c r="D46" s="53">
        <f>IF(AB46&lt;&gt;"",E46*(1+IF(AC46&gt;4,0.1,LOOKUP(Info!$C$10,Rates!$D$2:$D$5,Rates!$B$2:$B$5))*LOOKUP(Info!$C$8,Rates!$I$2:$I$7,Rates!$G$2:$G$7))+D45*(1+IF(AC46&gt;4,0.1,LOOKUP(Info!$C$10,Rates!$D$2:$D$5,Rates!$B$2:$B$5))),"")</f>
        <v/>
      </c>
      <c r="E46" s="236">
        <f>IF(AB46&lt;&gt;"",IF(Info!$C$16="بله",IF(AND(AC46&lt;=Info!$F$20,AC46&gt;=Info!$I$20),Info!$C$20,0)+(Z46-S46-I46-H46-G46-F46-L46),IF(AND(AC46&lt;=Info!$F$20,AC46&gt;=Info!$I$20),Info!$C$20,0)+(Z46-S46-I46-H46-G46-F46)),"")</f>
        <v/>
      </c>
      <c r="F46" s="236">
        <f>IF(AB46&lt;&gt;"",0.03*(H46+I46+S46+L46),"")</f>
        <v/>
      </c>
      <c r="G46" s="236">
        <f>IF(AB46&lt;&gt;"",0.06*(H46+I46+S46+L46),"")</f>
        <v/>
      </c>
      <c r="H46" s="237">
        <f>IF(M46="",0,M46)+IF(N46="",0,N46)+IF(O46="",0,O46)</f>
        <v/>
      </c>
      <c r="I46" s="242" t="n">
        <v>0</v>
      </c>
      <c r="J46" s="242">
        <f>IF(AB46&lt;&gt;"",K46/((1+10/100)^(AC46-1)),"")</f>
        <v/>
      </c>
      <c r="K46" s="236">
        <f>IF(U46&lt;&gt;"",Info!$L$20*U46,"")</f>
        <v/>
      </c>
      <c r="L46" s="243">
        <f>IF(P46="",0,P46)+IF(Q46="",0,Q46)</f>
        <v/>
      </c>
      <c r="M46" s="244">
        <f>IF(Z46&lt;&gt;"",5/100*Z46,"")</f>
        <v/>
      </c>
      <c r="N46" s="244" t="n">
        <v>0</v>
      </c>
      <c r="O46" s="244">
        <f>IF(Z46&lt;&gt;"",0.02*Z46*(1-Info!$F$25),"")</f>
        <v/>
      </c>
      <c r="P46" s="243">
        <f>IF(AND(AB46&lt;=70,W46&lt;&gt;""),(1-Info!$I$27)*((W46*0.0008*(1+(LOOKUP(Info!$I$18,Rates!$O:$O,Rates!$M:$M)/100)))+((Y46*0.0008*Info!$L$14))*(1+(LOOKUP(Info!$I$18,Rates!$O:$O,Rates!$N:$N)/100))),"")</f>
        <v/>
      </c>
      <c r="Q46" s="239">
        <f>IF(AB46&lt;=60,(LOOKUP(AB46,Rates!$T:$T,Rates!#REF!))*V46/1000000*(1+Info!$L$20)*(1-Info!$I$29),"")</f>
        <v/>
      </c>
      <c r="R46" s="42">
        <f>IF(AND(Z46&lt;&gt;"",Q46&lt;&gt;"",P46&lt;&gt;""),IF(Info!$C$16="بله",(Z46-Q46-P46),Z46),"")</f>
        <v/>
      </c>
      <c r="S46" s="236" t="n">
        <v>0</v>
      </c>
      <c r="T46" s="236">
        <f>IF(AB46&lt;&gt;"",U46/((1+10/100)^(AC46-1)),"")</f>
        <v/>
      </c>
      <c r="U46" s="236">
        <f>IF(AB46&lt;&gt;"",(Y46*LOOKUP(AB46,Rates!$T:$T,Rates!$S:$S))/SQRT(1.1),"")</f>
        <v/>
      </c>
      <c r="V46" s="245">
        <f>IF(AND(AB46&lt;&gt;"",AB46&lt;=60),IF(V45*(1+Info!$F$10)&lt;300000000,V45*(1+Info!$F$10),300000000),"")</f>
        <v/>
      </c>
      <c r="W46" s="240">
        <f>IF(AND(AB46&lt;&gt;"",AB46&lt;=60),Y46*Info!$L$16,"")</f>
        <v/>
      </c>
      <c r="X46" s="245">
        <f>IF(AND(AB46&lt;&gt;"",AB46&lt;=70),Y46*(1+Info!$L$14),"")</f>
        <v/>
      </c>
      <c r="Y46" s="245">
        <f>IF(AB46&lt;&gt;"",(1+Info!$F$10)*Y45,"")</f>
        <v/>
      </c>
      <c r="Z46" s="42" t="n">
        <v>0</v>
      </c>
      <c r="AA46" s="57">
        <f>IF(AC46&lt;&gt;"",Info!$C$6+AC46-1,"")</f>
        <v/>
      </c>
      <c r="AB46" s="57">
        <f>IF(AC46&lt;&gt;"",Info!$F$6+AC46-1,"")</f>
        <v/>
      </c>
      <c r="AC46" s="57">
        <f>IF(AC45&lt;&gt;"",IF(AC45+1&lt;=Info!$I$6,AC45+1,""),"")</f>
        <v/>
      </c>
      <c r="AD46" s="241" t="n"/>
      <c r="AE46" s="241" t="n"/>
    </row>
    <row r="47">
      <c r="A47" s="51" t="n">
        <v>0</v>
      </c>
      <c r="B47" s="51">
        <f>IF(AB47&lt;&gt;"",E47+E47*(IF(AC47&gt;4,0.1,LOOKUP(Info!$C$10,Rates!$D$2:$D$4,Rates!$C$2:$C$4))+0.85*(Info!$I$22-(IF(AC47&gt;4,0.1,LOOKUP(Info!$C$10,Rates!$D$2:$D$4,Rates!$C$2:$C$4)))))*LOOKUP(Info!$C$8,Rates!$I$2:$I$7,Rates!$G$2:$G$7)+B46*(1+IF(AC47&gt;4,0.1,LOOKUP(Info!$C$10,Rates!$D$2:$D$4,Rates!$C$2:$C$4))+0.85*(Info!$I$22-IF(AC47&gt;4,0.1,LOOKUP(Info!$C$10,Rates!$D$2:$D$4,Rates!$C$2:$C$4)))),"")</f>
        <v/>
      </c>
      <c r="C47" s="242">
        <f>IF(AB47&lt;&gt;"",D47,"")</f>
        <v/>
      </c>
      <c r="D47" s="53">
        <f>IF(AB47&lt;&gt;"",E47*(1+IF(AC47&gt;4,0.1,LOOKUP(Info!$C$10,Rates!$D$2:$D$5,Rates!$B$2:$B$5))*LOOKUP(Info!$C$8,Rates!$I$2:$I$7,Rates!$G$2:$G$7))+D46*(1+IF(AC47&gt;4,0.1,LOOKUP(Info!$C$10,Rates!$D$2:$D$5,Rates!$B$2:$B$5))),"")</f>
        <v/>
      </c>
      <c r="E47" s="236">
        <f>IF(AB47&lt;&gt;"",IF(Info!$C$16="بله",IF(AND(AC47&lt;=Info!$F$20,AC47&gt;=Info!$I$20),Info!$C$20,0)+(Z47-S47-I47-H47-G47-F47-L47),IF(AND(AC47&lt;=Info!$F$20,AC47&gt;=Info!$I$20),Info!$C$20,0)+(Z47-S47-I47-H47-G47-F47)),"")</f>
        <v/>
      </c>
      <c r="F47" s="236">
        <f>IF(AB47&lt;&gt;"",0.03*(H47+I47+S47+L47),"")</f>
        <v/>
      </c>
      <c r="G47" s="236">
        <f>IF(AB47&lt;&gt;"",0.06*(H47+I47+S47+L47),"")</f>
        <v/>
      </c>
      <c r="H47" s="237">
        <f>IF(M47="",0,M47)+IF(N47="",0,N47)+IF(O47="",0,O47)</f>
        <v/>
      </c>
      <c r="I47" s="242" t="n">
        <v>0</v>
      </c>
      <c r="J47" s="242">
        <f>IF(AB47&lt;&gt;"",K47/((1+10/100)^(AC47-1)),"")</f>
        <v/>
      </c>
      <c r="K47" s="236">
        <f>IF(U47&lt;&gt;"",Info!$L$20*U47,"")</f>
        <v/>
      </c>
      <c r="L47" s="243">
        <f>IF(P47="",0,P47)+IF(Q47="",0,Q47)</f>
        <v/>
      </c>
      <c r="M47" s="244">
        <f>IF(Z47&lt;&gt;"",5/100*Z47,"")</f>
        <v/>
      </c>
      <c r="N47" s="244" t="n">
        <v>0</v>
      </c>
      <c r="O47" s="244">
        <f>IF(Z47&lt;&gt;"",0.02*Z47*(1-Info!$F$25),"")</f>
        <v/>
      </c>
      <c r="P47" s="243">
        <f>IF(AND(AB47&lt;=70,W47&lt;&gt;""),(1-Info!$I$27)*((W47*0.0008*(1+(LOOKUP(Info!$I$18,Rates!$O:$O,Rates!$M:$M)/100)))+((Y47*0.0008*Info!$L$14))*(1+(LOOKUP(Info!$I$18,Rates!$O:$O,Rates!$N:$N)/100))),"")</f>
        <v/>
      </c>
      <c r="Q47" s="239">
        <f>IF(AB47&lt;=60,(LOOKUP(AB47,Rates!$T:$T,Rates!#REF!))*V47/1000000*(1+Info!$L$20)*(1-Info!$I$29),"")</f>
        <v/>
      </c>
      <c r="R47" s="42">
        <f>IF(AND(Z47&lt;&gt;"",Q47&lt;&gt;"",P47&lt;&gt;""),IF(Info!$C$16="بله",(Z47-Q47-P47),Z47),"")</f>
        <v/>
      </c>
      <c r="S47" s="236" t="n">
        <v>0</v>
      </c>
      <c r="T47" s="236">
        <f>IF(AB47&lt;&gt;"",U47/((1+10/100)^(AC47-1)),"")</f>
        <v/>
      </c>
      <c r="U47" s="236">
        <f>IF(AB47&lt;&gt;"",(Y47*LOOKUP(AB47,Rates!$T:$T,Rates!$S:$S))/SQRT(1.1),"")</f>
        <v/>
      </c>
      <c r="V47" s="245">
        <f>IF(AND(AB47&lt;&gt;"",AB47&lt;=60),IF(V46*(1+Info!$F$10)&lt;300000000,V46*(1+Info!$F$10),300000000),"")</f>
        <v/>
      </c>
      <c r="W47" s="240">
        <f>IF(AND(AB47&lt;&gt;"",AB47&lt;=60),Y47*Info!$L$16,"")</f>
        <v/>
      </c>
      <c r="X47" s="245">
        <f>IF(AND(AB47&lt;&gt;"",AB47&lt;=70),Y47*(1+Info!$L$14),"")</f>
        <v/>
      </c>
      <c r="Y47" s="245">
        <f>IF(AB47&lt;&gt;"",(1+Info!$F$10)*Y46,"")</f>
        <v/>
      </c>
      <c r="Z47" s="42" t="n">
        <v>0</v>
      </c>
      <c r="AA47" s="57">
        <f>IF(AC47&lt;&gt;"",Info!$C$6+AC47-1,"")</f>
        <v/>
      </c>
      <c r="AB47" s="57">
        <f>IF(AC47&lt;&gt;"",Info!$F$6+AC47-1,"")</f>
        <v/>
      </c>
      <c r="AC47" s="57">
        <f>IF(AC46&lt;&gt;"",IF(AC46+1&lt;=Info!$I$6,AC46+1,""),"")</f>
        <v/>
      </c>
      <c r="AD47" s="241" t="n"/>
      <c r="AE47" s="241" t="n"/>
    </row>
    <row r="48">
      <c r="A48" s="51" t="n">
        <v>0</v>
      </c>
      <c r="B48" s="51">
        <f>IF(AB48&lt;&gt;"",E48+E48*(IF(AC48&gt;4,0.1,LOOKUP(Info!$C$10,Rates!$D$2:$D$4,Rates!$C$2:$C$4))+0.85*(Info!$I$22-(IF(AC48&gt;4,0.1,LOOKUP(Info!$C$10,Rates!$D$2:$D$4,Rates!$C$2:$C$4)))))*LOOKUP(Info!$C$8,Rates!$I$2:$I$7,Rates!$G$2:$G$7)+B47*(1+IF(AC48&gt;4,0.1,LOOKUP(Info!$C$10,Rates!$D$2:$D$4,Rates!$C$2:$C$4))+0.85*(Info!$I$22-IF(AC48&gt;4,0.1,LOOKUP(Info!$C$10,Rates!$D$2:$D$4,Rates!$C$2:$C$4)))),"")</f>
        <v/>
      </c>
      <c r="C48" s="242">
        <f>IF(AB48&lt;&gt;"",D48,"")</f>
        <v/>
      </c>
      <c r="D48" s="53">
        <f>IF(AB48&lt;&gt;"",E48*(1+IF(AC48&gt;4,0.1,LOOKUP(Info!$C$10,Rates!$D$2:$D$5,Rates!$B$2:$B$5))*LOOKUP(Info!$C$8,Rates!$I$2:$I$7,Rates!$G$2:$G$7))+D47*(1+IF(AC48&gt;4,0.1,LOOKUP(Info!$C$10,Rates!$D$2:$D$5,Rates!$B$2:$B$5))),"")</f>
        <v/>
      </c>
      <c r="E48" s="236">
        <f>IF(AB48&lt;&gt;"",IF(Info!$C$16="بله",IF(AND(AC48&lt;=Info!$F$20,AC48&gt;=Info!$I$20),Info!$C$20,0)+(Z48-S48-I48-H48-G48-F48-L48),IF(AND(AC48&lt;=Info!$F$20,AC48&gt;=Info!$I$20),Info!$C$20,0)+(Z48-S48-I48-H48-G48-F48)),"")</f>
        <v/>
      </c>
      <c r="F48" s="236">
        <f>IF(AB48&lt;&gt;"",0.03*(H48+I48+S48+L48),"")</f>
        <v/>
      </c>
      <c r="G48" s="236">
        <f>IF(AB48&lt;&gt;"",0.06*(H48+I48+S48+L48),"")</f>
        <v/>
      </c>
      <c r="H48" s="237">
        <f>IF(M48="",0,M48)+IF(N48="",0,N48)+IF(O48="",0,O48)</f>
        <v/>
      </c>
      <c r="I48" s="242" t="n">
        <v>0</v>
      </c>
      <c r="J48" s="242">
        <f>IF(AB48&lt;&gt;"",K48/((1+10/100)^(AC48-1)),"")</f>
        <v/>
      </c>
      <c r="K48" s="236">
        <f>IF(U48&lt;&gt;"",Info!$L$20*U48,"")</f>
        <v/>
      </c>
      <c r="L48" s="243">
        <f>IF(P48="",0,P48)+IF(Q48="",0,Q48)</f>
        <v/>
      </c>
      <c r="M48" s="244">
        <f>IF(Z48&lt;&gt;"",5/100*Z48,"")</f>
        <v/>
      </c>
      <c r="N48" s="244" t="n">
        <v>0</v>
      </c>
      <c r="O48" s="244">
        <f>IF(Z48&lt;&gt;"",0.02*Z48*(1-Info!$F$25),"")</f>
        <v/>
      </c>
      <c r="P48" s="243">
        <f>IF(AND(AB48&lt;=70,W48&lt;&gt;""),(1-Info!$I$27)*((W48*0.0008*(1+(LOOKUP(Info!$I$18,Rates!$O:$O,Rates!$M:$M)/100)))+((Y48*0.0008*Info!$L$14))*(1+(LOOKUP(Info!$I$18,Rates!$O:$O,Rates!$N:$N)/100))),"")</f>
        <v/>
      </c>
      <c r="Q48" s="239">
        <f>IF(AB48&lt;=60,(LOOKUP(AB48,Rates!$T:$T,Rates!#REF!))*V48/1000000*(1+Info!$L$20)*(1-Info!$I$29),"")</f>
        <v/>
      </c>
      <c r="R48" s="42">
        <f>IF(AND(Z48&lt;&gt;"",Q48&lt;&gt;"",P48&lt;&gt;""),IF(Info!$C$16="بله",(Z48-Q48-P48),Z48),"")</f>
        <v/>
      </c>
      <c r="S48" s="236" t="n">
        <v>0</v>
      </c>
      <c r="T48" s="236">
        <f>IF(AB48&lt;&gt;"",U48/((1+10/100)^(AC48-1)),"")</f>
        <v/>
      </c>
      <c r="U48" s="236">
        <f>IF(AB48&lt;&gt;"",(Y48*LOOKUP(AB48,Rates!$T:$T,Rates!$S:$S))/SQRT(1.1),"")</f>
        <v/>
      </c>
      <c r="V48" s="245">
        <f>IF(AND(AB48&lt;&gt;"",AB48&lt;=60),IF(V47*(1+Info!$F$10)&lt;300000000,V47*(1+Info!$F$10),300000000),"")</f>
        <v/>
      </c>
      <c r="W48" s="240">
        <f>IF(AND(AB48&lt;&gt;"",AB48&lt;=60),Y48*Info!$L$16,"")</f>
        <v/>
      </c>
      <c r="X48" s="245">
        <f>IF(AND(AB48&lt;&gt;"",AB48&lt;=70),Y48*(1+Info!$L$14),"")</f>
        <v/>
      </c>
      <c r="Y48" s="245">
        <f>IF(AB48&lt;&gt;"",(1+Info!$F$10)*Y47,"")</f>
        <v/>
      </c>
      <c r="Z48" s="42" t="n">
        <v>0</v>
      </c>
      <c r="AA48" s="57">
        <f>IF(AC48&lt;&gt;"",Info!$C$6+AC48-1,"")</f>
        <v/>
      </c>
      <c r="AB48" s="57">
        <f>IF(AC48&lt;&gt;"",Info!$F$6+AC48-1,"")</f>
        <v/>
      </c>
      <c r="AC48" s="57">
        <f>IF(AC47&lt;&gt;"",IF(AC47+1&lt;=Info!$I$6,AC47+1,""),"")</f>
        <v/>
      </c>
      <c r="AD48" s="241" t="n"/>
      <c r="AE48" s="241" t="n"/>
    </row>
    <row r="49">
      <c r="A49" s="51" t="n">
        <v>0</v>
      </c>
      <c r="B49" s="51">
        <f>IF(AB49&lt;&gt;"",E49+E49*(IF(AC49&gt;4,0.1,LOOKUP(Info!$C$10,Rates!$D$2:$D$4,Rates!$C$2:$C$4))+0.85*(Info!$I$22-(IF(AC49&gt;4,0.1,LOOKUP(Info!$C$10,Rates!$D$2:$D$4,Rates!$C$2:$C$4)))))*LOOKUP(Info!$C$8,Rates!$I$2:$I$7,Rates!$G$2:$G$7)+B48*(1+IF(AC49&gt;4,0.1,LOOKUP(Info!$C$10,Rates!$D$2:$D$4,Rates!$C$2:$C$4))+0.85*(Info!$I$22-IF(AC49&gt;4,0.1,LOOKUP(Info!$C$10,Rates!$D$2:$D$4,Rates!$C$2:$C$4)))),"")</f>
        <v/>
      </c>
      <c r="C49" s="242">
        <f>IF(AB49&lt;&gt;"",D49,"")</f>
        <v/>
      </c>
      <c r="D49" s="53">
        <f>IF(AB49&lt;&gt;"",E49*(1+IF(AC49&gt;4,0.1,LOOKUP(Info!$C$10,Rates!$D$2:$D$5,Rates!$B$2:$B$5))*LOOKUP(Info!$C$8,Rates!$I$2:$I$7,Rates!$G$2:$G$7))+D48*(1+IF(AC49&gt;4,0.1,LOOKUP(Info!$C$10,Rates!$D$2:$D$5,Rates!$B$2:$B$5))),"")</f>
        <v/>
      </c>
      <c r="E49" s="236">
        <f>IF(AB49&lt;&gt;"",IF(Info!$C$16="بله",IF(AND(AC49&lt;=Info!$F$20,AC49&gt;=Info!$I$20),Info!$C$20,0)+(Z49-S49-I49-H49-G49-F49-L49),IF(AND(AC49&lt;=Info!$F$20,AC49&gt;=Info!$I$20),Info!$C$20,0)+(Z49-S49-I49-H49-G49-F49)),"")</f>
        <v/>
      </c>
      <c r="F49" s="236">
        <f>IF(AB49&lt;&gt;"",0.03*(H49+I49+S49+L49),"")</f>
        <v/>
      </c>
      <c r="G49" s="236">
        <f>IF(AB49&lt;&gt;"",0.06*(H49+I49+S49+L49),"")</f>
        <v/>
      </c>
      <c r="H49" s="237">
        <f>IF(M49="",0,M49)+IF(N49="",0,N49)+IF(O49="",0,O49)</f>
        <v/>
      </c>
      <c r="I49" s="242" t="n">
        <v>0</v>
      </c>
      <c r="J49" s="242">
        <f>IF(AB49&lt;&gt;"",K49/((1+10/100)^(AC49-1)),"")</f>
        <v/>
      </c>
      <c r="K49" s="236">
        <f>IF(U49&lt;&gt;"",Info!$L$20*U49,"")</f>
        <v/>
      </c>
      <c r="L49" s="243">
        <f>IF(P49="",0,P49)+IF(Q49="",0,Q49)</f>
        <v/>
      </c>
      <c r="M49" s="244">
        <f>IF(Z49&lt;&gt;"",5/100*Z49,"")</f>
        <v/>
      </c>
      <c r="N49" s="244" t="n">
        <v>0</v>
      </c>
      <c r="O49" s="244">
        <f>IF(Z49&lt;&gt;"",0.02*Z49*(1-Info!$F$25),"")</f>
        <v/>
      </c>
      <c r="P49" s="243">
        <f>IF(AND(AB49&lt;=70,W49&lt;&gt;""),(1-Info!$I$27)*((W49*0.0008*(1+(LOOKUP(Info!$I$18,Rates!$O:$O,Rates!$M:$M)/100)))+((Y49*0.0008*Info!$L$14))*(1+(LOOKUP(Info!$I$18,Rates!$O:$O,Rates!$N:$N)/100))),"")</f>
        <v/>
      </c>
      <c r="Q49" s="239">
        <f>IF(AB49&lt;=60,(LOOKUP(AB49,Rates!$T:$T,Rates!#REF!))*V49/1000000*(1+Info!$L$20)*(1-Info!$I$29),"")</f>
        <v/>
      </c>
      <c r="R49" s="42">
        <f>IF(AND(Z49&lt;&gt;"",Q49&lt;&gt;"",P49&lt;&gt;""),IF(Info!$C$16="بله",(Z49-Q49-P49),Z49),"")</f>
        <v/>
      </c>
      <c r="S49" s="236" t="n">
        <v>0</v>
      </c>
      <c r="T49" s="236">
        <f>IF(AB49&lt;&gt;"",U49/((1+10/100)^(AC49-1)),"")</f>
        <v/>
      </c>
      <c r="U49" s="236">
        <f>IF(AB49&lt;&gt;"",(Y49*LOOKUP(AB49,Rates!$T:$T,Rates!$S:$S))/SQRT(1.1),"")</f>
        <v/>
      </c>
      <c r="V49" s="245">
        <f>IF(AND(AB49&lt;&gt;"",AB49&lt;=60),IF(V48*(1+Info!$F$10)&lt;300000000,V48*(1+Info!$F$10),300000000),"")</f>
        <v/>
      </c>
      <c r="W49" s="240">
        <f>IF(AND(AB49&lt;&gt;"",AB49&lt;=60),Y49*Info!$L$16,"")</f>
        <v/>
      </c>
      <c r="X49" s="245">
        <f>IF(AND(AB49&lt;&gt;"",AB49&lt;=70),Y49*(1+Info!$L$14),"")</f>
        <v/>
      </c>
      <c r="Y49" s="245">
        <f>IF(AB49&lt;&gt;"",(1+Info!$F$10)*Y48,"")</f>
        <v/>
      </c>
      <c r="Z49" s="42" t="n">
        <v>0</v>
      </c>
      <c r="AA49" s="57">
        <f>IF(AC49&lt;&gt;"",Info!$C$6+AC49-1,"")</f>
        <v/>
      </c>
      <c r="AB49" s="57">
        <f>IF(AC49&lt;&gt;"",Info!$F$6+AC49-1,"")</f>
        <v/>
      </c>
      <c r="AC49" s="57">
        <f>IF(AC48&lt;&gt;"",IF(AC48+1&lt;=Info!$I$6,AC48+1,""),"")</f>
        <v/>
      </c>
      <c r="AD49" s="241" t="n"/>
      <c r="AE49" s="241" t="n"/>
    </row>
    <row r="50">
      <c r="A50" s="51" t="n">
        <v>0</v>
      </c>
      <c r="B50" s="51">
        <f>IF(AB50&lt;&gt;"",E50+E50*(IF(AC50&gt;4,0.1,LOOKUP(Info!$C$10,Rates!$D$2:$D$4,Rates!$C$2:$C$4))+0.85*(Info!$I$22-(IF(AC50&gt;4,0.1,LOOKUP(Info!$C$10,Rates!$D$2:$D$4,Rates!$C$2:$C$4)))))*LOOKUP(Info!$C$8,Rates!$I$2:$I$7,Rates!$G$2:$G$7)+B49*(1+IF(AC50&gt;4,0.1,LOOKUP(Info!$C$10,Rates!$D$2:$D$4,Rates!$C$2:$C$4))+0.85*(Info!$I$22-IF(AC50&gt;4,0.1,LOOKUP(Info!$C$10,Rates!$D$2:$D$4,Rates!$C$2:$C$4)))),"")</f>
        <v/>
      </c>
      <c r="C50" s="242">
        <f>IF(AB50&lt;&gt;"",D50,"")</f>
        <v/>
      </c>
      <c r="D50" s="53">
        <f>IF(AB50&lt;&gt;"",E50*(1+IF(AC50&gt;4,0.1,LOOKUP(Info!$C$10,Rates!$D$2:$D$5,Rates!$B$2:$B$5))*LOOKUP(Info!$C$8,Rates!$I$2:$I$7,Rates!$G$2:$G$7))+D49*(1+IF(AC50&gt;4,0.1,LOOKUP(Info!$C$10,Rates!$D$2:$D$5,Rates!$B$2:$B$5))),"")</f>
        <v/>
      </c>
      <c r="E50" s="236">
        <f>IF(AB50&lt;&gt;"",IF(Info!$C$16="بله",IF(AND(AC50&lt;=Info!$F$20,AC50&gt;=Info!$I$20),Info!$C$20,0)+(Z50-S50-I50-H50-G50-F50-L50),IF(AND(AC50&lt;=Info!$F$20,AC50&gt;=Info!$I$20),Info!$C$20,0)+(Z50-S50-I50-H50-G50-F50)),"")</f>
        <v/>
      </c>
      <c r="F50" s="236">
        <f>IF(AB50&lt;&gt;"",0.03*(H50+I50+S50+L50),"")</f>
        <v/>
      </c>
      <c r="G50" s="236">
        <f>IF(AB50&lt;&gt;"",0.06*(H50+I50+S50+L50),"")</f>
        <v/>
      </c>
      <c r="H50" s="237">
        <f>IF(M50="",0,M50)+IF(N50="",0,N50)+IF(O50="",0,O50)</f>
        <v/>
      </c>
      <c r="I50" s="242" t="n">
        <v>0</v>
      </c>
      <c r="J50" s="242">
        <f>IF(AB50&lt;&gt;"",K50/((1+10/100)^(AC50-1)),"")</f>
        <v/>
      </c>
      <c r="K50" s="236">
        <f>IF(U50&lt;&gt;"",Info!$L$20*U50,"")</f>
        <v/>
      </c>
      <c r="L50" s="243">
        <f>IF(P50="",0,P50)+IF(Q50="",0,Q50)</f>
        <v/>
      </c>
      <c r="M50" s="244">
        <f>IF(Z50&lt;&gt;"",5/100*Z50,"")</f>
        <v/>
      </c>
      <c r="N50" s="244" t="n">
        <v>0</v>
      </c>
      <c r="O50" s="244">
        <f>IF(Z50&lt;&gt;"",0.02*Z50*(1-Info!$F$25),"")</f>
        <v/>
      </c>
      <c r="P50" s="243">
        <f>IF(AND(AB50&lt;=70,W50&lt;&gt;""),(1-Info!$I$27)*((W50*0.0008*(1+(LOOKUP(Info!$I$18,Rates!$O:$O,Rates!$M:$M)/100)))+((Y50*0.0008*Info!$L$14))*(1+(LOOKUP(Info!$I$18,Rates!$O:$O,Rates!$N:$N)/100))),"")</f>
        <v/>
      </c>
      <c r="Q50" s="239">
        <f>IF(AB50&lt;=60,(LOOKUP(AB50,Rates!$T:$T,Rates!#REF!))*V50/1000000*(1+Info!$L$20)*(1-Info!$I$29),"")</f>
        <v/>
      </c>
      <c r="R50" s="42">
        <f>IF(AND(Z50&lt;&gt;"",Q50&lt;&gt;"",P50&lt;&gt;""),IF(Info!$C$16="بله",(Z50-Q50-P50),Z50),"")</f>
        <v/>
      </c>
      <c r="S50" s="236" t="n">
        <v>0</v>
      </c>
      <c r="T50" s="236">
        <f>IF(AB50&lt;&gt;"",U50/((1+10/100)^(AC50-1)),"")</f>
        <v/>
      </c>
      <c r="U50" s="236">
        <f>IF(AB50&lt;&gt;"",(Y50*LOOKUP(AB50,Rates!$T:$T,Rates!$S:$S))/SQRT(1.1),"")</f>
        <v/>
      </c>
      <c r="V50" s="245">
        <f>IF(AND(AB50&lt;&gt;"",AB50&lt;=60),IF(V49*(1+Info!$F$10)&lt;300000000,V49*(1+Info!$F$10),300000000),"")</f>
        <v/>
      </c>
      <c r="W50" s="240">
        <f>IF(AND(AB50&lt;&gt;"",AB50&lt;=60),Y50*Info!$L$16,"")</f>
        <v/>
      </c>
      <c r="X50" s="245">
        <f>IF(AND(AB50&lt;&gt;"",AB50&lt;=70),Y50*(1+Info!$L$14),"")</f>
        <v/>
      </c>
      <c r="Y50" s="245">
        <f>IF(AB50&lt;&gt;"",(1+Info!$F$10)*Y49,"")</f>
        <v/>
      </c>
      <c r="Z50" s="42" t="n">
        <v>0</v>
      </c>
      <c r="AA50" s="57">
        <f>IF(AC50&lt;&gt;"",Info!$C$6+AC50-1,"")</f>
        <v/>
      </c>
      <c r="AB50" s="57">
        <f>IF(AC50&lt;&gt;"",Info!$F$6+AC50-1,"")</f>
        <v/>
      </c>
      <c r="AC50" s="57">
        <f>IF(AC49&lt;&gt;"",IF(AC49+1&lt;=Info!$I$6,AC49+1,""),"")</f>
        <v/>
      </c>
      <c r="AD50" s="241" t="n"/>
      <c r="AE50" s="241" t="n"/>
    </row>
    <row r="51">
      <c r="A51" s="51" t="n">
        <v>0</v>
      </c>
      <c r="B51" s="51">
        <f>IF(AB51&lt;&gt;"",E51+E51*(IF(AC51&gt;4,0.1,LOOKUP(Info!$C$10,Rates!$D$2:$D$4,Rates!$C$2:$C$4))+0.85*(Info!$I$22-(IF(AC51&gt;4,0.1,LOOKUP(Info!$C$10,Rates!$D$2:$D$4,Rates!$C$2:$C$4)))))*LOOKUP(Info!$C$8,Rates!$I$2:$I$7,Rates!$G$2:$G$7)+B50*(1+IF(AC51&gt;4,0.1,LOOKUP(Info!$C$10,Rates!$D$2:$D$4,Rates!$C$2:$C$4))+0.85*(Info!$I$22-IF(AC51&gt;4,0.1,LOOKUP(Info!$C$10,Rates!$D$2:$D$4,Rates!$C$2:$C$4)))),"")</f>
        <v/>
      </c>
      <c r="C51" s="242">
        <f>IF(AB51&lt;&gt;"",D51,"")</f>
        <v/>
      </c>
      <c r="D51" s="53">
        <f>IF(AB51&lt;&gt;"",E51*(1+IF(AC51&gt;4,0.1,LOOKUP(Info!$C$10,Rates!$D$2:$D$5,Rates!$B$2:$B$5))*LOOKUP(Info!$C$8,Rates!$I$2:$I$7,Rates!$G$2:$G$7))+D50*(1+IF(AC51&gt;4,0.1,LOOKUP(Info!$C$10,Rates!$D$2:$D$5,Rates!$B$2:$B$5))),"")</f>
        <v/>
      </c>
      <c r="E51" s="236">
        <f>IF(AB51&lt;&gt;"",IF(Info!$C$16="بله",IF(AND(AC51&lt;=Info!$F$20,AC51&gt;=Info!$I$20),Info!$C$20,0)+(Z51-S51-I51-H51-G51-F51-L51),IF(AND(AC51&lt;=Info!$F$20,AC51&gt;=Info!$I$20),Info!$C$20,0)+(Z51-S51-I51-H51-G51-F51)),"")</f>
        <v/>
      </c>
      <c r="F51" s="236">
        <f>IF(AB51&lt;&gt;"",0.03*(H51+I51+S51+L51),"")</f>
        <v/>
      </c>
      <c r="G51" s="236">
        <f>IF(AB51&lt;&gt;"",0.06*(H51+I51+S51+L51),"")</f>
        <v/>
      </c>
      <c r="H51" s="237">
        <f>IF(M51="",0,M51)+IF(N51="",0,N51)+IF(O51="",0,O51)</f>
        <v/>
      </c>
      <c r="I51" s="242" t="n">
        <v>0</v>
      </c>
      <c r="J51" s="242">
        <f>IF(AB51&lt;&gt;"",K51/((1+10/100)^(AC51-1)),"")</f>
        <v/>
      </c>
      <c r="K51" s="236">
        <f>IF(U51&lt;&gt;"",Info!$L$20*U51,"")</f>
        <v/>
      </c>
      <c r="L51" s="243">
        <f>IF(P51="",0,P51)+IF(Q51="",0,Q51)</f>
        <v/>
      </c>
      <c r="M51" s="244">
        <f>IF(Z51&lt;&gt;"",5/100*Z51,"")</f>
        <v/>
      </c>
      <c r="N51" s="244" t="n">
        <v>0</v>
      </c>
      <c r="O51" s="244">
        <f>IF(Z51&lt;&gt;"",0.02*Z51*(1-Info!$F$25),"")</f>
        <v/>
      </c>
      <c r="P51" s="243">
        <f>IF(AND(AB51&lt;=70,W51&lt;&gt;""),(1-Info!$I$27)*((W51*0.0008*(1+(LOOKUP(Info!$I$18,Rates!$O:$O,Rates!$M:$M)/100)))+((Y51*0.0008*Info!$L$14))*(1+(LOOKUP(Info!$I$18,Rates!$O:$O,Rates!$N:$N)/100))),"")</f>
        <v/>
      </c>
      <c r="Q51" s="239">
        <f>IF(AB51&lt;=60,(LOOKUP(AB51,Rates!$T:$T,Rates!#REF!))*V51/1000000*(1+Info!$L$20)*(1-Info!$I$29),"")</f>
        <v/>
      </c>
      <c r="R51" s="42">
        <f>IF(AND(Z51&lt;&gt;"",Q51&lt;&gt;"",P51&lt;&gt;""),IF(Info!$C$16="بله",(Z51-Q51-P51),Z51),"")</f>
        <v/>
      </c>
      <c r="S51" s="236" t="n">
        <v>0</v>
      </c>
      <c r="T51" s="236">
        <f>IF(AB51&lt;&gt;"",U51/((1+10/100)^(AC51-1)),"")</f>
        <v/>
      </c>
      <c r="U51" s="236">
        <f>IF(AB51&lt;&gt;"",(Y51*LOOKUP(AB51,Rates!$T:$T,Rates!$S:$S))/SQRT(1.1),"")</f>
        <v/>
      </c>
      <c r="V51" s="245">
        <f>IF(AND(AB51&lt;&gt;"",AB51&lt;=60),IF(V50*(1+Info!$F$10)&lt;300000000,V50*(1+Info!$F$10),300000000),"")</f>
        <v/>
      </c>
      <c r="W51" s="240">
        <f>IF(AND(AB51&lt;&gt;"",AB51&lt;=60),Y51*Info!$L$16,"")</f>
        <v/>
      </c>
      <c r="X51" s="245">
        <f>IF(AND(AB51&lt;&gt;"",AB51&lt;=70),Y51*(1+Info!$L$14),"")</f>
        <v/>
      </c>
      <c r="Y51" s="245">
        <f>IF(AB51&lt;&gt;"",(1+Info!$F$10)*Y50,"")</f>
        <v/>
      </c>
      <c r="Z51" s="42" t="n">
        <v>0</v>
      </c>
      <c r="AA51" s="57">
        <f>IF(AC51&lt;&gt;"",Info!$C$6+AC51-1,"")</f>
        <v/>
      </c>
      <c r="AB51" s="57">
        <f>IF(AC51&lt;&gt;"",Info!$F$6+AC51-1,"")</f>
        <v/>
      </c>
      <c r="AC51" s="57">
        <f>IF(AC50&lt;&gt;"",IF(AC50+1&lt;=Info!$I$6,AC50+1,""),"")</f>
        <v/>
      </c>
      <c r="AD51" s="241" t="n"/>
      <c r="AE51" s="241" t="n"/>
    </row>
    <row r="52">
      <c r="A52" s="51" t="n">
        <v>0</v>
      </c>
      <c r="B52" s="51">
        <f>IF(AB52&lt;&gt;"",E52+E52*(IF(AC52&gt;4,0.1,LOOKUP(Info!$C$10,Rates!$D$2:$D$4,Rates!$C$2:$C$4))+0.85*(Info!$I$22-(IF(AC52&gt;4,0.1,LOOKUP(Info!$C$10,Rates!$D$2:$D$4,Rates!$C$2:$C$4)))))*LOOKUP(Info!$C$8,Rates!$I$2:$I$7,Rates!$G$2:$G$7)+B51*(1+IF(AC52&gt;4,0.1,LOOKUP(Info!$C$10,Rates!$D$2:$D$4,Rates!$C$2:$C$4))+0.85*(Info!$I$22-IF(AC52&gt;4,0.1,LOOKUP(Info!$C$10,Rates!$D$2:$D$4,Rates!$C$2:$C$4)))),"")</f>
        <v/>
      </c>
      <c r="C52" s="242">
        <f>IF(AB52&lt;&gt;"",D52,"")</f>
        <v/>
      </c>
      <c r="D52" s="53">
        <f>IF(AB52&lt;&gt;"",E52*(1+IF(AC52&gt;4,0.1,LOOKUP(Info!$C$10,Rates!$D$2:$D$5,Rates!$B$2:$B$5))*LOOKUP(Info!$C$8,Rates!$I$2:$I$7,Rates!$G$2:$G$7))+D51*(1+IF(AC52&gt;4,0.1,LOOKUP(Info!$C$10,Rates!$D$2:$D$5,Rates!$B$2:$B$5))),"")</f>
        <v/>
      </c>
      <c r="E52" s="236">
        <f>IF(AB52&lt;&gt;"",IF(Info!$C$16="بله",IF(AND(AC52&lt;=Info!$F$20,AC52&gt;=Info!$I$20),Info!$C$20,0)+(Z52-S52-I52-H52-G52-F52-L52),IF(AND(AC52&lt;=Info!$F$20,AC52&gt;=Info!$I$20),Info!$C$20,0)+(Z52-S52-I52-H52-G52-F52)),"")</f>
        <v/>
      </c>
      <c r="F52" s="236">
        <f>IF(AB52&lt;&gt;"",0.03*(H52+I52+S52+L52),"")</f>
        <v/>
      </c>
      <c r="G52" s="236">
        <f>IF(AB52&lt;&gt;"",0.06*(H52+I52+S52+L52),"")</f>
        <v/>
      </c>
      <c r="H52" s="237">
        <f>IF(M52="",0,M52)+IF(N52="",0,N52)+IF(O52="",0,O52)</f>
        <v/>
      </c>
      <c r="I52" s="242" t="n">
        <v>0</v>
      </c>
      <c r="J52" s="242">
        <f>IF(AB52&lt;&gt;"",K52/((1+10/100)^(AC52-1)),"")</f>
        <v/>
      </c>
      <c r="K52" s="236">
        <f>IF(U52&lt;&gt;"",Info!$L$20*U52,"")</f>
        <v/>
      </c>
      <c r="L52" s="243">
        <f>IF(P52="",0,P52)+IF(Q52="",0,Q52)</f>
        <v/>
      </c>
      <c r="M52" s="244">
        <f>IF(Z52&lt;&gt;"",5/100*Z52,"")</f>
        <v/>
      </c>
      <c r="N52" s="244" t="n">
        <v>0</v>
      </c>
      <c r="O52" s="244">
        <f>IF(Z52&lt;&gt;"",0.02*Z52*(1-Info!$F$25),"")</f>
        <v/>
      </c>
      <c r="P52" s="243">
        <f>IF(AND(AB52&lt;=70,W52&lt;&gt;""),(1-Info!$I$27)*((W52*0.0008*(1+(LOOKUP(Info!$I$18,Rates!$O:$O,Rates!$M:$M)/100)))+((Y52*0.0008*Info!$L$14))*(1+(LOOKUP(Info!$I$18,Rates!$O:$O,Rates!$N:$N)/100))),"")</f>
        <v/>
      </c>
      <c r="Q52" s="239">
        <f>IF(AB52&lt;=60,(LOOKUP(AB52,Rates!$T:$T,Rates!#REF!))*V52/1000000*(1+Info!$L$20)*(1-Info!$I$29),"")</f>
        <v/>
      </c>
      <c r="R52" s="42">
        <f>IF(AND(Z52&lt;&gt;"",Q52&lt;&gt;"",P52&lt;&gt;""),IF(Info!$C$16="بله",(Z52-Q52-P52),Z52),"")</f>
        <v/>
      </c>
      <c r="S52" s="236" t="n">
        <v>0</v>
      </c>
      <c r="T52" s="236">
        <f>IF(AB52&lt;&gt;"",U52/((1+10/100)^(AC52-1)),"")</f>
        <v/>
      </c>
      <c r="U52" s="236">
        <f>IF(AB52&lt;&gt;"",(Y52*LOOKUP(AB52,Rates!$T:$T,Rates!$S:$S))/SQRT(1.1),"")</f>
        <v/>
      </c>
      <c r="V52" s="245">
        <f>IF(AND(AB52&lt;&gt;"",AB52&lt;=60),IF(V51*(1+Info!$F$10)&lt;300000000,V51*(1+Info!$F$10),300000000),"")</f>
        <v/>
      </c>
      <c r="W52" s="240">
        <f>IF(AND(AB52&lt;&gt;"",AB52&lt;=60),Y52*Info!$L$16,"")</f>
        <v/>
      </c>
      <c r="X52" s="245">
        <f>IF(AND(AB52&lt;&gt;"",AB52&lt;=70),Y52*(1+Info!$L$14),"")</f>
        <v/>
      </c>
      <c r="Y52" s="245">
        <f>IF(AB52&lt;&gt;"",(1+Info!$F$10)*Y51,"")</f>
        <v/>
      </c>
      <c r="Z52" s="42" t="n">
        <v>0</v>
      </c>
      <c r="AA52" s="57">
        <f>IF(AC52&lt;&gt;"",Info!$C$6+AC52-1,"")</f>
        <v/>
      </c>
      <c r="AB52" s="57">
        <f>IF(AC52&lt;&gt;"",Info!$F$6+AC52-1,"")</f>
        <v/>
      </c>
      <c r="AC52" s="57">
        <f>IF(AC51&lt;&gt;"",IF(AC51+1&lt;=Info!$I$6,AC51+1,""),"")</f>
        <v/>
      </c>
      <c r="AD52" s="241" t="n"/>
      <c r="AE52" s="241" t="n"/>
    </row>
    <row r="53">
      <c r="A53" s="51" t="n">
        <v>0</v>
      </c>
      <c r="B53" s="51">
        <f>IF(AB53&lt;&gt;"",E53+E53*(IF(AC53&gt;4,0.1,LOOKUP(Info!$C$10,Rates!$D$2:$D$4,Rates!$C$2:$C$4))+0.85*(Info!$I$22-(IF(AC53&gt;4,0.1,LOOKUP(Info!$C$10,Rates!$D$2:$D$4,Rates!$C$2:$C$4)))))*LOOKUP(Info!$C$8,Rates!$I$2:$I$7,Rates!$G$2:$G$7)+B52*(1+IF(AC53&gt;4,0.1,LOOKUP(Info!$C$10,Rates!$D$2:$D$4,Rates!$C$2:$C$4))+0.85*(Info!$I$22-IF(AC53&gt;4,0.1,LOOKUP(Info!$C$10,Rates!$D$2:$D$4,Rates!$C$2:$C$4)))),"")</f>
        <v/>
      </c>
      <c r="C53" s="242">
        <f>IF(AB53&lt;&gt;"",D53,"")</f>
        <v/>
      </c>
      <c r="D53" s="53">
        <f>IF(AB53&lt;&gt;"",E53*(1+IF(AC53&gt;4,0.1,LOOKUP(Info!$C$10,Rates!$D$2:$D$5,Rates!$B$2:$B$5))*LOOKUP(Info!$C$8,Rates!$I$2:$I$7,Rates!$G$2:$G$7))+D52*(1+IF(AC53&gt;4,0.1,LOOKUP(Info!$C$10,Rates!$D$2:$D$5,Rates!$B$2:$B$5))),"")</f>
        <v/>
      </c>
      <c r="E53" s="236">
        <f>IF(AB53&lt;&gt;"",IF(Info!$C$16="بله",IF(AND(AC53&lt;=Info!$F$20,AC53&gt;=Info!$I$20),Info!$C$20,0)+(Z53-S53-I53-H53-G53-F53-L53),IF(AND(AC53&lt;=Info!$F$20,AC53&gt;=Info!$I$20),Info!$C$20,0)+(Z53-S53-I53-H53-G53-F53)),"")</f>
        <v/>
      </c>
      <c r="F53" s="236">
        <f>IF(AB53&lt;&gt;"",0.03*(H53+I53+S53+L53),"")</f>
        <v/>
      </c>
      <c r="G53" s="236">
        <f>IF(AB53&lt;&gt;"",0.06*(H53+I53+S53+L53),"")</f>
        <v/>
      </c>
      <c r="H53" s="237">
        <f>IF(M53="",0,M53)+IF(N53="",0,N53)+IF(O53="",0,O53)</f>
        <v/>
      </c>
      <c r="I53" s="242" t="n">
        <v>0</v>
      </c>
      <c r="J53" s="242">
        <f>IF(AB53&lt;&gt;"",K53/((1+10/100)^(AC53-1)),"")</f>
        <v/>
      </c>
      <c r="K53" s="236">
        <f>IF(U53&lt;&gt;"",Info!$L$20*U53,"")</f>
        <v/>
      </c>
      <c r="L53" s="243">
        <f>IF(P53="",0,P53)+IF(Q53="",0,Q53)</f>
        <v/>
      </c>
      <c r="M53" s="244">
        <f>IF(Z53&lt;&gt;"",5/100*Z53,"")</f>
        <v/>
      </c>
      <c r="N53" s="244" t="n">
        <v>0</v>
      </c>
      <c r="O53" s="244">
        <f>IF(Z53&lt;&gt;"",0.02*Z53*(1-Info!$F$25),"")</f>
        <v/>
      </c>
      <c r="P53" s="243">
        <f>IF(AND(AB53&lt;=70,W53&lt;&gt;""),(1-Info!$I$27)*((W53*0.0008*(1+(LOOKUP(Info!$I$18,Rates!$O:$O,Rates!$M:$M)/100)))+((Y53*0.0008*Info!$L$14))*(1+(LOOKUP(Info!$I$18,Rates!$O:$O,Rates!$N:$N)/100))),"")</f>
        <v/>
      </c>
      <c r="Q53" s="239">
        <f>IF(AB53&lt;=60,(LOOKUP(AB53,Rates!$T:$T,Rates!#REF!))*V53/1000000*(1+Info!$L$20)*(1-Info!$I$29),"")</f>
        <v/>
      </c>
      <c r="R53" s="42">
        <f>IF(AND(Z53&lt;&gt;"",Q53&lt;&gt;"",P53&lt;&gt;""),IF(Info!$C$16="بله",(Z53-Q53-P53),Z53),"")</f>
        <v/>
      </c>
      <c r="S53" s="236" t="n">
        <v>0</v>
      </c>
      <c r="T53" s="236">
        <f>IF(AB53&lt;&gt;"",U53/((1+10/100)^(AC53-1)),"")</f>
        <v/>
      </c>
      <c r="U53" s="236">
        <f>IF(AB53&lt;&gt;"",(Y53*LOOKUP(AB53,Rates!$T:$T,Rates!$S:$S))/SQRT(1.1),"")</f>
        <v/>
      </c>
      <c r="V53" s="245">
        <f>IF(AND(AB53&lt;&gt;"",AB53&lt;=60),IF(V52*(1+Info!$F$10)&lt;300000000,V52*(1+Info!$F$10),300000000),"")</f>
        <v/>
      </c>
      <c r="W53" s="240">
        <f>IF(AND(AB53&lt;&gt;"",AB53&lt;=60),Y53*Info!$L$16,"")</f>
        <v/>
      </c>
      <c r="X53" s="245">
        <f>IF(AND(AB53&lt;&gt;"",AB53&lt;=70),Y53*(1+Info!$L$14),"")</f>
        <v/>
      </c>
      <c r="Y53" s="245">
        <f>IF(AB53&lt;&gt;"",(1+Info!$F$10)*Y52,"")</f>
        <v/>
      </c>
      <c r="Z53" s="42" t="n">
        <v>0</v>
      </c>
      <c r="AA53" s="57">
        <f>IF(AC53&lt;&gt;"",Info!$C$6+AC53-1,"")</f>
        <v/>
      </c>
      <c r="AB53" s="57">
        <f>IF(AC53&lt;&gt;"",Info!$F$6+AC53-1,"")</f>
        <v/>
      </c>
      <c r="AC53" s="57">
        <f>IF(AC52&lt;&gt;"",IF(AC52+1&lt;=Info!$I$6,AC52+1,""),"")</f>
        <v/>
      </c>
      <c r="AD53" s="241" t="n"/>
      <c r="AE53" s="241" t="n"/>
    </row>
    <row r="54">
      <c r="A54" s="51" t="n">
        <v>0</v>
      </c>
      <c r="B54" s="51">
        <f>IF(AB54&lt;&gt;"",E54+E54*(IF(AC54&gt;4,0.1,LOOKUP(Info!$C$10,Rates!$D$2:$D$4,Rates!$C$2:$C$4))+0.85*(Info!$I$22-(IF(AC54&gt;4,0.1,LOOKUP(Info!$C$10,Rates!$D$2:$D$4,Rates!$C$2:$C$4)))))*LOOKUP(Info!$C$8,Rates!$I$2:$I$7,Rates!$G$2:$G$7)+B53*(1+IF(AC54&gt;4,0.1,LOOKUP(Info!$C$10,Rates!$D$2:$D$4,Rates!$C$2:$C$4))+0.85*(Info!$I$22-IF(AC54&gt;4,0.1,LOOKUP(Info!$C$10,Rates!$D$2:$D$4,Rates!$C$2:$C$4)))),"")</f>
        <v/>
      </c>
      <c r="C54" s="242">
        <f>IF(AB54&lt;&gt;"",D54,"")</f>
        <v/>
      </c>
      <c r="D54" s="53">
        <f>IF(AB54&lt;&gt;"",E54*(1+IF(AC54&gt;4,0.1,LOOKUP(Info!$C$10,Rates!$D$2:$D$5,Rates!$B$2:$B$5))*LOOKUP(Info!$C$8,Rates!$I$2:$I$7,Rates!$G$2:$G$7))+D53*(1+IF(AC54&gt;4,0.1,LOOKUP(Info!$C$10,Rates!$D$2:$D$5,Rates!$B$2:$B$5))),"")</f>
        <v/>
      </c>
      <c r="E54" s="236">
        <f>IF(AB54&lt;&gt;"",IF(Info!$C$16="بله",IF(AND(AC54&lt;=Info!$F$20,AC54&gt;=Info!$I$20),Info!$C$20,0)+(Z54-S54-I54-H54-G54-F54-L54),IF(AND(AC54&lt;=Info!$F$20,AC54&gt;=Info!$I$20),Info!$C$20,0)+(Z54-S54-I54-H54-G54-F54)),"")</f>
        <v/>
      </c>
      <c r="F54" s="236">
        <f>IF(AB54&lt;&gt;"",0.03*(H54+I54+S54+L54),"")</f>
        <v/>
      </c>
      <c r="G54" s="236">
        <f>IF(AB54&lt;&gt;"",0.06*(H54+I54+S54+L54),"")</f>
        <v/>
      </c>
      <c r="H54" s="237">
        <f>IF(M54="",0,M54)+IF(N54="",0,N54)+IF(O54="",0,O54)</f>
        <v/>
      </c>
      <c r="I54" s="242" t="n">
        <v>0</v>
      </c>
      <c r="J54" s="242">
        <f>IF(AB54&lt;&gt;"",K54/((1+10/100)^(AC54-1)),"")</f>
        <v/>
      </c>
      <c r="K54" s="236">
        <f>IF(U54&lt;&gt;"",Info!$L$20*U54,"")</f>
        <v/>
      </c>
      <c r="L54" s="243">
        <f>IF(P54="",0,P54)+IF(Q54="",0,Q54)</f>
        <v/>
      </c>
      <c r="M54" s="244">
        <f>IF(Z54&lt;&gt;"",5/100*Z54,"")</f>
        <v/>
      </c>
      <c r="N54" s="244" t="n">
        <v>0</v>
      </c>
      <c r="O54" s="244">
        <f>IF(Z54&lt;&gt;"",0.02*Z54*(1-Info!$F$25),"")</f>
        <v/>
      </c>
      <c r="P54" s="243">
        <f>IF(AND(AB54&lt;=70,W54&lt;&gt;""),(1-Info!$I$27)*((W54*0.0008*(1+(LOOKUP(Info!$I$18,Rates!$O:$O,Rates!$M:$M)/100)))+((Y54*0.0008*Info!$L$14))*(1+(LOOKUP(Info!$I$18,Rates!$O:$O,Rates!$N:$N)/100))),"")</f>
        <v/>
      </c>
      <c r="Q54" s="239">
        <f>IF(AB54&lt;=60,(LOOKUP(AB54,Rates!$T:$T,Rates!#REF!))*V54/1000000*(1+Info!$L$20)*(1-Info!$I$29),"")</f>
        <v/>
      </c>
      <c r="R54" s="42">
        <f>IF(AND(Z54&lt;&gt;"",Q54&lt;&gt;"",P54&lt;&gt;""),IF(Info!$C$16="بله",(Z54-Q54-P54),Z54),"")</f>
        <v/>
      </c>
      <c r="S54" s="236" t="n">
        <v>0</v>
      </c>
      <c r="T54" s="236">
        <f>IF(AB54&lt;&gt;"",U54/((1+10/100)^(AC54-1)),"")</f>
        <v/>
      </c>
      <c r="U54" s="236">
        <f>IF(AB54&lt;&gt;"",(Y54*LOOKUP(AB54,Rates!$T:$T,Rates!$S:$S))/SQRT(1.1),"")</f>
        <v/>
      </c>
      <c r="V54" s="245">
        <f>IF(AND(AB54&lt;&gt;"",AB54&lt;=60),IF(V53*(1+Info!$F$10)&lt;300000000,V53*(1+Info!$F$10),300000000),"")</f>
        <v/>
      </c>
      <c r="W54" s="240">
        <f>IF(AND(AB54&lt;&gt;"",AB54&lt;=60),Y54*Info!$L$16,"")</f>
        <v/>
      </c>
      <c r="X54" s="245">
        <f>IF(AND(AB54&lt;&gt;"",AB54&lt;=70),Y54*(1+Info!$L$14),"")</f>
        <v/>
      </c>
      <c r="Y54" s="245">
        <f>IF(AB54&lt;&gt;"",(1+Info!$F$10)*Y53,"")</f>
        <v/>
      </c>
      <c r="Z54" s="42" t="n">
        <v>0</v>
      </c>
      <c r="AA54" s="57">
        <f>IF(AC54&lt;&gt;"",Info!$C$6+AC54-1,"")</f>
        <v/>
      </c>
      <c r="AB54" s="57">
        <f>IF(AC54&lt;&gt;"",Info!$F$6+AC54-1,"")</f>
        <v/>
      </c>
      <c r="AC54" s="57">
        <f>IF(AC53&lt;&gt;"",IF(AC53+1&lt;=Info!$I$6,AC53+1,""),"")</f>
        <v/>
      </c>
      <c r="AD54" s="241" t="n"/>
      <c r="AE54" s="241" t="n"/>
    </row>
    <row r="55">
      <c r="A55" s="51" t="n">
        <v>0</v>
      </c>
      <c r="B55" s="51">
        <f>IF(AB55&lt;&gt;"",E55+E55*(IF(AC55&gt;4,0.1,LOOKUP(Info!$C$10,Rates!$D$2:$D$4,Rates!$C$2:$C$4))+0.85*(Info!$I$22-(IF(AC55&gt;4,0.1,LOOKUP(Info!$C$10,Rates!$D$2:$D$4,Rates!$C$2:$C$4)))))*LOOKUP(Info!$C$8,Rates!$I$2:$I$7,Rates!$G$2:$G$7)+B54*(1+IF(AC55&gt;4,0.1,LOOKUP(Info!$C$10,Rates!$D$2:$D$4,Rates!$C$2:$C$4))+0.85*(Info!$I$22-IF(AC55&gt;4,0.1,LOOKUP(Info!$C$10,Rates!$D$2:$D$4,Rates!$C$2:$C$4)))),"")</f>
        <v/>
      </c>
      <c r="C55" s="242">
        <f>IF(AB55&lt;&gt;"",D55,"")</f>
        <v/>
      </c>
      <c r="D55" s="53">
        <f>IF(AB55&lt;&gt;"",E55*(1+IF(AC55&gt;4,0.1,LOOKUP(Info!$C$10,Rates!$D$2:$D$5,Rates!$B$2:$B$5))*LOOKUP(Info!$C$8,Rates!$I$2:$I$7,Rates!$G$2:$G$7))+D54*(1+IF(AC55&gt;4,0.1,LOOKUP(Info!$C$10,Rates!$D$2:$D$5,Rates!$B$2:$B$5))),"")</f>
        <v/>
      </c>
      <c r="E55" s="236">
        <f>IF(AB55&lt;&gt;"",IF(Info!$C$16="بله",IF(AND(AC55&lt;=Info!$F$20,AC55&gt;=Info!$I$20),Info!$C$20,0)+(Z55-S55-I55-H55-G55-F55-L55),IF(AND(AC55&lt;=Info!$F$20,AC55&gt;=Info!$I$20),Info!$C$20,0)+(Z55-S55-I55-H55-G55-F55)),"")</f>
        <v/>
      </c>
      <c r="F55" s="236">
        <f>IF(AB55&lt;&gt;"",0.03*(H55+I55+S55+L55),"")</f>
        <v/>
      </c>
      <c r="G55" s="236">
        <f>IF(AB55&lt;&gt;"",0.06*(H55+I55+S55+L55),"")</f>
        <v/>
      </c>
      <c r="H55" s="237">
        <f>IF(M55="",0,M55)+IF(N55="",0,N55)+IF(O55="",0,O55)</f>
        <v/>
      </c>
      <c r="I55" s="242" t="n">
        <v>0</v>
      </c>
      <c r="J55" s="242">
        <f>IF(AB55&lt;&gt;"",K55/((1+10/100)^(AC55-1)),"")</f>
        <v/>
      </c>
      <c r="K55" s="236">
        <f>IF(U55&lt;&gt;"",Info!$L$20*U55,"")</f>
        <v/>
      </c>
      <c r="L55" s="243">
        <f>IF(P55="",0,P55)+IF(Q55="",0,Q55)</f>
        <v/>
      </c>
      <c r="M55" s="244">
        <f>IF(Z55&lt;&gt;"",5/100*Z55,"")</f>
        <v/>
      </c>
      <c r="N55" s="244" t="n">
        <v>0</v>
      </c>
      <c r="O55" s="244">
        <f>IF(Z55&lt;&gt;"",0.02*Z55*(1-Info!$F$25),"")</f>
        <v/>
      </c>
      <c r="P55" s="243">
        <f>IF(AND(AB55&lt;=70,W55&lt;&gt;""),(1-Info!$I$27)*((W55*0.0008*(1+(LOOKUP(Info!$I$18,Rates!$O:$O,Rates!$M:$M)/100)))+((Y55*0.0008*Info!$L$14))*(1+(LOOKUP(Info!$I$18,Rates!$O:$O,Rates!$N:$N)/100))),"")</f>
        <v/>
      </c>
      <c r="Q55" s="239">
        <f>IF(AB55&lt;=60,(LOOKUP(AB55,Rates!$T:$T,Rates!#REF!))*V55/1000000*(1+Info!$L$20)*(1-Info!$I$29),"")</f>
        <v/>
      </c>
      <c r="R55" s="42">
        <f>IF(AND(Z55&lt;&gt;"",Q55&lt;&gt;"",P55&lt;&gt;""),IF(Info!$C$16="بله",(Z55-Q55-P55),Z55),"")</f>
        <v/>
      </c>
      <c r="S55" s="236" t="n">
        <v>0</v>
      </c>
      <c r="T55" s="236">
        <f>IF(AB55&lt;&gt;"",U55/((1+10/100)^(AC55-1)),"")</f>
        <v/>
      </c>
      <c r="U55" s="236">
        <f>IF(AB55&lt;&gt;"",(Y55*LOOKUP(AB55,Rates!$T:$T,Rates!$S:$S))/SQRT(1.1),"")</f>
        <v/>
      </c>
      <c r="V55" s="245">
        <f>IF(AND(AB55&lt;&gt;"",AB55&lt;=60),IF(V54*(1+Info!$F$10)&lt;300000000,V54*(1+Info!$F$10),300000000),"")</f>
        <v/>
      </c>
      <c r="W55" s="240">
        <f>IF(AND(AB55&lt;&gt;"",AB55&lt;=60),Y55*Info!$L$16,"")</f>
        <v/>
      </c>
      <c r="X55" s="245">
        <f>IF(AND(AB55&lt;&gt;"",AB55&lt;=70),Y55*(1+Info!$L$14),"")</f>
        <v/>
      </c>
      <c r="Y55" s="245">
        <f>IF(AB55&lt;&gt;"",(1+Info!$F$10)*Y54,"")</f>
        <v/>
      </c>
      <c r="Z55" s="42" t="n">
        <v>0</v>
      </c>
      <c r="AA55" s="57">
        <f>IF(AC55&lt;&gt;"",Info!$C$6+AC55-1,"")</f>
        <v/>
      </c>
      <c r="AB55" s="57">
        <f>IF(AC55&lt;&gt;"",Info!$F$6+AC55-1,"")</f>
        <v/>
      </c>
      <c r="AC55" s="57">
        <f>IF(AC54&lt;&gt;"",IF(AC54+1&lt;=Info!$I$6,AC54+1,""),"")</f>
        <v/>
      </c>
      <c r="AD55" s="241" t="n"/>
      <c r="AE55" s="241" t="n"/>
    </row>
    <row r="56">
      <c r="A56" s="51" t="n">
        <v>0</v>
      </c>
      <c r="B56" s="51">
        <f>IF(AB56&lt;&gt;"",E56+E56*(IF(AC56&gt;4,0.1,LOOKUP(Info!$C$10,Rates!$D$2:$D$4,Rates!$C$2:$C$4))+0.85*(Info!$I$22-(IF(AC56&gt;4,0.1,LOOKUP(Info!$C$10,Rates!$D$2:$D$4,Rates!$C$2:$C$4)))))*LOOKUP(Info!$C$8,Rates!$I$2:$I$7,Rates!$G$2:$G$7)+B55*(1+IF(AC56&gt;4,0.1,LOOKUP(Info!$C$10,Rates!$D$2:$D$4,Rates!$C$2:$C$4))+0.85*(Info!$I$22-IF(AC56&gt;4,0.1,LOOKUP(Info!$C$10,Rates!$D$2:$D$4,Rates!$C$2:$C$4)))),"")</f>
        <v/>
      </c>
      <c r="C56" s="242">
        <f>IF(AB56&lt;&gt;"",D56,"")</f>
        <v/>
      </c>
      <c r="D56" s="53">
        <f>IF(AB56&lt;&gt;"",E56*(1+IF(AC56&gt;4,0.1,LOOKUP(Info!$C$10,Rates!$D$2:$D$5,Rates!$B$2:$B$5))*LOOKUP(Info!$C$8,Rates!$I$2:$I$7,Rates!$G$2:$G$7))+D55*(1+IF(AC56&gt;4,0.1,LOOKUP(Info!$C$10,Rates!$D$2:$D$5,Rates!$B$2:$B$5))),"")</f>
        <v/>
      </c>
      <c r="E56" s="236">
        <f>IF(AB56&lt;&gt;"",IF(Info!$C$16="بله",IF(AND(AC56&lt;=Info!$F$20,AC56&gt;=Info!$I$20),Info!$C$20,0)+(Z56-S56-I56-H56-G56-F56-L56),IF(AND(AC56&lt;=Info!$F$20,AC56&gt;=Info!$I$20),Info!$C$20,0)+(Z56-S56-I56-H56-G56-F56)),"")</f>
        <v/>
      </c>
      <c r="F56" s="236">
        <f>IF(AB56&lt;&gt;"",0.03*(H56+I56+S56+L56),"")</f>
        <v/>
      </c>
      <c r="G56" s="236">
        <f>IF(AB56&lt;&gt;"",0.06*(H56+I56+S56+L56),"")</f>
        <v/>
      </c>
      <c r="H56" s="237">
        <f>IF(M56="",0,M56)+IF(N56="",0,N56)+IF(O56="",0,O56)</f>
        <v/>
      </c>
      <c r="I56" s="242" t="n">
        <v>0</v>
      </c>
      <c r="J56" s="242">
        <f>IF(AB56&lt;&gt;"",K56/((1+10/100)^(AC56-1)),"")</f>
        <v/>
      </c>
      <c r="K56" s="236">
        <f>IF(U56&lt;&gt;"",Info!$L$20*U56,"")</f>
        <v/>
      </c>
      <c r="L56" s="243">
        <f>IF(P56="",0,P56)+IF(Q56="",0,Q56)</f>
        <v/>
      </c>
      <c r="M56" s="244">
        <f>IF(Z56&lt;&gt;"",5/100*Z56,"")</f>
        <v/>
      </c>
      <c r="N56" s="244" t="n">
        <v>0</v>
      </c>
      <c r="O56" s="244">
        <f>IF(Z56&lt;&gt;"",0.02*Z56*(1-Info!$F$25),"")</f>
        <v/>
      </c>
      <c r="P56" s="243">
        <f>IF(AND(AB56&lt;=70,W56&lt;&gt;""),(1-Info!$I$27)*((W56*0.0008*(1+(LOOKUP(Info!$I$18,Rates!$O:$O,Rates!$M:$M)/100)))+((Y56*0.0008*Info!$L$14))*(1+(LOOKUP(Info!$I$18,Rates!$O:$O,Rates!$N:$N)/100))),"")</f>
        <v/>
      </c>
      <c r="Q56" s="239">
        <f>IF(AB56&lt;=60,(LOOKUP(AB56,Rates!$T:$T,Rates!#REF!))*V56/1000000*(1+Info!$L$20)*(1-Info!$I$29),"")</f>
        <v/>
      </c>
      <c r="R56" s="42">
        <f>IF(AND(Z56&lt;&gt;"",Q56&lt;&gt;"",P56&lt;&gt;""),IF(Info!$C$16="بله",(Z56-Q56-P56),Z56),"")</f>
        <v/>
      </c>
      <c r="S56" s="236" t="n">
        <v>0</v>
      </c>
      <c r="T56" s="236">
        <f>IF(AB56&lt;&gt;"",U56/((1+10/100)^(AC56-1)),"")</f>
        <v/>
      </c>
      <c r="U56" s="236">
        <f>IF(AB56&lt;&gt;"",(Y56*LOOKUP(AB56,Rates!$T:$T,Rates!$S:$S))/SQRT(1.1),"")</f>
        <v/>
      </c>
      <c r="V56" s="245">
        <f>IF(AND(AB56&lt;&gt;"",AB56&lt;=60),IF(V55*(1+Info!$F$10)&lt;300000000,V55*(1+Info!$F$10),300000000),"")</f>
        <v/>
      </c>
      <c r="W56" s="240">
        <f>IF(AND(AB56&lt;&gt;"",AB56&lt;=60),Y56*Info!$L$16,"")</f>
        <v/>
      </c>
      <c r="X56" s="245">
        <f>IF(AND(AB56&lt;&gt;"",AB56&lt;=70),Y56*(1+Info!$L$14),"")</f>
        <v/>
      </c>
      <c r="Y56" s="245">
        <f>IF(AB56&lt;&gt;"",(1+Info!$F$10)*Y55,"")</f>
        <v/>
      </c>
      <c r="Z56" s="42" t="n">
        <v>0</v>
      </c>
      <c r="AA56" s="57">
        <f>IF(AC56&lt;&gt;"",Info!$C$6+AC56-1,"")</f>
        <v/>
      </c>
      <c r="AB56" s="57">
        <f>IF(AC56&lt;&gt;"",Info!$F$6+AC56-1,"")</f>
        <v/>
      </c>
      <c r="AC56" s="57">
        <f>IF(AC55&lt;&gt;"",IF(AC55+1&lt;=Info!$I$6,AC55+1,""),"")</f>
        <v/>
      </c>
      <c r="AD56" s="241" t="n"/>
      <c r="AE56" s="241" t="n"/>
    </row>
    <row r="57">
      <c r="A57" s="51" t="n">
        <v>0</v>
      </c>
      <c r="B57" s="51">
        <f>IF(AB57&lt;&gt;"",E57+E57*(IF(AC57&gt;4,0.1,LOOKUP(Info!$C$10,Rates!$D$2:$D$4,Rates!$C$2:$C$4))+0.85*(Info!$I$22-(IF(AC57&gt;4,0.1,LOOKUP(Info!$C$10,Rates!$D$2:$D$4,Rates!$C$2:$C$4)))))*LOOKUP(Info!$C$8,Rates!$I$2:$I$7,Rates!$G$2:$G$7)+B56*(1+IF(AC57&gt;4,0.1,LOOKUP(Info!$C$10,Rates!$D$2:$D$4,Rates!$C$2:$C$4))+0.85*(Info!$I$22-IF(AC57&gt;4,0.1,LOOKUP(Info!$C$10,Rates!$D$2:$D$4,Rates!$C$2:$C$4)))),"")</f>
        <v/>
      </c>
      <c r="C57" s="242">
        <f>IF(AB57&lt;&gt;"",D57,"")</f>
        <v/>
      </c>
      <c r="D57" s="53">
        <f>IF(AB57&lt;&gt;"",E57*(1+IF(AC57&gt;4,0.1,LOOKUP(Info!$C$10,Rates!$D$2:$D$5,Rates!$B$2:$B$5))*LOOKUP(Info!$C$8,Rates!$I$2:$I$7,Rates!$G$2:$G$7))+D56*(1+IF(AC57&gt;4,0.1,LOOKUP(Info!$C$10,Rates!$D$2:$D$5,Rates!$B$2:$B$5))),"")</f>
        <v/>
      </c>
      <c r="E57" s="236">
        <f>IF(AB57&lt;&gt;"",IF(Info!$C$16="بله",IF(AND(AC57&lt;=Info!$F$20,AC57&gt;=Info!$I$20),Info!$C$20,0)+(Z57-S57-I57-H57-G57-F57-L57),IF(AND(AC57&lt;=Info!$F$20,AC57&gt;=Info!$I$20),Info!$C$20,0)+(Z57-S57-I57-H57-G57-F57)),"")</f>
        <v/>
      </c>
      <c r="F57" s="236">
        <f>IF(AB57&lt;&gt;"",0.03*(H57+I57+S57+L57),"")</f>
        <v/>
      </c>
      <c r="G57" s="236">
        <f>IF(AB57&lt;&gt;"",0.06*(H57+I57+S57+L57),"")</f>
        <v/>
      </c>
      <c r="H57" s="237">
        <f>IF(M57="",0,M57)+IF(N57="",0,N57)+IF(O57="",0,O57)</f>
        <v/>
      </c>
      <c r="I57" s="242" t="n">
        <v>0</v>
      </c>
      <c r="J57" s="242">
        <f>IF(AB57&lt;&gt;"",K57/((1+10/100)^(AC57-1)),"")</f>
        <v/>
      </c>
      <c r="K57" s="236">
        <f>IF(U57&lt;&gt;"",Info!$L$20*U57,"")</f>
        <v/>
      </c>
      <c r="L57" s="243">
        <f>IF(P57="",0,P57)+IF(Q57="",0,Q57)</f>
        <v/>
      </c>
      <c r="M57" s="244">
        <f>IF(Z57&lt;&gt;"",5/100*Z57,"")</f>
        <v/>
      </c>
      <c r="N57" s="244" t="n">
        <v>0</v>
      </c>
      <c r="O57" s="244">
        <f>IF(Z57&lt;&gt;"",0.02*Z57*(1-Info!$F$25),"")</f>
        <v/>
      </c>
      <c r="P57" s="243">
        <f>IF(AND(AB57&lt;=70,W57&lt;&gt;""),(1-Info!$I$27)*((W57*0.0008*(1+(LOOKUP(Info!$I$18,Rates!$O:$O,Rates!$M:$M)/100)))+((Y57*0.0008*Info!$L$14))*(1+(LOOKUP(Info!$I$18,Rates!$O:$O,Rates!$N:$N)/100))),"")</f>
        <v/>
      </c>
      <c r="Q57" s="239">
        <f>IF(AB57&lt;=60,(LOOKUP(AB57,Rates!$T:$T,Rates!#REF!))*V57/1000000*(1+Info!$L$20)*(1-Info!$I$29),"")</f>
        <v/>
      </c>
      <c r="R57" s="42">
        <f>IF(AND(Z57&lt;&gt;"",Q57&lt;&gt;"",P57&lt;&gt;""),IF(Info!$C$16="بله",(Z57-Q57-P57),Z57),"")</f>
        <v/>
      </c>
      <c r="S57" s="236" t="n">
        <v>0</v>
      </c>
      <c r="T57" s="236">
        <f>IF(AB57&lt;&gt;"",U57/((1+10/100)^(AC57-1)),"")</f>
        <v/>
      </c>
      <c r="U57" s="236">
        <f>IF(AB57&lt;&gt;"",(Y57*LOOKUP(AB57,Rates!$T:$T,Rates!$S:$S))/SQRT(1.1),"")</f>
        <v/>
      </c>
      <c r="V57" s="245">
        <f>IF(AND(AB57&lt;&gt;"",AB57&lt;=60),IF(V56*(1+Info!$F$10)&lt;300000000,V56*(1+Info!$F$10),300000000),"")</f>
        <v/>
      </c>
      <c r="W57" s="240">
        <f>IF(AND(AB57&lt;&gt;"",AB57&lt;=60),Y57*Info!$L$16,"")</f>
        <v/>
      </c>
      <c r="X57" s="245">
        <f>IF(AND(AB57&lt;&gt;"",AB57&lt;=70),Y57*(1+Info!$L$14),"")</f>
        <v/>
      </c>
      <c r="Y57" s="245">
        <f>IF(AB57&lt;&gt;"",(1+Info!$F$10)*Y56,"")</f>
        <v/>
      </c>
      <c r="Z57" s="42" t="n">
        <v>0</v>
      </c>
      <c r="AA57" s="57">
        <f>IF(AC57&lt;&gt;"",Info!$C$6+AC57-1,"")</f>
        <v/>
      </c>
      <c r="AB57" s="57">
        <f>IF(AC57&lt;&gt;"",Info!$F$6+AC57-1,"")</f>
        <v/>
      </c>
      <c r="AC57" s="57">
        <f>IF(AC56&lt;&gt;"",IF(AC56+1&lt;=Info!$I$6,AC56+1,""),"")</f>
        <v/>
      </c>
      <c r="AD57" s="241" t="n"/>
      <c r="AE57" s="241" t="n"/>
    </row>
    <row r="58">
      <c r="A58" s="51" t="n">
        <v>0</v>
      </c>
      <c r="B58" s="51">
        <f>IF(AB58&lt;&gt;"",E58+E58*(IF(AC58&gt;4,0.1,LOOKUP(Info!$C$10,Rates!$D$2:$D$4,Rates!$C$2:$C$4))+0.85*(Info!$I$22-(IF(AC58&gt;4,0.1,LOOKUP(Info!$C$10,Rates!$D$2:$D$4,Rates!$C$2:$C$4)))))*LOOKUP(Info!$C$8,Rates!$I$2:$I$7,Rates!$G$2:$G$7)+B57*(1+IF(AC58&gt;4,0.1,LOOKUP(Info!$C$10,Rates!$D$2:$D$4,Rates!$C$2:$C$4))+0.85*(Info!$I$22-IF(AC58&gt;4,0.1,LOOKUP(Info!$C$10,Rates!$D$2:$D$4,Rates!$C$2:$C$4)))),"")</f>
        <v/>
      </c>
      <c r="C58" s="242">
        <f>IF(AB58&lt;&gt;"",D58,"")</f>
        <v/>
      </c>
      <c r="D58" s="53">
        <f>IF(AB58&lt;&gt;"",E58*(1+IF(AC58&gt;4,0.1,LOOKUP(Info!$C$10,Rates!$D$2:$D$5,Rates!$B$2:$B$5))*LOOKUP(Info!$C$8,Rates!$I$2:$I$7,Rates!$G$2:$G$7))+D57*(1+IF(AC58&gt;4,0.1,LOOKUP(Info!$C$10,Rates!$D$2:$D$5,Rates!$B$2:$B$5))),"")</f>
        <v/>
      </c>
      <c r="E58" s="236">
        <f>IF(AB58&lt;&gt;"",IF(Info!$C$16="بله",IF(AND(AC58&lt;=Info!$F$20,AC58&gt;=Info!$I$20),Info!$C$20,0)+(Z58-S58-I58-H58-G58-F58-L58),IF(AND(AC58&lt;=Info!$F$20,AC58&gt;=Info!$I$20),Info!$C$20,0)+(Z58-S58-I58-H58-G58-F58)),"")</f>
        <v/>
      </c>
      <c r="F58" s="236">
        <f>IF(AB58&lt;&gt;"",0.03*(H58+I58+S58+L58),"")</f>
        <v/>
      </c>
      <c r="G58" s="236">
        <f>IF(AB58&lt;&gt;"",0.06*(H58+I58+S58+L58),"")</f>
        <v/>
      </c>
      <c r="H58" s="237">
        <f>IF(M58="",0,M58)+IF(N58="",0,N58)+IF(O58="",0,O58)</f>
        <v/>
      </c>
      <c r="I58" s="242" t="n">
        <v>0</v>
      </c>
      <c r="J58" s="242">
        <f>IF(AB58&lt;&gt;"",K58/((1+10/100)^(AC58-1)),"")</f>
        <v/>
      </c>
      <c r="K58" s="236">
        <f>IF(U58&lt;&gt;"",Info!$L$20*U58,"")</f>
        <v/>
      </c>
      <c r="L58" s="243">
        <f>IF(P58="",0,P58)+IF(Q58="",0,Q58)</f>
        <v/>
      </c>
      <c r="M58" s="244">
        <f>IF(Z58&lt;&gt;"",5/100*Z58,"")</f>
        <v/>
      </c>
      <c r="N58" s="244" t="n">
        <v>0</v>
      </c>
      <c r="O58" s="244">
        <f>IF(Z58&lt;&gt;"",0.02*Z58*(1-Info!$F$25),"")</f>
        <v/>
      </c>
      <c r="P58" s="243">
        <f>IF(AND(AB58&lt;=70,W58&lt;&gt;""),(1-Info!$I$27)*((W58*0.0008*(1+(LOOKUP(Info!$I$18,Rates!$O:$O,Rates!$M:$M)/100)))+((Y58*0.0008*Info!$L$14))*(1+(LOOKUP(Info!$I$18,Rates!$O:$O,Rates!$N:$N)/100))),"")</f>
        <v/>
      </c>
      <c r="Q58" s="239">
        <f>IF(AB58&lt;=60,(LOOKUP(AB58,Rates!$T:$T,Rates!#REF!))*V58/1000000*(1+Info!$L$20)*(1-Info!$I$29),"")</f>
        <v/>
      </c>
      <c r="R58" s="42">
        <f>IF(AND(Z58&lt;&gt;"",Q58&lt;&gt;"",P58&lt;&gt;""),IF(Info!$C$16="بله",(Z58-Q58-P58),Z58),"")</f>
        <v/>
      </c>
      <c r="S58" s="236" t="n">
        <v>0</v>
      </c>
      <c r="T58" s="236">
        <f>IF(AB58&lt;&gt;"",U58/((1+10/100)^(AC58-1)),"")</f>
        <v/>
      </c>
      <c r="U58" s="236">
        <f>IF(AB58&lt;&gt;"",(Y58*LOOKUP(AB58,Rates!$T:$T,Rates!$S:$S))/SQRT(1.1),"")</f>
        <v/>
      </c>
      <c r="V58" s="245">
        <f>IF(AND(AB58&lt;&gt;"",AB58&lt;=60),IF(V57*(1+Info!$F$10)&lt;300000000,V57*(1+Info!$F$10),300000000),"")</f>
        <v/>
      </c>
      <c r="W58" s="240">
        <f>IF(AND(AB58&lt;&gt;"",AB58&lt;=60),Y58*Info!$L$16,"")</f>
        <v/>
      </c>
      <c r="X58" s="245">
        <f>IF(AND(AB58&lt;&gt;"",AB58&lt;=70),Y58*(1+Info!$L$14),"")</f>
        <v/>
      </c>
      <c r="Y58" s="245">
        <f>IF(AB58&lt;&gt;"",(1+Info!$F$10)*Y57,"")</f>
        <v/>
      </c>
      <c r="Z58" s="42" t="n">
        <v>0</v>
      </c>
      <c r="AA58" s="57">
        <f>IF(AC58&lt;&gt;"",Info!$C$6+AC58-1,"")</f>
        <v/>
      </c>
      <c r="AB58" s="57">
        <f>IF(AC58&lt;&gt;"",Info!$F$6+AC58-1,"")</f>
        <v/>
      </c>
      <c r="AC58" s="57">
        <f>IF(AC57&lt;&gt;"",IF(AC57+1&lt;=Info!$I$6,AC57+1,""),"")</f>
        <v/>
      </c>
      <c r="AD58" s="241" t="n"/>
      <c r="AE58" s="241" t="n"/>
    </row>
    <row r="59">
      <c r="A59" s="51" t="n">
        <v>0</v>
      </c>
      <c r="B59" s="51">
        <f>IF(AB59&lt;&gt;"",E59+E59*(IF(AC59&gt;4,0.1,LOOKUP(Info!$C$10,Rates!$D$2:$D$4,Rates!$C$2:$C$4))+0.85*(Info!$I$22-(IF(AC59&gt;4,0.1,LOOKUP(Info!$C$10,Rates!$D$2:$D$4,Rates!$C$2:$C$4)))))*LOOKUP(Info!$C$8,Rates!$I$2:$I$7,Rates!$G$2:$G$7)+B58*(1+IF(AC59&gt;4,0.1,LOOKUP(Info!$C$10,Rates!$D$2:$D$4,Rates!$C$2:$C$4))+0.85*(Info!$I$22-IF(AC59&gt;4,0.1,LOOKUP(Info!$C$10,Rates!$D$2:$D$4,Rates!$C$2:$C$4)))),"")</f>
        <v/>
      </c>
      <c r="C59" s="242">
        <f>IF(AB59&lt;&gt;"",D59,"")</f>
        <v/>
      </c>
      <c r="D59" s="53">
        <f>IF(AB59&lt;&gt;"",E59*(1+IF(AC59&gt;4,0.1,LOOKUP(Info!$C$10,Rates!$D$2:$D$5,Rates!$B$2:$B$5))*LOOKUP(Info!$C$8,Rates!$I$2:$I$7,Rates!$G$2:$G$7))+D58*(1+IF(AC59&gt;4,0.1,LOOKUP(Info!$C$10,Rates!$D$2:$D$5,Rates!$B$2:$B$5))),"")</f>
        <v/>
      </c>
      <c r="E59" s="236">
        <f>IF(AB59&lt;&gt;"",IF(Info!$C$16="بله",IF(AND(AC59&lt;=Info!$F$20,AC59&gt;=Info!$I$20),Info!$C$20,0)+(Z59-S59-I59-H59-G59-F59-L59),IF(AND(AC59&lt;=Info!$F$20,AC59&gt;=Info!$I$20),Info!$C$20,0)+(Z59-S59-I59-H59-G59-F59)),"")</f>
        <v/>
      </c>
      <c r="F59" s="236">
        <f>IF(AB59&lt;&gt;"",0.03*(H59+I59+S59+L59),"")</f>
        <v/>
      </c>
      <c r="G59" s="236">
        <f>IF(AB59&lt;&gt;"",0.06*(H59+I59+S59+L59),"")</f>
        <v/>
      </c>
      <c r="H59" s="237">
        <f>IF(M59="",0,M59)+IF(N59="",0,N59)+IF(O59="",0,O59)</f>
        <v/>
      </c>
      <c r="I59" s="242" t="n">
        <v>0</v>
      </c>
      <c r="J59" s="242">
        <f>IF(AB59&lt;&gt;"",K59/((1+10/100)^(AC59-1)),"")</f>
        <v/>
      </c>
      <c r="K59" s="236">
        <f>IF(U59&lt;&gt;"",Info!$L$20*U59,"")</f>
        <v/>
      </c>
      <c r="L59" s="243">
        <f>IF(P59="",0,P59)+IF(Q59="",0,Q59)</f>
        <v/>
      </c>
      <c r="M59" s="244">
        <f>IF(Z59&lt;&gt;"",5/100*Z59,"")</f>
        <v/>
      </c>
      <c r="N59" s="244" t="n">
        <v>0</v>
      </c>
      <c r="O59" s="244">
        <f>IF(Z59&lt;&gt;"",0.02*Z59*(1-Info!$F$25),"")</f>
        <v/>
      </c>
      <c r="P59" s="243">
        <f>IF(AND(AB59&lt;=70,W59&lt;&gt;""),(1-Info!$I$27)*((W59*0.0008*(1+(LOOKUP(Info!$I$18,Rates!$O:$O,Rates!$M:$M)/100)))+((Y59*0.0008*Info!$L$14))*(1+(LOOKUP(Info!$I$18,Rates!$O:$O,Rates!$N:$N)/100))),"")</f>
        <v/>
      </c>
      <c r="Q59" s="239">
        <f>IF(AB59&lt;=60,(LOOKUP(AB59,Rates!$T:$T,Rates!#REF!))*V59/1000000*(1+Info!$L$20)*(1-Info!$I$29),"")</f>
        <v/>
      </c>
      <c r="R59" s="42">
        <f>IF(AND(Z59&lt;&gt;"",Q59&lt;&gt;"",P59&lt;&gt;""),IF(Info!$C$16="بله",(Z59-Q59-P59),Z59),"")</f>
        <v/>
      </c>
      <c r="S59" s="236" t="n">
        <v>0</v>
      </c>
      <c r="T59" s="236">
        <f>IF(AB59&lt;&gt;"",U59/((1+10/100)^(AC59-1)),"")</f>
        <v/>
      </c>
      <c r="U59" s="236">
        <f>IF(AB59&lt;&gt;"",(Y59*LOOKUP(AB59,Rates!$T:$T,Rates!$S:$S))/SQRT(1.1),"")</f>
        <v/>
      </c>
      <c r="V59" s="245">
        <f>IF(AND(AB59&lt;&gt;"",AB59&lt;=60),IF(V58*(1+Info!$F$10)&lt;300000000,V58*(1+Info!$F$10),300000000),"")</f>
        <v/>
      </c>
      <c r="W59" s="240">
        <f>IF(AND(AB59&lt;&gt;"",AB59&lt;=60),Y59*Info!$L$16,"")</f>
        <v/>
      </c>
      <c r="X59" s="245">
        <f>IF(AND(AB59&lt;&gt;"",AB59&lt;=70),Y59*(1+Info!$L$14),"")</f>
        <v/>
      </c>
      <c r="Y59" s="245">
        <f>IF(AB59&lt;&gt;"",(1+Info!$F$10)*Y58,"")</f>
        <v/>
      </c>
      <c r="Z59" s="42" t="n">
        <v>0</v>
      </c>
      <c r="AA59" s="57">
        <f>IF(AC59&lt;&gt;"",Info!$C$6+AC59-1,"")</f>
        <v/>
      </c>
      <c r="AB59" s="57">
        <f>IF(AC59&lt;&gt;"",Info!$F$6+AC59-1,"")</f>
        <v/>
      </c>
      <c r="AC59" s="57">
        <f>IF(AC58&lt;&gt;"",IF(AC58+1&lt;=Info!$I$6,AC58+1,""),"")</f>
        <v/>
      </c>
      <c r="AD59" s="241" t="n"/>
      <c r="AE59" s="241" t="n"/>
    </row>
    <row r="60">
      <c r="A60" s="51" t="n">
        <v>0</v>
      </c>
      <c r="B60" s="51">
        <f>IF(AB60&lt;&gt;"",E60+E60*(IF(AC60&gt;4,0.1,LOOKUP(Info!$C$10,Rates!$D$2:$D$4,Rates!$C$2:$C$4))+0.85*(Info!$I$22-(IF(AC60&gt;4,0.1,LOOKUP(Info!$C$10,Rates!$D$2:$D$4,Rates!$C$2:$C$4)))))*LOOKUP(Info!$C$8,Rates!$I$2:$I$7,Rates!$G$2:$G$7)+B59*(1+IF(AC60&gt;4,0.1,LOOKUP(Info!$C$10,Rates!$D$2:$D$4,Rates!$C$2:$C$4))+0.85*(Info!$I$22-IF(AC60&gt;4,0.1,LOOKUP(Info!$C$10,Rates!$D$2:$D$4,Rates!$C$2:$C$4)))),"")</f>
        <v/>
      </c>
      <c r="C60" s="242">
        <f>IF(AB60&lt;&gt;"",D60,"")</f>
        <v/>
      </c>
      <c r="D60" s="53">
        <f>IF(AB60&lt;&gt;"",E60*(1+IF(AC60&gt;4,0.1,LOOKUP(Info!$C$10,Rates!$D$2:$D$5,Rates!$B$2:$B$5))*LOOKUP(Info!$C$8,Rates!$I$2:$I$7,Rates!$G$2:$G$7))+D59*(1+IF(AC60&gt;4,0.1,LOOKUP(Info!$C$10,Rates!$D$2:$D$5,Rates!$B$2:$B$5))),"")</f>
        <v/>
      </c>
      <c r="E60" s="236">
        <f>IF(AB60&lt;&gt;"",IF(Info!$C$16="بله",IF(AND(AC60&lt;=Info!$F$20,AC60&gt;=Info!$I$20),Info!$C$20,0)+(Z60-S60-I60-H60-G60-F60-L60),IF(AND(AC60&lt;=Info!$F$20,AC60&gt;=Info!$I$20),Info!$C$20,0)+(Z60-S60-I60-H60-G60-F60)),"")</f>
        <v/>
      </c>
      <c r="F60" s="236">
        <f>IF(AB60&lt;&gt;"",0.03*(H60+I60+S60+L60),"")</f>
        <v/>
      </c>
      <c r="G60" s="236">
        <f>IF(AB60&lt;&gt;"",0.06*(H60+I60+S60+L60),"")</f>
        <v/>
      </c>
      <c r="H60" s="237">
        <f>IF(M60="",0,M60)+IF(N60="",0,N60)+IF(O60="",0,O60)</f>
        <v/>
      </c>
      <c r="I60" s="242" t="n">
        <v>0</v>
      </c>
      <c r="J60" s="242">
        <f>IF(AB60&lt;&gt;"",K60/((1+10/100)^(AC60-1)),"")</f>
        <v/>
      </c>
      <c r="K60" s="236">
        <f>IF(U60&lt;&gt;"",Info!$L$20*U60,"")</f>
        <v/>
      </c>
      <c r="L60" s="243">
        <f>IF(P60="",0,P60)+IF(Q60="",0,Q60)</f>
        <v/>
      </c>
      <c r="M60" s="244">
        <f>IF(Z60&lt;&gt;"",5/100*Z60,"")</f>
        <v/>
      </c>
      <c r="N60" s="244" t="n">
        <v>0</v>
      </c>
      <c r="O60" s="244">
        <f>IF(Z60&lt;&gt;"",0.02*Z60*(1-Info!$F$25),"")</f>
        <v/>
      </c>
      <c r="P60" s="243">
        <f>IF(AND(AB60&lt;=70,W60&lt;&gt;""),(1-Info!$I$27)*((W60*0.0008*(1+(LOOKUP(Info!$I$18,Rates!$O:$O,Rates!$M:$M)/100)))+((Y60*0.0008*Info!$L$14))*(1+(LOOKUP(Info!$I$18,Rates!$O:$O,Rates!$N:$N)/100))),"")</f>
        <v/>
      </c>
      <c r="Q60" s="239">
        <f>IF(AB60&lt;=60,(LOOKUP(AB60,Rates!$T:$T,Rates!#REF!))*V60/1000000*(1+Info!$L$20)*(1-Info!$I$29),"")</f>
        <v/>
      </c>
      <c r="R60" s="42">
        <f>IF(AND(Z60&lt;&gt;"",Q60&lt;&gt;"",P60&lt;&gt;""),IF(Info!$C$16="بله",(Z60-Q60-P60),Z60),"")</f>
        <v/>
      </c>
      <c r="S60" s="236" t="n">
        <v>0</v>
      </c>
      <c r="T60" s="236">
        <f>IF(AB60&lt;&gt;"",U60/((1+10/100)^(AC60-1)),"")</f>
        <v/>
      </c>
      <c r="U60" s="236">
        <f>IF(AB60&lt;&gt;"",(Y60*LOOKUP(AB60,Rates!$T:$T,Rates!$S:$S))/SQRT(1.1),"")</f>
        <v/>
      </c>
      <c r="V60" s="245">
        <f>IF(AND(AB60&lt;&gt;"",AB60&lt;=60),IF(V59*(1+Info!$F$10)&lt;300000000,V59*(1+Info!$F$10),300000000),"")</f>
        <v/>
      </c>
      <c r="W60" s="240">
        <f>IF(AND(AB60&lt;&gt;"",AB60&lt;=60),Y60*Info!$L$16,"")</f>
        <v/>
      </c>
      <c r="X60" s="245">
        <f>IF(AND(AB60&lt;&gt;"",AB60&lt;=70),Y60*(1+Info!$L$14),"")</f>
        <v/>
      </c>
      <c r="Y60" s="245">
        <f>IF(AB60&lt;&gt;"",(1+Info!$F$10)*Y59,"")</f>
        <v/>
      </c>
      <c r="Z60" s="42" t="n">
        <v>0</v>
      </c>
      <c r="AA60" s="57">
        <f>IF(AC60&lt;&gt;"",Info!$C$6+AC60-1,"")</f>
        <v/>
      </c>
      <c r="AB60" s="57">
        <f>IF(AC60&lt;&gt;"",Info!$F$6+AC60-1,"")</f>
        <v/>
      </c>
      <c r="AC60" s="57">
        <f>IF(AC59&lt;&gt;"",IF(AC59+1&lt;=Info!$I$6,AC59+1,""),"")</f>
        <v/>
      </c>
      <c r="AD60" s="241" t="n"/>
      <c r="AE60" s="241" t="n"/>
    </row>
    <row r="61">
      <c r="A61" s="51" t="n">
        <v>0</v>
      </c>
      <c r="B61" s="51">
        <f>IF(AB61&lt;&gt;"",E61+E61*(IF(AC61&gt;4,0.1,LOOKUP(Info!$C$10,Rates!$D$2:$D$4,Rates!$C$2:$C$4))+0.85*(Info!$I$22-(IF(AC61&gt;4,0.1,LOOKUP(Info!$C$10,Rates!$D$2:$D$4,Rates!$C$2:$C$4)))))*LOOKUP(Info!$C$8,Rates!$I$2:$I$7,Rates!$G$2:$G$7)+B60*(1+IF(AC61&gt;4,0.1,LOOKUP(Info!$C$10,Rates!$D$2:$D$4,Rates!$C$2:$C$4))+0.85*(Info!$I$22-IF(AC61&gt;4,0.1,LOOKUP(Info!$C$10,Rates!$D$2:$D$4,Rates!$C$2:$C$4)))),"")</f>
        <v/>
      </c>
      <c r="C61" s="242">
        <f>IF(AB61&lt;&gt;"",D61,"")</f>
        <v/>
      </c>
      <c r="D61" s="53">
        <f>IF(AB61&lt;&gt;"",E61*(1+IF(AC61&gt;4,0.1,LOOKUP(Info!$C$10,Rates!$D$2:$D$5,Rates!$B$2:$B$5))*LOOKUP(Info!$C$8,Rates!$I$2:$I$7,Rates!$G$2:$G$7))+D60*(1+IF(AC61&gt;4,0.1,LOOKUP(Info!$C$10,Rates!$D$2:$D$5,Rates!$B$2:$B$5))),"")</f>
        <v/>
      </c>
      <c r="E61" s="236">
        <f>IF(AB61&lt;&gt;"",IF(Info!$C$16="بله",IF(AND(AC61&lt;=Info!$F$20,AC61&gt;=Info!$I$20),Info!$C$20,0)+(Z61-S61-I61-H61-G61-F61-L61),IF(AND(AC61&lt;=Info!$F$20,AC61&gt;=Info!$I$20),Info!$C$20,0)+(Z61-S61-I61-H61-G61-F61)),"")</f>
        <v/>
      </c>
      <c r="F61" s="236">
        <f>IF(AB61&lt;&gt;"",0.03*(H61+I61+S61+L61),"")</f>
        <v/>
      </c>
      <c r="G61" s="236">
        <f>IF(AB61&lt;&gt;"",0.06*(H61+I61+S61+L61),"")</f>
        <v/>
      </c>
      <c r="H61" s="237">
        <f>IF(M61="",0,M61)+IF(N61="",0,N61)+IF(O61="",0,O61)</f>
        <v/>
      </c>
      <c r="I61" s="242" t="n">
        <v>0</v>
      </c>
      <c r="J61" s="242">
        <f>IF(AB61&lt;&gt;"",K61/((1+10/100)^(AC61-1)),"")</f>
        <v/>
      </c>
      <c r="K61" s="236">
        <f>IF(U61&lt;&gt;"",Info!$L$20*U61,"")</f>
        <v/>
      </c>
      <c r="L61" s="243">
        <f>IF(P61="",0,P61)+IF(Q61="",0,Q61)</f>
        <v/>
      </c>
      <c r="M61" s="244">
        <f>IF(Z61&lt;&gt;"",5/100*Z61,"")</f>
        <v/>
      </c>
      <c r="N61" s="244" t="n">
        <v>0</v>
      </c>
      <c r="O61" s="244">
        <f>IF(Z61&lt;&gt;"",0.02*Z61*(1-Info!$F$25),"")</f>
        <v/>
      </c>
      <c r="P61" s="243">
        <f>IF(AND(AB61&lt;=70,W61&lt;&gt;""),(1-Info!$I$27)*((W61*0.0008*(1+(LOOKUP(Info!$I$18,Rates!$O:$O,Rates!$M:$M)/100)))+((Y61*0.0008*Info!$L$14))*(1+(LOOKUP(Info!$I$18,Rates!$O:$O,Rates!$N:$N)/100))),"")</f>
        <v/>
      </c>
      <c r="Q61" s="239">
        <f>IF(AB61&lt;=60,(LOOKUP(AB61,Rates!$T:$T,Rates!#REF!))*V61/1000000*(1+Info!$L$20)*(1-Info!$I$29),"")</f>
        <v/>
      </c>
      <c r="R61" s="42">
        <f>IF(AND(Z61&lt;&gt;"",Q61&lt;&gt;"",P61&lt;&gt;""),IF(Info!$C$16="بله",(Z61-Q61-P61),Z61),"")</f>
        <v/>
      </c>
      <c r="S61" s="236" t="n">
        <v>0</v>
      </c>
      <c r="T61" s="236">
        <f>IF(AB61&lt;&gt;"",U61/((1+10/100)^(AC61-1)),"")</f>
        <v/>
      </c>
      <c r="U61" s="236">
        <f>IF(AB61&lt;&gt;"",(Y61*LOOKUP(AB61,Rates!$T:$T,Rates!$S:$S))/SQRT(1.1),"")</f>
        <v/>
      </c>
      <c r="V61" s="245">
        <f>IF(AND(AB61&lt;&gt;"",AB61&lt;=60),IF(V60*(1+Info!$F$10)&lt;300000000,V60*(1+Info!$F$10),300000000),"")</f>
        <v/>
      </c>
      <c r="W61" s="240">
        <f>IF(AND(AB61&lt;&gt;"",AB61&lt;=60),Y61*Info!$L$16,"")</f>
        <v/>
      </c>
      <c r="X61" s="245">
        <f>IF(AND(AB61&lt;&gt;"",AB61&lt;=70),Y61*(1+Info!$L$14),"")</f>
        <v/>
      </c>
      <c r="Y61" s="245">
        <f>IF(AB61&lt;&gt;"",(1+Info!$F$10)*Y60,"")</f>
        <v/>
      </c>
      <c r="Z61" s="42" t="n">
        <v>0</v>
      </c>
      <c r="AA61" s="57">
        <f>IF(AC61&lt;&gt;"",Info!$C$6+AC61-1,"")</f>
        <v/>
      </c>
      <c r="AB61" s="57">
        <f>IF(AC61&lt;&gt;"",Info!$F$6+AC61-1,"")</f>
        <v/>
      </c>
      <c r="AC61" s="57">
        <f>IF(AC60&lt;&gt;"",IF(AC60+1&lt;=Info!$I$6,AC60+1,""),"")</f>
        <v/>
      </c>
      <c r="AD61" s="241" t="n"/>
      <c r="AE61" s="241" t="n"/>
    </row>
    <row r="62">
      <c r="A62" s="51" t="n">
        <v>0</v>
      </c>
      <c r="B62" s="51">
        <f>IF(AB62&lt;&gt;"",E62+E62*(IF(AC62&gt;4,0.1,LOOKUP(Info!$C$10,Rates!$D$2:$D$4,Rates!$C$2:$C$4))+0.85*(Info!$I$22-(IF(AC62&gt;4,0.1,LOOKUP(Info!$C$10,Rates!$D$2:$D$4,Rates!$C$2:$C$4)))))*LOOKUP(Info!$C$8,Rates!$I$2:$I$7,Rates!$G$2:$G$7)+B61*(1+IF(AC62&gt;4,0.1,LOOKUP(Info!$C$10,Rates!$D$2:$D$4,Rates!$C$2:$C$4))+0.85*(Info!$I$22-IF(AC62&gt;4,0.1,LOOKUP(Info!$C$10,Rates!$D$2:$D$4,Rates!$C$2:$C$4)))),"")</f>
        <v/>
      </c>
      <c r="C62" s="242">
        <f>IF(AB62&lt;&gt;"",D62,"")</f>
        <v/>
      </c>
      <c r="D62" s="53">
        <f>IF(AB62&lt;&gt;"",E62*(1+IF(AC62&gt;4,0.1,LOOKUP(Info!$C$10,Rates!$D$2:$D$5,Rates!$B$2:$B$5))*LOOKUP(Info!$C$8,Rates!$I$2:$I$7,Rates!$G$2:$G$7))+D61*(1+IF(AC62&gt;4,0.1,LOOKUP(Info!$C$10,Rates!$D$2:$D$5,Rates!$B$2:$B$5))),"")</f>
        <v/>
      </c>
      <c r="E62" s="236">
        <f>IF(AB62&lt;&gt;"",IF(Info!$C$16="بله",IF(AND(AC62&lt;=Info!$F$20,AC62&gt;=Info!$I$20),Info!$C$20,0)+(Z62-S62-I62-H62-G62-F62-L62),IF(AND(AC62&lt;=Info!$F$20,AC62&gt;=Info!$I$20),Info!$C$20,0)+(Z62-S62-I62-H62-G62-F62)),"")</f>
        <v/>
      </c>
      <c r="F62" s="236">
        <f>IF(AB62&lt;&gt;"",0.03*(H62+I62+S62+L62),"")</f>
        <v/>
      </c>
      <c r="G62" s="236">
        <f>IF(AB62&lt;&gt;"",0.06*(H62+I62+S62+L62),"")</f>
        <v/>
      </c>
      <c r="H62" s="237">
        <f>IF(M62="",0,M62)+IF(N62="",0,N62)+IF(O62="",0,O62)</f>
        <v/>
      </c>
      <c r="I62" s="242" t="n">
        <v>0</v>
      </c>
      <c r="J62" s="242">
        <f>IF(AB62&lt;&gt;"",K62/((1+10/100)^(AC62-1)),"")</f>
        <v/>
      </c>
      <c r="K62" s="236">
        <f>IF(U62&lt;&gt;"",Info!$L$20*U62,"")</f>
        <v/>
      </c>
      <c r="L62" s="243">
        <f>IF(P62="",0,P62)+IF(Q62="",0,Q62)</f>
        <v/>
      </c>
      <c r="M62" s="244">
        <f>IF(Z62&lt;&gt;"",5/100*Z62,"")</f>
        <v/>
      </c>
      <c r="N62" s="244" t="n">
        <v>0</v>
      </c>
      <c r="O62" s="244">
        <f>IF(Z62&lt;&gt;"",0.02*Z62*(1-Info!$F$25),"")</f>
        <v/>
      </c>
      <c r="P62" s="243">
        <f>IF(AND(AB62&lt;=70,W62&lt;&gt;""),(1-Info!$I$27)*((W62*0.0008*(1+(LOOKUP(Info!$I$18,Rates!$O:$O,Rates!$M:$M)/100)))+((Y62*0.0008*Info!$L$14))*(1+(LOOKUP(Info!$I$18,Rates!$O:$O,Rates!$N:$N)/100))),"")</f>
        <v/>
      </c>
      <c r="Q62" s="239">
        <f>IF(AB62&lt;=60,(LOOKUP(AB62,Rates!$T:$T,Rates!#REF!))*V62/1000000*(1+Info!$L$20)*(1-Info!$I$29),"")</f>
        <v/>
      </c>
      <c r="R62" s="42">
        <f>IF(AND(Z62&lt;&gt;"",Q62&lt;&gt;"",P62&lt;&gt;""),IF(Info!$C$16="بله",(Z62-Q62-P62),Z62),"")</f>
        <v/>
      </c>
      <c r="S62" s="236" t="n">
        <v>0</v>
      </c>
      <c r="T62" s="236">
        <f>IF(AB62&lt;&gt;"",U62/((1+10/100)^(AC62-1)),"")</f>
        <v/>
      </c>
      <c r="U62" s="236">
        <f>IF(AB62&lt;&gt;"",(Y62*LOOKUP(AB62,Rates!$T:$T,Rates!$S:$S))/SQRT(1.1),"")</f>
        <v/>
      </c>
      <c r="V62" s="245">
        <f>IF(AND(AB62&lt;&gt;"",AB62&lt;=60),IF(V61*(1+Info!$F$10)&lt;300000000,V61*(1+Info!$F$10),300000000),"")</f>
        <v/>
      </c>
      <c r="W62" s="240">
        <f>IF(AND(AB62&lt;&gt;"",AB62&lt;=60),Y62*Info!$L$16,"")</f>
        <v/>
      </c>
      <c r="X62" s="245">
        <f>IF(AND(AB62&lt;&gt;"",AB62&lt;=70),Y62*(1+Info!$L$14),"")</f>
        <v/>
      </c>
      <c r="Y62" s="245">
        <f>IF(AB62&lt;&gt;"",(1+Info!$F$10)*Y61,"")</f>
        <v/>
      </c>
      <c r="Z62" s="42" t="n">
        <v>0</v>
      </c>
      <c r="AA62" s="57">
        <f>IF(AC62&lt;&gt;"",Info!$C$6+AC62-1,"")</f>
        <v/>
      </c>
      <c r="AB62" s="57">
        <f>IF(AC62&lt;&gt;"",Info!$F$6+AC62-1,"")</f>
        <v/>
      </c>
      <c r="AC62" s="57">
        <f>IF(AC61&lt;&gt;"",IF(AC61+1&lt;=Info!$I$6,AC61+1,""),"")</f>
        <v/>
      </c>
      <c r="AD62" s="241" t="n"/>
      <c r="AE62" s="241" t="n"/>
    </row>
    <row r="63">
      <c r="A63" s="51" t="n">
        <v>0</v>
      </c>
      <c r="B63" s="51">
        <f>IF(AB63&lt;&gt;"",E63+E63*(IF(AC63&gt;4,0.1,LOOKUP(Info!$C$10,Rates!$D$2:$D$4,Rates!$C$2:$C$4))+0.85*(Info!$I$22-(IF(AC63&gt;4,0.1,LOOKUP(Info!$C$10,Rates!$D$2:$D$4,Rates!$C$2:$C$4)))))*LOOKUP(Info!$C$8,Rates!$I$2:$I$7,Rates!$G$2:$G$7)+B62*(1+IF(AC63&gt;4,0.1,LOOKUP(Info!$C$10,Rates!$D$2:$D$4,Rates!$C$2:$C$4))+0.85*(Info!$I$22-IF(AC63&gt;4,0.1,LOOKUP(Info!$C$10,Rates!$D$2:$D$4,Rates!$C$2:$C$4)))),"")</f>
        <v/>
      </c>
      <c r="C63" s="242">
        <f>IF(AB63&lt;&gt;"",D63,"")</f>
        <v/>
      </c>
      <c r="D63" s="53">
        <f>IF(AB63&lt;&gt;"",E63*(1+IF(AC63&gt;4,0.1,LOOKUP(Info!$C$10,Rates!$D$2:$D$5,Rates!$B$2:$B$5))*LOOKUP(Info!$C$8,Rates!$I$2:$I$7,Rates!$G$2:$G$7))+D62*(1+IF(AC63&gt;4,0.1,LOOKUP(Info!$C$10,Rates!$D$2:$D$5,Rates!$B$2:$B$5))),"")</f>
        <v/>
      </c>
      <c r="E63" s="236">
        <f>IF(AB63&lt;&gt;"",IF(Info!$C$16="بله",IF(AND(AC63&lt;=Info!$F$20,AC63&gt;=Info!$I$20),Info!$C$20,0)+(Z63-S63-I63-H63-G63-F63-L63),IF(AND(AC63&lt;=Info!$F$20,AC63&gt;=Info!$I$20),Info!$C$20,0)+(Z63-S63-I63-H63-G63-F63)),"")</f>
        <v/>
      </c>
      <c r="F63" s="236">
        <f>IF(AB63&lt;&gt;"",0.03*(H63+I63+S63+L63),"")</f>
        <v/>
      </c>
      <c r="G63" s="236">
        <f>IF(AB63&lt;&gt;"",0.06*(H63+I63+S63+L63),"")</f>
        <v/>
      </c>
      <c r="H63" s="237">
        <f>IF(M63="",0,M63)+IF(N63="",0,N63)+IF(O63="",0,O63)</f>
        <v/>
      </c>
      <c r="I63" s="242" t="n">
        <v>0</v>
      </c>
      <c r="J63" s="242">
        <f>IF(AB63&lt;&gt;"",K63/((1+10/100)^(AC63-1)),"")</f>
        <v/>
      </c>
      <c r="K63" s="236">
        <f>IF(U63&lt;&gt;"",Info!$L$20*U63,"")</f>
        <v/>
      </c>
      <c r="L63" s="243">
        <f>IF(P63="",0,P63)+IF(Q63="",0,Q63)</f>
        <v/>
      </c>
      <c r="M63" s="244">
        <f>IF(Z63&lt;&gt;"",5/100*Z63,"")</f>
        <v/>
      </c>
      <c r="N63" s="244" t="n">
        <v>0</v>
      </c>
      <c r="O63" s="244">
        <f>IF(Z63&lt;&gt;"",0.02*Z63*(1-Info!$F$25),"")</f>
        <v/>
      </c>
      <c r="P63" s="243">
        <f>IF(AND(AB63&lt;=70,W63&lt;&gt;""),(1-Info!$I$27)*((W63*0.0008*(1+(LOOKUP(Info!$I$18,Rates!$O:$O,Rates!$M:$M)/100)))+((Y63*0.0008*Info!$L$14))*(1+(LOOKUP(Info!$I$18,Rates!$O:$O,Rates!$N:$N)/100))),"")</f>
        <v/>
      </c>
      <c r="Q63" s="239">
        <f>IF(AB63&lt;=60,(LOOKUP(AB63,Rates!$T:$T,Rates!#REF!))*V63/1000000*(1+Info!$L$20)*(1-Info!$I$29),"")</f>
        <v/>
      </c>
      <c r="R63" s="42">
        <f>IF(AND(Z63&lt;&gt;"",Q63&lt;&gt;"",P63&lt;&gt;""),IF(Info!$C$16="بله",(Z63-Q63-P63),Z63),"")</f>
        <v/>
      </c>
      <c r="S63" s="236" t="n">
        <v>0</v>
      </c>
      <c r="T63" s="236">
        <f>IF(AB63&lt;&gt;"",U63/((1+10/100)^(AC63-1)),"")</f>
        <v/>
      </c>
      <c r="U63" s="236">
        <f>IF(AB63&lt;&gt;"",(Y63*LOOKUP(AB63,Rates!$T:$T,Rates!$S:$S))/SQRT(1.1),"")</f>
        <v/>
      </c>
      <c r="V63" s="245">
        <f>IF(AND(AB63&lt;&gt;"",AB63&lt;=60),IF(V62*(1+Info!$F$10)&lt;300000000,V62*(1+Info!$F$10),300000000),"")</f>
        <v/>
      </c>
      <c r="W63" s="240">
        <f>IF(AND(AB63&lt;&gt;"",AB63&lt;=60),Y63*Info!$L$16,"")</f>
        <v/>
      </c>
      <c r="X63" s="245">
        <f>IF(AND(AB63&lt;&gt;"",AB63&lt;=70),Y63*(1+Info!$L$14),"")</f>
        <v/>
      </c>
      <c r="Y63" s="245">
        <f>IF(AB63&lt;&gt;"",(1+Info!$F$10)*Y62,"")</f>
        <v/>
      </c>
      <c r="Z63" s="42" t="n">
        <v>0</v>
      </c>
      <c r="AA63" s="57">
        <f>IF(AC63&lt;&gt;"",Info!$C$6+AC63-1,"")</f>
        <v/>
      </c>
      <c r="AB63" s="57">
        <f>IF(AC63&lt;&gt;"",Info!$F$6+AC63-1,"")</f>
        <v/>
      </c>
      <c r="AC63" s="57">
        <f>IF(AC62&lt;&gt;"",IF(AC62+1&lt;=Info!$I$6,AC62+1,""),"")</f>
        <v/>
      </c>
      <c r="AD63" s="241" t="n"/>
      <c r="AE63" s="241" t="n"/>
    </row>
    <row r="64">
      <c r="A64" s="51" t="n">
        <v>0</v>
      </c>
      <c r="B64" s="51">
        <f>IF(AB64&lt;&gt;"",E64+E64*(IF(AC64&gt;4,0.1,LOOKUP(Info!$C$10,Rates!$D$2:$D$4,Rates!$C$2:$C$4))+0.85*(Info!$I$22-(IF(AC64&gt;4,0.1,LOOKUP(Info!$C$10,Rates!$D$2:$D$4,Rates!$C$2:$C$4)))))*LOOKUP(Info!$C$8,Rates!$I$2:$I$7,Rates!$G$2:$G$7)+B63*(1+IF(AC64&gt;4,0.1,LOOKUP(Info!$C$10,Rates!$D$2:$D$4,Rates!$C$2:$C$4))+0.85*(Info!$I$22-IF(AC64&gt;4,0.1,LOOKUP(Info!$C$10,Rates!$D$2:$D$4,Rates!$C$2:$C$4)))),"")</f>
        <v/>
      </c>
      <c r="C64" s="242">
        <f>IF(AB64&lt;&gt;"",D64,"")</f>
        <v/>
      </c>
      <c r="D64" s="53">
        <f>IF(AB64&lt;&gt;"",E64*(1+IF(AC64&gt;4,0.1,LOOKUP(Info!$C$10,Rates!$D$2:$D$5,Rates!$B$2:$B$5))*LOOKUP(Info!$C$8,Rates!$I$2:$I$7,Rates!$G$2:$G$7))+D63*(1+IF(AC64&gt;4,0.1,LOOKUP(Info!$C$10,Rates!$D$2:$D$5,Rates!$B$2:$B$5))),"")</f>
        <v/>
      </c>
      <c r="E64" s="236">
        <f>IF(AB64&lt;&gt;"",IF(Info!$C$16="بله",IF(AND(AC64&lt;=Info!$F$20,AC64&gt;=Info!$I$20),Info!$C$20,0)+(Z64-S64-I64-H64-G64-F64-L64),IF(AND(AC64&lt;=Info!$F$20,AC64&gt;=Info!$I$20),Info!$C$20,0)+(Z64-S64-I64-H64-G64-F64)),"")</f>
        <v/>
      </c>
      <c r="F64" s="236">
        <f>IF(AB64&lt;&gt;"",0.03*(H64+I64+S64+L64),"")</f>
        <v/>
      </c>
      <c r="G64" s="236">
        <f>IF(AB64&lt;&gt;"",0.06*(H64+I64+S64+L64),"")</f>
        <v/>
      </c>
      <c r="H64" s="237">
        <f>IF(M64="",0,M64)+IF(N64="",0,N64)+IF(O64="",0,O64)</f>
        <v/>
      </c>
      <c r="I64" s="242" t="n">
        <v>0</v>
      </c>
      <c r="J64" s="242">
        <f>IF(AB64&lt;&gt;"",K64/((1+10/100)^(AC64-1)),"")</f>
        <v/>
      </c>
      <c r="K64" s="236">
        <f>IF(U64&lt;&gt;"",Info!$L$20*U64,"")</f>
        <v/>
      </c>
      <c r="L64" s="243">
        <f>IF(P64="",0,P64)+IF(Q64="",0,Q64)</f>
        <v/>
      </c>
      <c r="M64" s="244">
        <f>IF(Z64&lt;&gt;"",5/100*Z64,"")</f>
        <v/>
      </c>
      <c r="N64" s="244" t="n">
        <v>0</v>
      </c>
      <c r="O64" s="244">
        <f>IF(Z64&lt;&gt;"",0.02*Z64*(1-Info!$F$25),"")</f>
        <v/>
      </c>
      <c r="P64" s="243">
        <f>IF(AND(AB64&lt;=70,W64&lt;&gt;""),(1-Info!$I$27)*((W64*0.0008*(1+(LOOKUP(Info!$I$18,Rates!$O:$O,Rates!$M:$M)/100)))+((Y64*0.0008*Info!$L$14))*(1+(LOOKUP(Info!$I$18,Rates!$O:$O,Rates!$N:$N)/100))),"")</f>
        <v/>
      </c>
      <c r="Q64" s="239">
        <f>IF(AB64&lt;=60,(LOOKUP(AB64,Rates!$T:$T,Rates!#REF!))*V64/1000000*(1+Info!$L$20)*(1-Info!$I$29),"")</f>
        <v/>
      </c>
      <c r="R64" s="42">
        <f>IF(AND(Z64&lt;&gt;"",Q64&lt;&gt;"",P64&lt;&gt;""),IF(Info!$C$16="بله",(Z64-Q64-P64),Z64),"")</f>
        <v/>
      </c>
      <c r="S64" s="236" t="n">
        <v>0</v>
      </c>
      <c r="T64" s="236">
        <f>IF(AB64&lt;&gt;"",U64/((1+10/100)^(AC64-1)),"")</f>
        <v/>
      </c>
      <c r="U64" s="236">
        <f>IF(AB64&lt;&gt;"",(Y64*LOOKUP(AB64,Rates!$T:$T,Rates!$S:$S))/SQRT(1.1),"")</f>
        <v/>
      </c>
      <c r="V64" s="245">
        <f>IF(AND(AB64&lt;&gt;"",AB64&lt;=60),IF(V63*(1+Info!$F$10)&lt;300000000,V63*(1+Info!$F$10),300000000),"")</f>
        <v/>
      </c>
      <c r="W64" s="240">
        <f>IF(AND(AB64&lt;&gt;"",AB64&lt;=60),Y64*Info!$L$16,"")</f>
        <v/>
      </c>
      <c r="X64" s="245">
        <f>IF(AND(AB64&lt;&gt;"",AB64&lt;=70),Y64*(1+Info!$L$14),"")</f>
        <v/>
      </c>
      <c r="Y64" s="245">
        <f>IF(AB64&lt;&gt;"",(1+Info!$F$10)*Y63,"")</f>
        <v/>
      </c>
      <c r="Z64" s="42" t="n">
        <v>0</v>
      </c>
      <c r="AA64" s="57">
        <f>IF(AC64&lt;&gt;"",Info!$C$6+AC64-1,"")</f>
        <v/>
      </c>
      <c r="AB64" s="57">
        <f>IF(AC64&lt;&gt;"",Info!$F$6+AC64-1,"")</f>
        <v/>
      </c>
      <c r="AC64" s="57">
        <f>IF(AC63&lt;&gt;"",IF(AC63+1&lt;=Info!$I$6,AC63+1,""),"")</f>
        <v/>
      </c>
      <c r="AD64" s="241" t="n"/>
      <c r="AE64" s="241" t="n"/>
    </row>
    <row r="65">
      <c r="A65" s="51" t="n">
        <v>0</v>
      </c>
      <c r="B65" s="51">
        <f>IF(AB65&lt;&gt;"",E65+E65*(IF(AC65&gt;4,0.1,LOOKUP(Info!$C$10,Rates!$D$2:$D$4,Rates!$C$2:$C$4))+0.85*(Info!$I$22-(IF(AC65&gt;4,0.1,LOOKUP(Info!$C$10,Rates!$D$2:$D$4,Rates!$C$2:$C$4)))))*LOOKUP(Info!$C$8,Rates!$I$2:$I$7,Rates!$G$2:$G$7)+B64*(1+IF(AC65&gt;4,0.1,LOOKUP(Info!$C$10,Rates!$D$2:$D$4,Rates!$C$2:$C$4))+0.85*(Info!$I$22-IF(AC65&gt;4,0.1,LOOKUP(Info!$C$10,Rates!$D$2:$D$4,Rates!$C$2:$C$4)))),"")</f>
        <v/>
      </c>
      <c r="C65" s="242">
        <f>IF(AB65&lt;&gt;"",D65,"")</f>
        <v/>
      </c>
      <c r="D65" s="53">
        <f>IF(AB65&lt;&gt;"",E65*(1+IF(AC65&gt;4,0.1,LOOKUP(Info!$C$10,Rates!$D$2:$D$5,Rates!$B$2:$B$5))*LOOKUP(Info!$C$8,Rates!$I$2:$I$7,Rates!$G$2:$G$7))+D64*(1+IF(AC65&gt;4,0.1,LOOKUP(Info!$C$10,Rates!$D$2:$D$5,Rates!$B$2:$B$5))),"")</f>
        <v/>
      </c>
      <c r="E65" s="236">
        <f>IF(AB65&lt;&gt;"",IF(Info!$C$16="بله",IF(AND(AC65&lt;=Info!$F$20,AC65&gt;=Info!$I$20),Info!$C$20,0)+(Z65-S65-I65-H65-G65-F65-L65),IF(AND(AC65&lt;=Info!$F$20,AC65&gt;=Info!$I$20),Info!$C$20,0)+(Z65-S65-I65-H65-G65-F65)),"")</f>
        <v/>
      </c>
      <c r="F65" s="236">
        <f>IF(AB65&lt;&gt;"",0.03*(H65+I65+S65+L65),"")</f>
        <v/>
      </c>
      <c r="G65" s="236">
        <f>IF(AB65&lt;&gt;"",0.06*(H65+I65+S65+L65),"")</f>
        <v/>
      </c>
      <c r="H65" s="237">
        <f>IF(M65="",0,M65)+IF(N65="",0,N65)+IF(O65="",0,O65)</f>
        <v/>
      </c>
      <c r="I65" s="242" t="n">
        <v>0</v>
      </c>
      <c r="J65" s="242">
        <f>IF(AB65&lt;&gt;"",K65/((1+10/100)^(AC65-1)),"")</f>
        <v/>
      </c>
      <c r="K65" s="236">
        <f>IF(U65&lt;&gt;"",Info!$L$20*U65,"")</f>
        <v/>
      </c>
      <c r="L65" s="243">
        <f>IF(P65="",0,P65)+IF(Q65="",0,Q65)</f>
        <v/>
      </c>
      <c r="M65" s="244">
        <f>IF(Z65&lt;&gt;"",5/100*Z65,"")</f>
        <v/>
      </c>
      <c r="N65" s="244" t="n">
        <v>0</v>
      </c>
      <c r="O65" s="244">
        <f>IF(Z65&lt;&gt;"",0.02*Z65*(1-Info!$F$25),"")</f>
        <v/>
      </c>
      <c r="P65" s="243">
        <f>IF(AND(AB65&lt;=70,W65&lt;&gt;""),(1-Info!$I$27)*((W65*0.0008*(1+(LOOKUP(Info!$I$18,Rates!$O:$O,Rates!$M:$M)/100)))+((Y65*0.0008*Info!$L$14))*(1+(LOOKUP(Info!$I$18,Rates!$O:$O,Rates!$N:$N)/100))),"")</f>
        <v/>
      </c>
      <c r="Q65" s="239">
        <f>IF(AB65&lt;=60,(LOOKUP(AB65,Rates!$T:$T,Rates!#REF!))*V65/1000000*(1+Info!$L$20)*(1-Info!$I$29),"")</f>
        <v/>
      </c>
      <c r="R65" s="42">
        <f>IF(AND(Z65&lt;&gt;"",Q65&lt;&gt;"",P65&lt;&gt;""),IF(Info!$C$16="بله",(Z65-Q65-P65),Z65),"")</f>
        <v/>
      </c>
      <c r="S65" s="236" t="n">
        <v>0</v>
      </c>
      <c r="T65" s="236">
        <f>IF(AB65&lt;&gt;"",U65/((1+10/100)^(AC65-1)),"")</f>
        <v/>
      </c>
      <c r="U65" s="236">
        <f>IF(AB65&lt;&gt;"",(Y65*LOOKUP(AB65,Rates!$T:$T,Rates!$S:$S))/SQRT(1.1),"")</f>
        <v/>
      </c>
      <c r="V65" s="245">
        <f>IF(AND(AB65&lt;&gt;"",AB65&lt;=60),IF(V64*(1+Info!$F$10)&lt;300000000,V64*(1+Info!$F$10),300000000),"")</f>
        <v/>
      </c>
      <c r="W65" s="240">
        <f>IF(AND(AB65&lt;&gt;"",AB65&lt;=60),Y65*Info!$L$16,"")</f>
        <v/>
      </c>
      <c r="X65" s="245">
        <f>IF(AND(AB65&lt;&gt;"",AB65&lt;=70),Y65*(1+Info!$L$14),"")</f>
        <v/>
      </c>
      <c r="Y65" s="245">
        <f>IF(AB65&lt;&gt;"",(1+Info!$F$10)*Y64,"")</f>
        <v/>
      </c>
      <c r="Z65" s="42" t="n">
        <v>0</v>
      </c>
      <c r="AA65" s="57">
        <f>IF(AC65&lt;&gt;"",Info!$C$6+AC65-1,"")</f>
        <v/>
      </c>
      <c r="AB65" s="57">
        <f>IF(AC65&lt;&gt;"",Info!$F$6+AC65-1,"")</f>
        <v/>
      </c>
      <c r="AC65" s="57">
        <f>IF(AC64&lt;&gt;"",IF(AC64+1&lt;=Info!$I$6,AC64+1,""),"")</f>
        <v/>
      </c>
      <c r="AD65" s="241" t="n"/>
      <c r="AE65" s="241" t="n"/>
    </row>
    <row r="66">
      <c r="A66" s="51" t="n">
        <v>0</v>
      </c>
      <c r="B66" s="51">
        <f>IF(AB66&lt;&gt;"",E66+E66*(IF(AC66&gt;4,0.1,LOOKUP(Info!$C$10,Rates!$D$2:$D$4,Rates!$C$2:$C$4))+0.85*(Info!$I$22-(IF(AC66&gt;4,0.1,LOOKUP(Info!$C$10,Rates!$D$2:$D$4,Rates!$C$2:$C$4)))))*LOOKUP(Info!$C$8,Rates!$I$2:$I$7,Rates!$G$2:$G$7)+B65*(1+IF(AC66&gt;4,0.1,LOOKUP(Info!$C$10,Rates!$D$2:$D$4,Rates!$C$2:$C$4))+0.85*(Info!$I$22-IF(AC66&gt;4,0.1,LOOKUP(Info!$C$10,Rates!$D$2:$D$4,Rates!$C$2:$C$4)))),"")</f>
        <v/>
      </c>
      <c r="C66" s="242">
        <f>IF(AB66&lt;&gt;"",D66,"")</f>
        <v/>
      </c>
      <c r="D66" s="53">
        <f>IF(AB66&lt;&gt;"",E66*(1+IF(AC66&gt;4,0.1,LOOKUP(Info!$C$10,Rates!$D$2:$D$5,Rates!$B$2:$B$5))*LOOKUP(Info!$C$8,Rates!$I$2:$I$7,Rates!$G$2:$G$7))+D65*(1+IF(AC66&gt;4,0.1,LOOKUP(Info!$C$10,Rates!$D$2:$D$5,Rates!$B$2:$B$5))),"")</f>
        <v/>
      </c>
      <c r="E66" s="236">
        <f>IF(AB66&lt;&gt;"",IF(Info!$C$16="بله",IF(AND(AC66&lt;=Info!$F$20,AC66&gt;=Info!$I$20),Info!$C$20,0)+(Z66-S66-I66-H66-G66-F66-L66),IF(AND(AC66&lt;=Info!$F$20,AC66&gt;=Info!$I$20),Info!$C$20,0)+(Z66-S66-I66-H66-G66-F66)),"")</f>
        <v/>
      </c>
      <c r="F66" s="236">
        <f>IF(AB66&lt;&gt;"",0.03*(H66+I66+S66+L66),"")</f>
        <v/>
      </c>
      <c r="G66" s="236">
        <f>IF(AB66&lt;&gt;"",0.06*(H66+I66+S66+L66),"")</f>
        <v/>
      </c>
      <c r="H66" s="237">
        <f>IF(M66="",0,M66)+IF(N66="",0,N66)+IF(O66="",0,O66)</f>
        <v/>
      </c>
      <c r="I66" s="242" t="n">
        <v>0</v>
      </c>
      <c r="J66" s="242">
        <f>IF(AB66&lt;&gt;"",K66/((1+10/100)^(AC66-1)),"")</f>
        <v/>
      </c>
      <c r="K66" s="236">
        <f>IF(U66&lt;&gt;"",Info!$L$20*U66,"")</f>
        <v/>
      </c>
      <c r="L66" s="243">
        <f>IF(P66="",0,P66)+IF(Q66="",0,Q66)</f>
        <v/>
      </c>
      <c r="M66" s="244">
        <f>IF(Z66&lt;&gt;"",5/100*Z66,"")</f>
        <v/>
      </c>
      <c r="N66" s="244" t="n">
        <v>0</v>
      </c>
      <c r="O66" s="244">
        <f>IF(Z66&lt;&gt;"",0.02*Z66*(1-Info!$F$25),"")</f>
        <v/>
      </c>
      <c r="P66" s="243">
        <f>IF(AND(AB66&lt;=70,W66&lt;&gt;""),(1-Info!$I$27)*((W66*0.0008*(1+(LOOKUP(Info!$I$18,Rates!$O:$O,Rates!$M:$M)/100)))+((Y66*0.0008*Info!$L$14))*(1+(LOOKUP(Info!$I$18,Rates!$O:$O,Rates!$N:$N)/100))),"")</f>
        <v/>
      </c>
      <c r="Q66" s="239">
        <f>IF(AB66&lt;=60,(LOOKUP(AB66,Rates!$T:$T,Rates!#REF!))*V66/1000000*(1+Info!$L$20)*(1-Info!$I$29),"")</f>
        <v/>
      </c>
      <c r="R66" s="42">
        <f>IF(AND(Z66&lt;&gt;"",Q66&lt;&gt;"",P66&lt;&gt;""),IF(Info!$C$16="بله",(Z66-Q66-P66),Z66),"")</f>
        <v/>
      </c>
      <c r="S66" s="236" t="n">
        <v>0</v>
      </c>
      <c r="T66" s="236">
        <f>IF(AB66&lt;&gt;"",U66/((1+10/100)^(AC66-1)),"")</f>
        <v/>
      </c>
      <c r="U66" s="236">
        <f>IF(AB66&lt;&gt;"",(Y66*LOOKUP(AB66,Rates!$T:$T,Rates!$S:$S))/SQRT(1.1),"")</f>
        <v/>
      </c>
      <c r="V66" s="245">
        <f>IF(AND(AB66&lt;&gt;"",AB66&lt;=60),IF(V65*(1+Info!$F$10)&lt;300000000,V65*(1+Info!$F$10),300000000),"")</f>
        <v/>
      </c>
      <c r="W66" s="240">
        <f>IF(AND(AB66&lt;&gt;"",AB66&lt;=60),Y66*Info!$L$16,"")</f>
        <v/>
      </c>
      <c r="X66" s="245">
        <f>IF(AND(AB66&lt;&gt;"",AB66&lt;=70),Y66*(1+Info!$L$14),"")</f>
        <v/>
      </c>
      <c r="Y66" s="245">
        <f>IF(AB66&lt;&gt;"",(1+Info!$F$10)*Y65,"")</f>
        <v/>
      </c>
      <c r="Z66" s="42" t="n">
        <v>0</v>
      </c>
      <c r="AA66" s="57">
        <f>IF(AC66&lt;&gt;"",Info!$C$6+AC66-1,"")</f>
        <v/>
      </c>
      <c r="AB66" s="57">
        <f>IF(AC66&lt;&gt;"",Info!$F$6+AC66-1,"")</f>
        <v/>
      </c>
      <c r="AC66" s="57">
        <f>IF(AC65&lt;&gt;"",IF(AC65+1&lt;=Info!$I$6,AC65+1,""),"")</f>
        <v/>
      </c>
      <c r="AD66" s="241" t="n"/>
      <c r="AE66" s="241" t="n"/>
    </row>
    <row r="67">
      <c r="A67" s="51" t="n">
        <v>0</v>
      </c>
      <c r="B67" s="51">
        <f>IF(AB67&lt;&gt;"",E67+E67*(IF(AC67&gt;4,0.1,LOOKUP(Info!$C$10,Rates!$D$2:$D$4,Rates!$C$2:$C$4))+0.85*(Info!$I$22-(IF(AC67&gt;4,0.1,LOOKUP(Info!$C$10,Rates!$D$2:$D$4,Rates!$C$2:$C$4)))))*LOOKUP(Info!$C$8,Rates!$I$2:$I$7,Rates!$G$2:$G$7)+B66*(1+IF(AC67&gt;4,0.1,LOOKUP(Info!$C$10,Rates!$D$2:$D$4,Rates!$C$2:$C$4))+0.85*(Info!$I$22-IF(AC67&gt;4,0.1,LOOKUP(Info!$C$10,Rates!$D$2:$D$4,Rates!$C$2:$C$4)))),"")</f>
        <v/>
      </c>
      <c r="C67" s="242">
        <f>IF(AB67&lt;&gt;"",D67,"")</f>
        <v/>
      </c>
      <c r="D67" s="53">
        <f>IF(AB67&lt;&gt;"",E67*(1+IF(AC67&gt;4,0.1,LOOKUP(Info!$C$10,Rates!$D$2:$D$5,Rates!$B$2:$B$5))*LOOKUP(Info!$C$8,Rates!$I$2:$I$7,Rates!$G$2:$G$7))+D66*(1+IF(AC67&gt;4,0.1,LOOKUP(Info!$C$10,Rates!$D$2:$D$5,Rates!$B$2:$B$5))),"")</f>
        <v/>
      </c>
      <c r="E67" s="236">
        <f>IF(AB67&lt;&gt;"",IF(Info!$C$16="بله",IF(AND(AC67&lt;=Info!$F$20,AC67&gt;=Info!$I$20),Info!$C$20,0)+(Z67-S67-I67-H67-G67-F67-L67),IF(AND(AC67&lt;=Info!$F$20,AC67&gt;=Info!$I$20),Info!$C$20,0)+(Z67-S67-I67-H67-G67-F67)),"")</f>
        <v/>
      </c>
      <c r="F67" s="236">
        <f>IF(AB67&lt;&gt;"",0.03*(H67+I67+S67+L67),"")</f>
        <v/>
      </c>
      <c r="G67" s="236">
        <f>IF(AB67&lt;&gt;"",0.06*(H67+I67+S67+L67),"")</f>
        <v/>
      </c>
      <c r="H67" s="237">
        <f>IF(M67="",0,M67)+IF(N67="",0,N67)+IF(O67="",0,O67)</f>
        <v/>
      </c>
      <c r="I67" s="242" t="n">
        <v>0</v>
      </c>
      <c r="J67" s="242">
        <f>IF(AB67&lt;&gt;"",K67/((1+10/100)^(AC67-1)),"")</f>
        <v/>
      </c>
      <c r="K67" s="236">
        <f>IF(U67&lt;&gt;"",Info!$L$20*U67,"")</f>
        <v/>
      </c>
      <c r="L67" s="243">
        <f>IF(P67="",0,P67)+IF(Q67="",0,Q67)</f>
        <v/>
      </c>
      <c r="M67" s="244">
        <f>IF(Z67&lt;&gt;"",5/100*Z67,"")</f>
        <v/>
      </c>
      <c r="N67" s="244" t="n">
        <v>0</v>
      </c>
      <c r="O67" s="244">
        <f>IF(Z67&lt;&gt;"",0.02*Z67*(1-Info!$F$25),"")</f>
        <v/>
      </c>
      <c r="P67" s="243">
        <f>IF(AND(AB67&lt;=70,W67&lt;&gt;""),(1-Info!$I$27)*((W67*0.0008*(1+(LOOKUP(Info!$I$18,Rates!$O:$O,Rates!$M:$M)/100)))+((Y67*0.0008*Info!$L$14))*(1+(LOOKUP(Info!$I$18,Rates!$O:$O,Rates!$N:$N)/100))),"")</f>
        <v/>
      </c>
      <c r="Q67" s="239">
        <f>IF(AB67&lt;=60,(LOOKUP(AB67,Rates!$T:$T,Rates!#REF!))*V67/1000000*(1+Info!$L$20)*(1-Info!$I$29),"")</f>
        <v/>
      </c>
      <c r="R67" s="42">
        <f>IF(AND(Z67&lt;&gt;"",Q67&lt;&gt;"",P67&lt;&gt;""),IF(Info!$C$16="بله",(Z67-Q67-P67),Z67),"")</f>
        <v/>
      </c>
      <c r="S67" s="236" t="n">
        <v>0</v>
      </c>
      <c r="T67" s="236">
        <f>IF(AB67&lt;&gt;"",U67/((1+10/100)^(AC67-1)),"")</f>
        <v/>
      </c>
      <c r="U67" s="236">
        <f>IF(AB67&lt;&gt;"",(Y67*LOOKUP(AB67,Rates!$T:$T,Rates!$S:$S))/SQRT(1.1),"")</f>
        <v/>
      </c>
      <c r="V67" s="245">
        <f>IF(AND(AB67&lt;&gt;"",AB67&lt;=60),IF(V66*(1+Info!$F$10)&lt;300000000,V66*(1+Info!$F$10),300000000),"")</f>
        <v/>
      </c>
      <c r="W67" s="240">
        <f>IF(AND(AB67&lt;&gt;"",AB67&lt;=60),Y67*Info!$L$16,"")</f>
        <v/>
      </c>
      <c r="X67" s="245">
        <f>IF(AND(AB67&lt;&gt;"",AB67&lt;=70),Y67*(1+Info!$L$14),"")</f>
        <v/>
      </c>
      <c r="Y67" s="245">
        <f>IF(AB67&lt;&gt;"",(1+Info!$F$10)*Y66,"")</f>
        <v/>
      </c>
      <c r="Z67" s="42" t="n">
        <v>0</v>
      </c>
      <c r="AA67" s="57">
        <f>IF(AC67&lt;&gt;"",Info!$C$6+AC67-1,"")</f>
        <v/>
      </c>
      <c r="AB67" s="57">
        <f>IF(AC67&lt;&gt;"",Info!$F$6+AC67-1,"")</f>
        <v/>
      </c>
      <c r="AC67" s="57">
        <f>IF(AC66&lt;&gt;"",IF(AC66+1&lt;=Info!$I$6,AC66+1,""),"")</f>
        <v/>
      </c>
      <c r="AD67" s="241" t="n"/>
      <c r="AE67" s="241" t="n"/>
    </row>
    <row r="68">
      <c r="A68" s="51" t="n">
        <v>0</v>
      </c>
      <c r="B68" s="51">
        <f>IF(AB68&lt;&gt;"",E68+E68*(IF(AC68&gt;4,0.1,LOOKUP(Info!$C$10,Rates!$D$2:$D$4,Rates!$C$2:$C$4))+0.85*(Info!$I$22-(IF(AC68&gt;4,0.1,LOOKUP(Info!$C$10,Rates!$D$2:$D$4,Rates!$C$2:$C$4)))))*LOOKUP(Info!$C$8,Rates!$I$2:$I$7,Rates!$G$2:$G$7)+B67*(1+IF(AC68&gt;4,0.1,LOOKUP(Info!$C$10,Rates!$D$2:$D$4,Rates!$C$2:$C$4))+0.85*(Info!$I$22-IF(AC68&gt;4,0.1,LOOKUP(Info!$C$10,Rates!$D$2:$D$4,Rates!$C$2:$C$4)))),"")</f>
        <v/>
      </c>
      <c r="C68" s="242">
        <f>IF(AB68&lt;&gt;"",D68,"")</f>
        <v/>
      </c>
      <c r="D68" s="53">
        <f>IF(AB68&lt;&gt;"",E68*(1+IF(AC68&gt;4,0.1,LOOKUP(Info!$C$10,Rates!$D$2:$D$5,Rates!$B$2:$B$5))*LOOKUP(Info!$C$8,Rates!$I$2:$I$7,Rates!$G$2:$G$7))+D67*(1+IF(AC68&gt;4,0.1,LOOKUP(Info!$C$10,Rates!$D$2:$D$5,Rates!$B$2:$B$5))),"")</f>
        <v/>
      </c>
      <c r="E68" s="236">
        <f>IF(AB68&lt;&gt;"",IF(Info!$C$16="بله",IF(AND(AC68&lt;=Info!$F$20,AC68&gt;=Info!$I$20),Info!$C$20,0)+(Z68-S68-I68-H68-G68-F68-L68),IF(AND(AC68&lt;=Info!$F$20,AC68&gt;=Info!$I$20),Info!$C$20,0)+(Z68-S68-I68-H68-G68-F68)),"")</f>
        <v/>
      </c>
      <c r="F68" s="236">
        <f>IF(AB68&lt;&gt;"",0.03*(H68+I68+S68+L68),"")</f>
        <v/>
      </c>
      <c r="G68" s="236">
        <f>IF(AB68&lt;&gt;"",0.06*(H68+I68+S68+L68),"")</f>
        <v/>
      </c>
      <c r="H68" s="237">
        <f>IF(M68="",0,M68)+IF(N68="",0,N68)+IF(O68="",0,O68)</f>
        <v/>
      </c>
      <c r="I68" s="242" t="n">
        <v>0</v>
      </c>
      <c r="J68" s="242">
        <f>IF(AB68&lt;&gt;"",K68/((1+10/100)^(AC68-1)),"")</f>
        <v/>
      </c>
      <c r="K68" s="236">
        <f>IF(U68&lt;&gt;"",Info!$L$20*U68,"")</f>
        <v/>
      </c>
      <c r="L68" s="243">
        <f>IF(P68="",0,P68)+IF(Q68="",0,Q68)</f>
        <v/>
      </c>
      <c r="M68" s="244">
        <f>IF(Z68&lt;&gt;"",5/100*Z68,"")</f>
        <v/>
      </c>
      <c r="N68" s="244" t="n">
        <v>0</v>
      </c>
      <c r="O68" s="244">
        <f>IF(Z68&lt;&gt;"",0.02*Z68*(1-Info!$F$25),"")</f>
        <v/>
      </c>
      <c r="P68" s="243">
        <f>IF(AND(AB68&lt;=70,W68&lt;&gt;""),(1-Info!$I$27)*((W68*0.0008*(1+(LOOKUP(Info!$I$18,Rates!$O:$O,Rates!$M:$M)/100)))+((Y68*0.0008*Info!$L$14))*(1+(LOOKUP(Info!$I$18,Rates!$O:$O,Rates!$N:$N)/100))),"")</f>
        <v/>
      </c>
      <c r="Q68" s="239">
        <f>IF(AB68&lt;=60,(LOOKUP(AB68,Rates!$T:$T,Rates!#REF!))*V68/1000000*(1+Info!$L$20)*(1-Info!$I$29),"")</f>
        <v/>
      </c>
      <c r="R68" s="42">
        <f>IF(AND(Z68&lt;&gt;"",Q68&lt;&gt;"",P68&lt;&gt;""),IF(Info!$C$16="بله",(Z68-Q68-P68),Z68),"")</f>
        <v/>
      </c>
      <c r="S68" s="236" t="n">
        <v>0</v>
      </c>
      <c r="T68" s="236">
        <f>IF(AB68&lt;&gt;"",U68/((1+10/100)^(AC68-1)),"")</f>
        <v/>
      </c>
      <c r="U68" s="236">
        <f>IF(AB68&lt;&gt;"",(Y68*LOOKUP(AB68,Rates!$T:$T,Rates!$S:$S))/SQRT(1.1),"")</f>
        <v/>
      </c>
      <c r="V68" s="245">
        <f>IF(AND(AB68&lt;&gt;"",AB68&lt;=60),IF(V67*(1+Info!$F$10)&lt;300000000,V67*(1+Info!$F$10),300000000),"")</f>
        <v/>
      </c>
      <c r="W68" s="240">
        <f>IF(AND(AB68&lt;&gt;"",AB68&lt;=60),Y68*Info!$L$16,"")</f>
        <v/>
      </c>
      <c r="X68" s="245">
        <f>IF(AND(AB68&lt;&gt;"",AB68&lt;=70),Y68*(1+Info!$L$14),"")</f>
        <v/>
      </c>
      <c r="Y68" s="245">
        <f>IF(AB68&lt;&gt;"",(1+Info!$F$10)*Y67,"")</f>
        <v/>
      </c>
      <c r="Z68" s="42" t="n">
        <v>0</v>
      </c>
      <c r="AA68" s="57">
        <f>IF(AC68&lt;&gt;"",Info!$C$6+AC68-1,"")</f>
        <v/>
      </c>
      <c r="AB68" s="57">
        <f>IF(AC68&lt;&gt;"",Info!$F$6+AC68-1,"")</f>
        <v/>
      </c>
      <c r="AC68" s="57">
        <f>IF(AC67&lt;&gt;"",IF(AC67+1&lt;=Info!$I$6,AC67+1,""),"")</f>
        <v/>
      </c>
      <c r="AD68" s="241" t="n"/>
      <c r="AE68" s="241" t="n"/>
    </row>
    <row r="69">
      <c r="A69" s="51" t="n">
        <v>0</v>
      </c>
      <c r="B69" s="51">
        <f>IF(AB69&lt;&gt;"",E69+E69*(IF(AC69&gt;4,0.1,LOOKUP(Info!$C$10,Rates!$D$2:$D$4,Rates!$C$2:$C$4))+0.85*(Info!$I$22-(IF(AC69&gt;4,0.1,LOOKUP(Info!$C$10,Rates!$D$2:$D$4,Rates!$C$2:$C$4)))))*LOOKUP(Info!$C$8,Rates!$I$2:$I$7,Rates!$G$2:$G$7)+B68*(1+IF(AC69&gt;4,0.1,LOOKUP(Info!$C$10,Rates!$D$2:$D$4,Rates!$C$2:$C$4))+0.85*(Info!$I$22-IF(AC69&gt;4,0.1,LOOKUP(Info!$C$10,Rates!$D$2:$D$4,Rates!$C$2:$C$4)))),"")</f>
        <v/>
      </c>
      <c r="C69" s="242">
        <f>IF(AB69&lt;&gt;"",D69,"")</f>
        <v/>
      </c>
      <c r="D69" s="53">
        <f>IF(AB69&lt;&gt;"",E69*(1+IF(AC69&gt;4,0.1,LOOKUP(Info!$C$10,Rates!$D$2:$D$5,Rates!$B$2:$B$5))*LOOKUP(Info!$C$8,Rates!$I$2:$I$7,Rates!$G$2:$G$7))+D68*(1+IF(AC69&gt;4,0.1,LOOKUP(Info!$C$10,Rates!$D$2:$D$5,Rates!$B$2:$B$5))),"")</f>
        <v/>
      </c>
      <c r="E69" s="236">
        <f>IF(AB69&lt;&gt;"",IF(Info!$C$16="بله",IF(AND(AC69&lt;=Info!$F$20,AC69&gt;=Info!$I$20),Info!$C$20,0)+(Z69-S69-I69-H69-G69-F69-L69),IF(AND(AC69&lt;=Info!$F$20,AC69&gt;=Info!$I$20),Info!$C$20,0)+(Z69-S69-I69-H69-G69-F69)),"")</f>
        <v/>
      </c>
      <c r="F69" s="236">
        <f>IF(AB69&lt;&gt;"",0.03*(H69+I69+S69+L69),"")</f>
        <v/>
      </c>
      <c r="G69" s="236">
        <f>IF(AB69&lt;&gt;"",0.06*(H69+I69+S69+L69),"")</f>
        <v/>
      </c>
      <c r="H69" s="237">
        <f>IF(M69="",0,M69)+IF(N69="",0,N69)+IF(O69="",0,O69)</f>
        <v/>
      </c>
      <c r="I69" s="242" t="n">
        <v>0</v>
      </c>
      <c r="J69" s="242">
        <f>IF(AB69&lt;&gt;"",K69/((1+10/100)^(AC69-1)),"")</f>
        <v/>
      </c>
      <c r="K69" s="236">
        <f>IF(U69&lt;&gt;"",Info!$L$20*U69,"")</f>
        <v/>
      </c>
      <c r="L69" s="243">
        <f>IF(P69="",0,P69)+IF(Q69="",0,Q69)</f>
        <v/>
      </c>
      <c r="M69" s="244">
        <f>IF(Z69&lt;&gt;"",5/100*Z69,"")</f>
        <v/>
      </c>
      <c r="N69" s="244" t="n">
        <v>0</v>
      </c>
      <c r="O69" s="244">
        <f>IF(Z69&lt;&gt;"",0.02*Z69*(1-Info!$F$25),"")</f>
        <v/>
      </c>
      <c r="P69" s="243">
        <f>IF(AND(AB69&lt;=70,W69&lt;&gt;""),(1-Info!$I$27)*((W69*0.0008*(1+(LOOKUP(Info!$I$18,Rates!$O:$O,Rates!$M:$M)/100)))+((Y69*0.0008*Info!$L$14))*(1+(LOOKUP(Info!$I$18,Rates!$O:$O,Rates!$N:$N)/100))),"")</f>
        <v/>
      </c>
      <c r="Q69" s="239">
        <f>IF(AB69&lt;=60,(LOOKUP(AB69,Rates!$T:$T,Rates!#REF!))*V69/1000000*(1+Info!$L$20)*(1-Info!$I$29),"")</f>
        <v/>
      </c>
      <c r="R69" s="42">
        <f>IF(AND(Z69&lt;&gt;"",Q69&lt;&gt;"",P69&lt;&gt;""),IF(Info!$C$16="بله",(Z69-Q69-P69),Z69),"")</f>
        <v/>
      </c>
      <c r="S69" s="236" t="n">
        <v>0</v>
      </c>
      <c r="T69" s="236">
        <f>IF(AB69&lt;&gt;"",U69/((1+10/100)^(AC69-1)),"")</f>
        <v/>
      </c>
      <c r="U69" s="236">
        <f>IF(AB69&lt;&gt;"",(Y69*LOOKUP(AB69,Rates!$T:$T,Rates!$S:$S))/SQRT(1.1),"")</f>
        <v/>
      </c>
      <c r="V69" s="245">
        <f>IF(AND(AB69&lt;&gt;"",AB69&lt;=60),IF(V68*(1+Info!$F$10)&lt;300000000,V68*(1+Info!$F$10),300000000),"")</f>
        <v/>
      </c>
      <c r="W69" s="240">
        <f>IF(AND(AB69&lt;&gt;"",AB69&lt;=60),Y69*Info!$L$16,"")</f>
        <v/>
      </c>
      <c r="X69" s="245">
        <f>IF(AND(AB69&lt;&gt;"",AB69&lt;=70),Y69*(1+Info!$L$14),"")</f>
        <v/>
      </c>
      <c r="Y69" s="245">
        <f>IF(AB69&lt;&gt;"",(1+Info!$F$10)*Y68,"")</f>
        <v/>
      </c>
      <c r="Z69" s="42" t="n">
        <v>0</v>
      </c>
      <c r="AA69" s="57">
        <f>IF(AC69&lt;&gt;"",Info!$C$6+AC69-1,"")</f>
        <v/>
      </c>
      <c r="AB69" s="57">
        <f>IF(AC69&lt;&gt;"",Info!$F$6+AC69-1,"")</f>
        <v/>
      </c>
      <c r="AC69" s="57">
        <f>IF(AC68&lt;&gt;"",IF(AC68+1&lt;=Info!$I$6,AC68+1,""),"")</f>
        <v/>
      </c>
      <c r="AD69" s="241" t="n"/>
      <c r="AE69" s="241" t="n"/>
    </row>
    <row r="70">
      <c r="A70" s="51" t="n">
        <v>0</v>
      </c>
      <c r="B70" s="51">
        <f>IF(AB70&lt;&gt;"",E70+E70*(IF(AC70&gt;4,0.1,LOOKUP(Info!$C$10,Rates!$D$2:$D$4,Rates!$C$2:$C$4))+0.85*(Info!$I$22-(IF(AC70&gt;4,0.1,LOOKUP(Info!$C$10,Rates!$D$2:$D$4,Rates!$C$2:$C$4)))))*LOOKUP(Info!$C$8,Rates!$I$2:$I$7,Rates!$G$2:$G$7)+B69*(1+IF(AC70&gt;4,0.1,LOOKUP(Info!$C$10,Rates!$D$2:$D$4,Rates!$C$2:$C$4))+0.85*(Info!$I$22-IF(AC70&gt;4,0.1,LOOKUP(Info!$C$10,Rates!$D$2:$D$4,Rates!$C$2:$C$4)))),"")</f>
        <v/>
      </c>
      <c r="C70" s="242">
        <f>IF(AB70&lt;&gt;"",D70,"")</f>
        <v/>
      </c>
      <c r="D70" s="53">
        <f>IF(AB70&lt;&gt;"",E70*(1+IF(AC70&gt;4,0.1,LOOKUP(Info!$C$10,Rates!$D$2:$D$5,Rates!$B$2:$B$5))*LOOKUP(Info!$C$8,Rates!$I$2:$I$7,Rates!$G$2:$G$7))+D69*(1+IF(AC70&gt;4,0.1,LOOKUP(Info!$C$10,Rates!$D$2:$D$5,Rates!$B$2:$B$5))),"")</f>
        <v/>
      </c>
      <c r="E70" s="236">
        <f>IF(AB70&lt;&gt;"",IF(Info!$C$16="بله",IF(AND(AC70&lt;=Info!$F$20,AC70&gt;=Info!$I$20),Info!$C$20,0)+(Z70-S70-I70-H70-G70-F70-L70),IF(AND(AC70&lt;=Info!$F$20,AC70&gt;=Info!$I$20),Info!$C$20,0)+(Z70-S70-I70-H70-G70-F70)),"")</f>
        <v/>
      </c>
      <c r="F70" s="236">
        <f>IF(AB70&lt;&gt;"",0.03*(H70+I70+S70+L70),"")</f>
        <v/>
      </c>
      <c r="G70" s="236">
        <f>IF(AB70&lt;&gt;"",0.06*(H70+I70+S70+L70),"")</f>
        <v/>
      </c>
      <c r="H70" s="237">
        <f>IF(M70="",0,M70)+IF(N70="",0,N70)+IF(O70="",0,O70)</f>
        <v/>
      </c>
      <c r="I70" s="242" t="n">
        <v>0</v>
      </c>
      <c r="J70" s="242">
        <f>IF(AB70&lt;&gt;"",K70/((1+10/100)^(AC70-1)),"")</f>
        <v/>
      </c>
      <c r="K70" s="236">
        <f>IF(U70&lt;&gt;"",Info!$L$20*U70,"")</f>
        <v/>
      </c>
      <c r="L70" s="243">
        <f>IF(P70="",0,P70)+IF(Q70="",0,Q70)</f>
        <v/>
      </c>
      <c r="M70" s="244">
        <f>IF(Z70&lt;&gt;"",5/100*Z70,"")</f>
        <v/>
      </c>
      <c r="N70" s="244" t="n">
        <v>0</v>
      </c>
      <c r="O70" s="244">
        <f>IF(Z70&lt;&gt;"",0.02*Z70*(1-Info!$F$25),"")</f>
        <v/>
      </c>
      <c r="P70" s="243">
        <f>IF(AND(AB70&lt;=70,W70&lt;&gt;""),(1-Info!$I$27)*((W70*0.0008*(1+(LOOKUP(Info!$I$18,Rates!$O:$O,Rates!$M:$M)/100)))+((Y70*0.0008*Info!$L$14))*(1+(LOOKUP(Info!$I$18,Rates!$O:$O,Rates!$N:$N)/100))),"")</f>
        <v/>
      </c>
      <c r="Q70" s="239">
        <f>IF(AB70&lt;=60,(LOOKUP(AB70,Rates!$T:$T,Rates!#REF!))*V70/1000000*(1+Info!$L$20)*(1-Info!$I$29),"")</f>
        <v/>
      </c>
      <c r="R70" s="42">
        <f>IF(AND(Z70&lt;&gt;"",Q70&lt;&gt;"",P70&lt;&gt;""),IF(Info!$C$16="بله",(Z70-Q70-P70),Z70),"")</f>
        <v/>
      </c>
      <c r="S70" s="236" t="n">
        <v>0</v>
      </c>
      <c r="T70" s="236">
        <f>IF(AB70&lt;&gt;"",U70/((1+10/100)^(AC70-1)),"")</f>
        <v/>
      </c>
      <c r="U70" s="236">
        <f>IF(AB70&lt;&gt;"",(Y70*LOOKUP(AB70,Rates!$T:$T,Rates!$S:$S))/SQRT(1.1),"")</f>
        <v/>
      </c>
      <c r="V70" s="245">
        <f>IF(AND(AB70&lt;&gt;"",AB70&lt;=60),IF(V69*(1+Info!$F$10)&lt;300000000,V69*(1+Info!$F$10),300000000),"")</f>
        <v/>
      </c>
      <c r="W70" s="240">
        <f>IF(AND(AB70&lt;&gt;"",AB70&lt;=60),Y70*Info!$L$16,"")</f>
        <v/>
      </c>
      <c r="X70" s="245">
        <f>IF(AND(AB70&lt;&gt;"",AB70&lt;=70),Y70*(1+Info!$L$14),"")</f>
        <v/>
      </c>
      <c r="Y70" s="245">
        <f>IF(AB70&lt;&gt;"",(1+Info!$F$10)*Y69,"")</f>
        <v/>
      </c>
      <c r="Z70" s="42" t="n">
        <v>0</v>
      </c>
      <c r="AA70" s="57">
        <f>IF(AC70&lt;&gt;"",Info!$C$6+AC70-1,"")</f>
        <v/>
      </c>
      <c r="AB70" s="57">
        <f>IF(AC70&lt;&gt;"",Info!$F$6+AC70-1,"")</f>
        <v/>
      </c>
      <c r="AC70" s="57">
        <f>IF(AC69&lt;&gt;"",IF(AC69+1&lt;=Info!$I$6,AC69+1,""),"")</f>
        <v/>
      </c>
      <c r="AD70" s="241" t="n"/>
      <c r="AE70" s="241" t="n"/>
    </row>
    <row r="71" ht="15.75" customHeight="1" thickBot="1">
      <c r="A71" s="51" t="n">
        <v>0</v>
      </c>
      <c r="B71" s="51">
        <f>IF(AB71&lt;&gt;"",E71+E71*(IF(AC71&gt;4,0.1,LOOKUP(Info!$C$10,Rates!$D$2:$D$4,Rates!$C$2:$C$4))+0.85*(Info!$I$22-(IF(AC71&gt;4,0.1,LOOKUP(Info!$C$10,Rates!$D$2:$D$4,Rates!$C$2:$C$4)))))*LOOKUP(Info!$C$8,Rates!$I$2:$I$7,Rates!$G$2:$G$7)+B70*(1+IF(AC71&gt;4,0.1,LOOKUP(Info!$C$10,Rates!$D$2:$D$4,Rates!$C$2:$C$4))+0.85*(Info!$I$22-IF(AC71&gt;4,0.1,LOOKUP(Info!$C$10,Rates!$D$2:$D$4,Rates!$C$2:$C$4)))),"")</f>
        <v/>
      </c>
      <c r="C71" s="246">
        <f>IF(AB71&lt;&gt;"",D71,"")</f>
        <v/>
      </c>
      <c r="D71" s="53">
        <f>IF(AB71&lt;&gt;"",E71*(1+IF(AC71&gt;4,0.1,LOOKUP(Info!$C$10,Rates!$D$2:$D$5,Rates!$B$2:$B$5))*LOOKUP(Info!$C$8,Rates!$I$2:$I$7,Rates!$G$2:$G$7))+D70*(1+IF(AC71&gt;4,0.1,LOOKUP(Info!$C$10,Rates!$D$2:$D$5,Rates!$B$2:$B$5))),"")</f>
        <v/>
      </c>
      <c r="E71" s="236">
        <f>IF(AB71&lt;&gt;"",IF(Info!$C$16="بله",IF(AND(AC71&lt;=Info!$F$20,AC71&gt;=Info!$I$20),Info!$C$20,0)+(Z71-S71-I71-H71-G71-F71-L71),IF(AND(AC71&lt;=Info!$F$20,AC71&gt;=Info!$I$20),Info!$C$20,0)+(Z71-S71-I71-H71-G71-F71)),"")</f>
        <v/>
      </c>
      <c r="F71" s="236">
        <f>IF(AB71&lt;&gt;"",0.03*(H71+I71+S71+L71),"")</f>
        <v/>
      </c>
      <c r="G71" s="236">
        <f>IF(AB71&lt;&gt;"",0.06*(H71+I71+S71+L71),"")</f>
        <v/>
      </c>
      <c r="H71" s="237">
        <f>IF(M71="",0,M71)+IF(N71="",0,N71)+IF(O71="",0,O71)</f>
        <v/>
      </c>
      <c r="I71" s="242" t="n">
        <v>0</v>
      </c>
      <c r="J71" s="246">
        <f>IF(AB71&lt;&gt;"",K71/((1+10/100)^(AC71-1)),"")</f>
        <v/>
      </c>
      <c r="K71" s="236">
        <f>IF(U71&lt;&gt;"",Info!$L$20*U71,"")</f>
        <v/>
      </c>
      <c r="L71" s="247">
        <f>IF(P71="",0,P71)+IF(Q71="",0,Q71)</f>
        <v/>
      </c>
      <c r="M71" s="244">
        <f>IF(Z71&lt;&gt;"",5/100*Z71,"")</f>
        <v/>
      </c>
      <c r="N71" s="244" t="n">
        <v>0</v>
      </c>
      <c r="O71" s="248">
        <f>IF(Z71&lt;&gt;"",0.02*Z71*(1-Info!$F$25),"")</f>
        <v/>
      </c>
      <c r="P71" s="247">
        <f>IF(AND(AB71&lt;=70,W71&lt;&gt;""),(1-Info!$I$27)*((W71*0.0008*(1+(LOOKUP(Info!$I$18,Rates!$O:$O,Rates!$M:$M)/100)))+((Y71*0.0008*Info!$L$14))*(1+(LOOKUP(Info!$I$18,Rates!$O:$O,Rates!$N:$N)/100))),"")</f>
        <v/>
      </c>
      <c r="Q71" s="239">
        <f>IF(AB71&lt;=60,(LOOKUP(AB71,Rates!$T:$T,Rates!#REF!))*V71/1000000*(1+Info!$L$20)*(1-Info!$I$29),"")</f>
        <v/>
      </c>
      <c r="R71" s="42">
        <f>IF(AND(Z71&lt;&gt;"",Q71&lt;&gt;"",P71&lt;&gt;""),IF(Info!$C$16="بله",(Z71-Q71-P71),Z71),"")</f>
        <v/>
      </c>
      <c r="S71" s="236" t="n">
        <v>0</v>
      </c>
      <c r="T71" s="236">
        <f>IF(AB71&lt;&gt;"",U71/((1+10/100)^(AC71-1)),"")</f>
        <v/>
      </c>
      <c r="U71" s="236">
        <f>IF(AB71&lt;&gt;"",(Y71*LOOKUP(AB71,Rates!$T:$T,Rates!$S:$S))/SQRT(1.1),"")</f>
        <v/>
      </c>
      <c r="V71" s="245">
        <f>IF(AND(AB71&lt;&gt;"",AB71&lt;=60),IF(V70*(1+Info!$F$10)&lt;300000000,V70*(1+Info!$F$10),300000000),"")</f>
        <v/>
      </c>
      <c r="W71" s="240">
        <f>IF(AND(AB71&lt;&gt;"",AB71&lt;=60),Y71*Info!$L$16,"")</f>
        <v/>
      </c>
      <c r="X71" s="249">
        <f>IF(AND(AB71&lt;&gt;"",AB71&lt;=70),Y71*(1+Info!$L$14),"")</f>
        <v/>
      </c>
      <c r="Y71" s="249">
        <f>IF(AB71&lt;&gt;"",(1+Info!$F$10)*Y70,"")</f>
        <v/>
      </c>
      <c r="Z71" s="42" t="n">
        <v>0</v>
      </c>
      <c r="AA71" s="62">
        <f>IF(AC71&lt;&gt;"",Info!$C$6+AC71-1,"")</f>
        <v/>
      </c>
      <c r="AB71" s="62">
        <f>IF(AC71&lt;&gt;"",Info!$F$6+AC71-1,"")</f>
        <v/>
      </c>
      <c r="AC71" s="62">
        <f>IF(AC70&lt;&gt;"",IF(AC70+1&lt;=Info!$I$6,AC70+1,""),"")</f>
        <v/>
      </c>
      <c r="AD71" s="241" t="n"/>
      <c r="AE71" s="241" t="n"/>
    </row>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sheetPr>
  <dimension ref="A1:AN87"/>
  <sheetViews>
    <sheetView zoomScale="70" zoomScaleNormal="70" workbookViewId="0">
      <pane ySplit="1" topLeftCell="A2" activePane="bottomLeft" state="frozen"/>
      <selection activeCell="AB1" sqref="AB1"/>
      <selection pane="bottomLeft" activeCell="AW43" sqref="AW43"/>
    </sheetView>
  </sheetViews>
  <sheetFormatPr baseColWidth="8" defaultColWidth="9.14453125" defaultRowHeight="15"/>
  <cols>
    <col hidden="1" width="22.328125" customWidth="1" style="19" min="1" max="1"/>
    <col hidden="1" width="16.140625" customWidth="1" style="19" min="2" max="5"/>
    <col hidden="1" width="13.98828125" customWidth="1" style="19" min="6" max="6"/>
    <col hidden="1" width="17.484375" customWidth="1" style="19" min="7" max="7"/>
    <col hidden="1" width="13.98828125" customWidth="1" style="19" min="8" max="9"/>
    <col hidden="1" width="20.984375" customWidth="1" style="19" min="10" max="10"/>
    <col hidden="1" width="25.01953125" customWidth="1" style="19" min="11" max="11"/>
    <col hidden="1" width="13.1796875" customWidth="1" style="19" min="12" max="13"/>
    <col hidden="1" width="11.8359375" customWidth="1" style="19" min="14" max="14"/>
    <col hidden="1" width="13.1796875" customWidth="1" style="19" min="15" max="15"/>
    <col hidden="1" width="22.05859375" customWidth="1" style="19" min="16" max="16"/>
    <col hidden="1" width="14.52734375" customWidth="1" style="19" min="17" max="17"/>
    <col hidden="1" width="14.2578125" customWidth="1" style="19" min="18" max="18"/>
    <col hidden="1" width="26.76953125" customWidth="1" style="19" min="19" max="19"/>
    <col hidden="1" width="14.796875" customWidth="1" style="19" min="20" max="20"/>
    <col hidden="1" width="18.6953125" customWidth="1" style="19" min="21" max="21"/>
    <col hidden="1" width="14.9296875" customWidth="1" style="19" min="22" max="22"/>
    <col hidden="1" width="22.46484375" customWidth="1" style="19" min="23" max="23"/>
    <col hidden="1" width="17.62109375" customWidth="1" style="19" min="24" max="24"/>
    <col hidden="1" width="12.9140625" customWidth="1" style="19" min="25" max="25"/>
    <col hidden="1" width="11.1640625" customWidth="1" style="19" min="26" max="26"/>
    <col hidden="1" width="11.97265625" customWidth="1" style="19" min="27" max="27"/>
    <col hidden="1" width="14.125" customWidth="1" style="19" min="28" max="28"/>
    <col hidden="1" width="19.37109375" customWidth="1" style="19" min="29" max="29"/>
    <col hidden="1" width="26.36328125" customWidth="1" style="19" min="30" max="30"/>
    <col hidden="1" width="20.71484375" customWidth="1" style="19" min="31" max="31"/>
    <col hidden="1" width="23.67578125" customWidth="1" style="19" min="32" max="32"/>
    <col hidden="1" width="16.94921875" customWidth="1" style="19" min="33" max="33"/>
    <col hidden="1" width="29.86328125" customWidth="1" style="19" min="34" max="34"/>
    <col hidden="1" width="22.59765625" customWidth="1" style="19" min="35" max="35"/>
    <col hidden="1" width="10.76171875" customWidth="1" style="19" min="36" max="37"/>
    <col hidden="1" width="10.35546875" customWidth="1" style="19" min="38" max="38"/>
    <col width="9.14453125" customWidth="1" style="19" min="39" max="39"/>
    <col width="11.1640625" bestFit="1" customWidth="1" style="19" min="40" max="40"/>
    <col width="9.14453125" customWidth="1" style="19" min="41" max="16384"/>
  </cols>
  <sheetData>
    <row r="1" ht="15.75" customHeight="1" thickBot="1">
      <c r="A1" s="36" t="inlineStr">
        <is>
          <t>اندوخته تضمین شده + قطعی</t>
        </is>
      </c>
      <c r="B1" s="36" t="inlineStr">
        <is>
          <t>ارزش بازخریدی</t>
        </is>
      </c>
      <c r="C1" s="36" t="inlineStr">
        <is>
          <t>اندوخته تضمین شده</t>
        </is>
      </c>
      <c r="D1" s="36" t="inlineStr">
        <is>
          <t>خالص حیات</t>
        </is>
      </c>
      <c r="E1" s="36" t="inlineStr">
        <is>
          <t>مالیات سلامت</t>
        </is>
      </c>
      <c r="F1" s="36" t="inlineStr">
        <is>
          <t>عوارض شهرداری</t>
        </is>
      </c>
      <c r="G1" s="36" t="inlineStr">
        <is>
          <t>مالیات بر ارزش افزوده</t>
        </is>
      </c>
      <c r="H1" s="36" t="inlineStr">
        <is>
          <t>مجموع هزینه‌ها</t>
        </is>
      </c>
      <c r="I1" s="36" t="inlineStr">
        <is>
          <t>هزینه تقسیط</t>
        </is>
      </c>
      <c r="J1" s="38" t="inlineStr">
        <is>
          <t>اداری + بیمه‌گری + کارمزد</t>
        </is>
      </c>
      <c r="K1" s="38" t="inlineStr">
        <is>
          <t xml:space="preserve">هزینه فروش (کارمزد_ع ت س)  </t>
        </is>
      </c>
      <c r="L1" s="38" t="inlineStr">
        <is>
          <t>کارمزد</t>
        </is>
      </c>
      <c r="M1" s="38" t="inlineStr">
        <is>
          <t>هزینه فروش</t>
        </is>
      </c>
      <c r="N1" s="38" t="inlineStr">
        <is>
          <t>هزینه بیمه‌گری</t>
        </is>
      </c>
      <c r="O1" s="38" t="inlineStr">
        <is>
          <t>هزینه اداری</t>
        </is>
      </c>
      <c r="P1" s="39" t="inlineStr">
        <is>
          <t>مجموع اضافه نرخ‌ها</t>
        </is>
      </c>
      <c r="Q1" s="39" t="inlineStr">
        <is>
          <t>مجموع پوشش‌ها</t>
        </is>
      </c>
      <c r="R1" s="39" t="inlineStr">
        <is>
          <t>اضافه نرخ پزشکی</t>
        </is>
      </c>
      <c r="S1" s="39" t="inlineStr">
        <is>
          <t>اضافه نرخ شغلی درآمد ازکارافتادگی</t>
        </is>
      </c>
      <c r="T1" s="39" t="inlineStr">
        <is>
          <t>درآمد ازکارافتادگی</t>
        </is>
      </c>
      <c r="U1" s="39" t="inlineStr">
        <is>
          <t>اضافه نرخ شغلی معافیت</t>
        </is>
      </c>
      <c r="V1" s="39" t="inlineStr">
        <is>
          <t>حق‌بیمه معافیت</t>
        </is>
      </c>
      <c r="W1" s="39" t="inlineStr">
        <is>
          <t>اضافه نرخ ازکارافتادگی حادثه</t>
        </is>
      </c>
      <c r="X1" s="39" t="inlineStr">
        <is>
          <t>ازکارافتادگی حادثه</t>
        </is>
      </c>
      <c r="Y1" s="39" t="inlineStr">
        <is>
          <t>اضافه نرخ حادثه</t>
        </is>
      </c>
      <c r="Z1" s="39" t="inlineStr">
        <is>
          <t>حق‌بیمه حادثه</t>
        </is>
      </c>
      <c r="AA1" s="39" t="inlineStr">
        <is>
          <t>حق‌بیمه امراض</t>
        </is>
      </c>
      <c r="AB1" s="36" t="inlineStr">
        <is>
          <t>حق‌بیمه خطر فوت</t>
        </is>
      </c>
      <c r="AC1" s="40" t="inlineStr">
        <is>
          <t>سرمایه بیماری‌های خاص</t>
        </is>
      </c>
      <c r="AD1" s="40" t="inlineStr">
        <is>
          <t>سرمایه ازکارافتادگی ناشی از حادثه</t>
        </is>
      </c>
      <c r="AE1" s="40" t="inlineStr">
        <is>
          <t>سرمایه فوت ناشی از حادثه</t>
        </is>
      </c>
      <c r="AF1" s="40">
        <f>"سرمایه فوت با تعدیل "&amp;(100*Info!$F$10)&amp;" درصد"</f>
        <v/>
      </c>
      <c r="AG1" s="35" t="inlineStr">
        <is>
          <t>جمع حق‌بیمه پرداختی</t>
        </is>
      </c>
      <c r="AH1" s="35" t="inlineStr">
        <is>
          <t>ارزش فعلی حق‌بیمه هر سال در 10 سال</t>
        </is>
      </c>
      <c r="AI1" s="35" t="inlineStr">
        <is>
          <t>حق‌بیمه هر سال (کل حق‌بیمه)</t>
        </is>
      </c>
      <c r="AJ1" s="41" t="inlineStr">
        <is>
          <t>سن بیمه‌شده</t>
        </is>
      </c>
      <c r="AK1" s="63" t="inlineStr">
        <is>
          <t>سن بیمه گذار</t>
        </is>
      </c>
      <c r="AL1" s="64" t="inlineStr">
        <is>
          <t>سال بیمه‌ای</t>
        </is>
      </c>
    </row>
    <row r="2">
      <c r="A2" s="236">
        <f>IF(AJ2&lt;&gt;"",D2+D2*(IF(AL2&gt;4,0.1,LOOKUP(Info!$C$10,Rates!$D$2:$D$4,Rates!$C$2:$C$4))+0.85*(Info!$I$22-IF(AL2&gt;4,0.1,LOOKUP(Info!$C$10,Rates!$D$2:$D$4,Rates!$C$2:$C$4))))*LOOKUP(Info!$C$8,Rates!$I$2:$I$7,Rates!$G$2:$G$7),"")</f>
        <v/>
      </c>
      <c r="B2" s="236">
        <f>IF(AJ2&lt;&gt;"",IF(AL2&gt;=8,C2,C2*LOOKUP(AL2,Rates!$AG$2:$AG$8,Rates!$AF$2:$AF$8)),"")</f>
        <v/>
      </c>
      <c r="C2" s="236">
        <f>IF(AJ2&lt;&gt;"",D2*(1+IF(AL2&gt;4,0.1,LOOKUP(Info!$C$10,Rates!$D$2:$D$5,Rates!$C$2:$C$5))*LOOKUP(Info!$C$8,Rates!$I$2:$I$7,Rates!$G$2:$G$7)),"")</f>
        <v/>
      </c>
      <c r="D2" s="236">
        <f>IF(AJ2&lt;&gt;"",AI2-(H2+G2+F2+E2+P2+Q2)+IF(Info!$C$20&gt;0,IF(AND(AL2&lt;=Info!$F$20,AL2&gt;=Info!$I$20),Info!$C$20,0),0),"")</f>
        <v/>
      </c>
      <c r="E2" s="236">
        <f>IF(AJ2&lt;&gt;"",(LOOKUP(Info!$C$22,Rates!$AD$2:$AD$4,Rates!$AC$2:$AC$4))*(H2+P2+Q2),"")</f>
        <v/>
      </c>
      <c r="F2" s="236">
        <f>IF(AJ2&lt;&gt;"",(LOOKUP(Info!$C$22,Rates!$AD$2:$AD$4,Rates!$AA$2:$AA$4))*(H2+P2+Q2),"")</f>
        <v/>
      </c>
      <c r="G2" s="236">
        <f>IF(AJ2&lt;&gt;"",(LOOKUP(Info!$C$22,Rates!$AD$2:$AD$4,Rates!$AB$2:$AB$4))*(H2+P2+Q2),"")</f>
        <v/>
      </c>
      <c r="H2" s="236">
        <f>IF(AJ2&lt;&gt;"",I2+J2+AB2,"")</f>
        <v/>
      </c>
      <c r="I2" s="236">
        <f>IF(AJ2&lt;&gt;"",LOOKUP(Info!$C$8,Rates!$I$2:$I$7,Rates!$H$2:$H$7)*(J2+P2+Q2+AB2),"")</f>
        <v/>
      </c>
      <c r="J2" s="237">
        <f>IF(L2="",0,L2)+IF(N2="",0,N2)+IF(O2="",0,O2)</f>
        <v/>
      </c>
      <c r="K2" s="237">
        <f>30/100*M2</f>
        <v/>
      </c>
      <c r="L2" s="237">
        <f>30/100*M2</f>
        <v/>
      </c>
      <c r="M2" s="237">
        <f>IF(AND(AI2&lt;&gt;"",AL2&lt;=10),(1-Info!$C$25)*MIN(30/1000*AF2,0.75*AI2),"")</f>
        <v/>
      </c>
      <c r="N2" s="237">
        <f>IF(AL2&lt;=5,IF(AJ2&lt;&gt;"",0.002*AF2,"")*(1-Info!$I$25),"")</f>
        <v/>
      </c>
      <c r="O2" s="237">
        <f>IF(AJ2&lt;&gt;"",0.07*AI2*(1-Info!$F$25),0)</f>
        <v/>
      </c>
      <c r="P2" s="238">
        <f>IF(AJ2&lt;&gt;"",Y2+W2+U2+S2+R2,0)</f>
        <v/>
      </c>
      <c r="Q2" s="238">
        <f>IF(AJ2&lt;&gt;"",AA2+Z2+X2+V2+T2,0)</f>
        <v/>
      </c>
      <c r="R2" s="238">
        <f>IF(AJ2&lt;&gt;"",(AB2+AA2+V2+T2)*Info!$L$20,0)</f>
        <v/>
      </c>
      <c r="S2" s="238">
        <f>IF(AJ2&lt;&gt;"",T2*(LOOKUP(Info!$I$18,Rates!$O$2:$O$9,Rates!$L$2:$L$9)/100),0)</f>
        <v/>
      </c>
      <c r="T2" s="238">
        <f>IF(AJ2&lt;&gt;"",IF(Info!$F$14="بله",V2*Rates!$Y$7,0),0)</f>
        <v/>
      </c>
      <c r="U2" s="238">
        <f>IF(AJ2&lt;&gt;"",IF(Info!#REF!="بله",V2*(LOOKUP(Info!$I$18,Rates!$O$2:$O$9,Rates!$L$2:$L$9)/100),V2*(LOOKUP(Info!$F$18,Rates!$O$2:$O$9,Rates!$L$2:$L$9)/100)),0)</f>
        <v/>
      </c>
      <c r="V2" s="239">
        <f>IF(AND(AJ2&lt;&gt;"",AJ2&lt;=Rates!$Y$8,Info!#REF!="بله"),AH2*(LOOKUP(AJ2,Rates!$T$2:$T$108,Rates!#REF!)),IF(AND(AK2&lt;&gt;"",AK2&lt;=Rates!$Y$8,Info!#REF!="خیر"),AH2*(LOOKUP(AK2,Rates!$T$2:$T$108,Rates!#REF!)),0))*(1-Info!$F$29)</f>
        <v/>
      </c>
      <c r="W2" s="239">
        <f>IF(AJ2&lt;&gt;"",X2*LOOKUP(Info!$I$18,Rates!$O$2:$O$9,Rates!$M$2:$M$9)/100,0)</f>
        <v/>
      </c>
      <c r="X2" s="239">
        <f>IF(AJ2&lt;=Rates!$Y$4,0.0008*AF2*Info!$F$12,0)</f>
        <v/>
      </c>
      <c r="Y2" s="239">
        <f>IF(AJ2&lt;&gt;"",Z2*(LOOKUP(Info!$I$18,Rates!$O$2:$O$9,Rates!$N$2:$N$9/100)),0)</f>
        <v/>
      </c>
      <c r="Z2" s="238">
        <f>IF(AND(AJ2&lt;=(Rates!$Y$3),AD2&lt;&gt;""),(1-Info!$I$27)*0.0008*AF2*Info!$I$12,0)</f>
        <v/>
      </c>
      <c r="AA2" s="238">
        <f>IF(AJ2&lt;=60,(LOOKUP(AJ2,Rates!$T$2:$T$108,Rates!#REF!))*AC2/1000000*(1-Info!$I$29),0)</f>
        <v/>
      </c>
      <c r="AB2" s="236">
        <f>IF(AJ2&lt;&gt;"",(AF2*LOOKUP(AJ2,Rates!$T$2:$T$108,Rates!$S$2:$S$108))/SQRT(1+IF(AL2&lt;=10,Rates!$Y$5,Rates!$Y$6)),"")</f>
        <v/>
      </c>
      <c r="AC2" s="240">
        <f>IF(AND(AJ2&lt;&gt;"",AJ2&lt;=Rates!$Y$2),MIN(0.5*$AF$2,300000000,Info!$I$16),"")</f>
        <v/>
      </c>
      <c r="AD2" s="240">
        <f>IF(AND(AJ2&lt;&gt;"",AJ2&lt;=60),AF2*Info!$L$16,"")</f>
        <v/>
      </c>
      <c r="AE2" s="65">
        <f>IF(AND(AJ2&lt;&gt;"",AJ2&lt;=70),AF2*(1+Info!$L$14),"")</f>
        <v/>
      </c>
      <c r="AF2" s="65">
        <f>IF(AJ2&lt;&gt;"",Info!$I$10,"")</f>
        <v/>
      </c>
      <c r="AG2" s="42">
        <f>AI2</f>
        <v/>
      </c>
      <c r="AH2" s="42">
        <f>IF(AJ2&lt;&gt;"",AI2*Rates!$Y$9,"")</f>
        <v/>
      </c>
      <c r="AI2" s="42">
        <f>IF(AJ2&lt;&gt;"",Info!$I$8,"")</f>
        <v/>
      </c>
      <c r="AJ2" s="49">
        <f>IF(AL2&lt;&gt;"",Info!$F$6+AL2-1,"")</f>
        <v/>
      </c>
      <c r="AK2" s="66">
        <f>IF(AL2&lt;&gt;"",Info!$C$6+AL2-1,"")</f>
        <v/>
      </c>
      <c r="AL2" s="67">
        <f>IF(Info!$I$6&lt;&gt;"",1,"")</f>
        <v/>
      </c>
    </row>
    <row r="3">
      <c r="A3" s="236">
        <f>IF(AJ3&lt;&gt;"",D3+D3*(IF(AL3&gt;4,0.1,LOOKUP(Info!$C$10,Rates!$D$2:$D$4,Rates!$C$2:$C$4))+0.85*(Info!$I$22-(IF(AL3&gt;4,0.1,LOOKUP(Info!$C$10,Rates!$D$2:$D$4,Rates!$C$2:$C$4)))))*LOOKUP(Info!$C$8,Rates!$I$2:$I$7,Rates!$G$2:$G$7)+A2*(1+IF(AL3&gt;4,0.1,LOOKUP(Info!$C$10,Rates!$D$2:$D$4,Rates!$C$2:$C$4))+0.85*(Info!$I$22-IF(AL3&gt;4,0.1,LOOKUP(Info!$C$10,Rates!$D$2:$D$4,Rates!$C$2:$C$4)))),"")</f>
        <v/>
      </c>
      <c r="B3" s="236">
        <f>IF(AJ3&lt;&gt;"",IF(AL3&gt;=8,C3,C3*LOOKUP(AL3,Rates!$AG$2:$AG$8,Rates!$AF$2:$AF$8)),"")</f>
        <v/>
      </c>
      <c r="C3" s="236">
        <f>IF(AJ3&lt;&gt;"",D3*(1+IF(AL3&gt;4,0.1,LOOKUP(Info!$C$10,Rates!$D$2:$D$5,Rates!$C$2:$C$5))*LOOKUP(Info!$C$8,Rates!$I$2:$I$7,Rates!$G$2:$G$7))+C2*(1+IF(AL3&gt;4,0.1,LOOKUP(Info!$C$10,Rates!$D$2:$D$5,Rates!$C$2:$C$5))),"")</f>
        <v/>
      </c>
      <c r="D3" s="236">
        <f>IF(AJ3&lt;&gt;"",AI3-(H3+G3+F3+E3+P3+Q3)+IF(Info!$C$20&gt;0,IF(AND(AL3&lt;=Info!$F$20,AL3&gt;=Info!$I$20),Info!$C$20,0),0),"")</f>
        <v/>
      </c>
      <c r="E3" s="236">
        <f>IF(AJ3&lt;&gt;"",(LOOKUP(Info!$C$22,Rates!$AD$2:$AD$4,Rates!$AC$2:$AC$4))*(H3+P3+Q3),"")</f>
        <v/>
      </c>
      <c r="F3" s="236">
        <f>IF(AJ3&lt;&gt;"",(LOOKUP(Info!$C$22,Rates!$AD$2:$AD$4,Rates!$AA$2:$AA$4))*(H3+P3+Q3),"")</f>
        <v/>
      </c>
      <c r="G3" s="236">
        <f>IF(AJ3&lt;&gt;"",(LOOKUP(Info!$C$22,Rates!$AD$2:$AD$4,Rates!$AB$2:$AB$4))*(H3+P3+Q3),"")</f>
        <v/>
      </c>
      <c r="H3" s="236">
        <f>IF(AJ3&lt;&gt;"",I3+J3+AB3,"")</f>
        <v/>
      </c>
      <c r="I3" s="236">
        <f>IF(AJ3&lt;&gt;"",LOOKUP(Info!$C$8,Rates!$I$2:$I$7,Rates!$H$2:$H$7)*(J3+P3+Q3+AB3),"")</f>
        <v/>
      </c>
      <c r="J3" s="244">
        <f>IF(L3="",0,L3)+IF(N3="",0,N3)+IF(O3="",0,O3)</f>
        <v/>
      </c>
      <c r="K3" s="244">
        <f>0.3*M3+0.7*M2*0.25</f>
        <v/>
      </c>
      <c r="L3" s="244">
        <f>L2+0.3*M3-12.5/100*M2</f>
        <v/>
      </c>
      <c r="M3" s="244">
        <f>IF(AND(AI3&lt;&gt;"",AL3&lt;=10),(1-Info!$C$25)*MIN(30/1000*(AF3-AF2),0.75*(AI3-AI2)),"")</f>
        <v/>
      </c>
      <c r="N3" s="244">
        <f>IF(AL3&lt;=5,IF(AJ3&lt;&gt;"",0.002*AF3,"")*(1-Info!$I$25),"")</f>
        <v/>
      </c>
      <c r="O3" s="244">
        <f>IF(AJ3&lt;&gt;"",0.07*AI3*(1-Info!$F$25),0)</f>
        <v/>
      </c>
      <c r="P3" s="238">
        <f>IF(AJ3&lt;&gt;"",Y3+W3+U3+S3+R3,0)</f>
        <v/>
      </c>
      <c r="Q3" s="238">
        <f>IF(AJ3&lt;&gt;"",AA3+Z3+X3+V3+T3,0)</f>
        <v/>
      </c>
      <c r="R3" s="238">
        <f>IF(AJ3&lt;&gt;"",(AB3+AA3+V3+T3)*Info!$L$20,0)</f>
        <v/>
      </c>
      <c r="S3" s="238">
        <f>IF(AJ3&lt;&gt;"",T3*(LOOKUP(Info!$I$18,Rates!$O$2:$O$9,Rates!$L$2:$L$9)/100),0)</f>
        <v/>
      </c>
      <c r="T3" s="238">
        <f>IF(AJ3&lt;&gt;"",IF(Info!$F$14="بله",V3*Rates!$Y$7,0),0)</f>
        <v/>
      </c>
      <c r="U3" s="238">
        <f>IF(AJ3&lt;&gt;"",IF(Info!#REF!="بله",V3*(LOOKUP(Info!$I$18,Rates!$O$2:$O$9,Rates!$L$2:$L$9)/100),V3*(LOOKUP(Info!$F$18,Rates!$O$2:$O$9,Rates!$L$2:$L$9)/100)),0)</f>
        <v/>
      </c>
      <c r="V3" s="239">
        <f>IF(AND(AJ3&lt;&gt;"",AJ3&lt;=Rates!$Y$8,Info!#REF!="بله"),AH3*(LOOKUP(AJ3,Rates!$T$2:$T$108,Rates!#REF!)),IF(AND(AK3&lt;&gt;"",AK3&lt;=Rates!$Y$8,Info!#REF!="خیر"),AH3*(LOOKUP(AK3,Rates!$T$2:$T$108,Rates!#REF!)),0)*(1-Info!$F$29))</f>
        <v/>
      </c>
      <c r="W3" s="239">
        <f>IF(AJ3&lt;&gt;"",X3*LOOKUP(Info!$I$18,Rates!$O$2:$O$9,Rates!$M$2:$M$9)/100,0)</f>
        <v/>
      </c>
      <c r="X3" s="239">
        <f>IF(AJ3&lt;=Rates!$Y$4,0.0008*AF3*Info!$F$12,0)</f>
        <v/>
      </c>
      <c r="Y3" s="239">
        <f>IF(AJ3&lt;&gt;"",Z3*(LOOKUP(Info!$I$18,Rates!$O$2:$O$9,Rates!$N$2:$N$9/100)),0)</f>
        <v/>
      </c>
      <c r="Z3" s="238">
        <f>IF(AND(AJ3&lt;=(Rates!$Y$3),AD3&lt;&gt;""),(1-Info!$I$27)*0.0008*AF3*Info!$I$12,0)</f>
        <v/>
      </c>
      <c r="AA3" s="238">
        <f>IF(AJ3&lt;=60,(LOOKUP(AJ3,Rates!$T$2:$T$108,Rates!#REF!))*AC3/1000000*(1-Info!$I$29),0)</f>
        <v/>
      </c>
      <c r="AB3" s="236">
        <f>IF(AJ3&lt;&gt;"",(AF3*LOOKUP(AJ3,Rates!$T$2:$T$108,Rates!$S$2:$S$108))/SQRT(1+IF(AL3&lt;=10,Rates!$Y$5,Rates!$Y$6)),"")</f>
        <v/>
      </c>
      <c r="AC3" s="240">
        <f>IF(AND(AJ3&lt;&gt;"",AJ3&lt;=Rates!$Y$2),MIN(0.5*AF3,300000000,AC2*(1+Info!$F$10)),"")</f>
        <v/>
      </c>
      <c r="AD3" s="240">
        <f>IF(AND(AJ3&lt;&gt;"",AJ3&lt;=60),AF3*Info!$L$16,"")</f>
        <v/>
      </c>
      <c r="AE3" s="68">
        <f>IF(AND(AJ3&lt;&gt;"",AJ3&lt;=70),AF3*(1+Info!$L$14),"")</f>
        <v/>
      </c>
      <c r="AF3" s="68">
        <f>IF(AJ3&lt;&gt;"",AF2*(1+Info!$F$10),"")</f>
        <v/>
      </c>
      <c r="AG3" s="51">
        <f>IF(AJ3&lt;&gt;"",AI3+AG2,"")</f>
        <v/>
      </c>
      <c r="AH3" s="42">
        <f>IF(AJ3&lt;&gt;"",AI3*Rates!$Y$9,"")</f>
        <v/>
      </c>
      <c r="AI3" s="51">
        <f>IF(AJ3&lt;&gt;"",AI2*(1+Info!$F$8),"")</f>
        <v/>
      </c>
      <c r="AJ3" s="57">
        <f>IF(AL3&lt;&gt;"",Info!$F$6+AL3-1,"")</f>
        <v/>
      </c>
      <c r="AK3" s="66">
        <f>IF(AL3&lt;&gt;"",Info!$C$6+AL3-1,"")</f>
        <v/>
      </c>
      <c r="AL3" s="69">
        <f>IF(AL2&lt;&gt;"",IF(AL2+1&lt;=Info!$I$6,AL2+1,""),"")</f>
        <v/>
      </c>
      <c r="AM3" s="20" t="n"/>
      <c r="AN3" s="20" t="n"/>
    </row>
    <row r="4">
      <c r="A4" s="236">
        <f>IF(AJ4&lt;&gt;"",D4+D4*(IF(AL4&gt;4,0.1,LOOKUP(Info!$C$10,Rates!$D$2:$D$4,Rates!$C$2:$C$4))+0.85*(Info!$I$22-(IF(AL4&gt;4,0.1,LOOKUP(Info!$C$10,Rates!$D$2:$D$4,Rates!$C$2:$C$4)))))*LOOKUP(Info!$C$8,Rates!$I$2:$I$7,Rates!$G$2:$G$7)+A3*(1+IF(AL4&gt;4,0.1,LOOKUP(Info!$C$10,Rates!$D$2:$D$4,Rates!$C$2:$C$4))+0.85*(Info!$I$22-IF(AL4&gt;4,0.1,LOOKUP(Info!$C$10,Rates!$D$2:$D$4,Rates!$C$2:$C$4)))),"")</f>
        <v/>
      </c>
      <c r="B4" s="236">
        <f>IF(AJ4&lt;&gt;"",IF(AL4&gt;=8,C4,C4*LOOKUP(AL4,Rates!$AG$2:$AG$8,Rates!$AF$2:$AF$8)),"")</f>
        <v/>
      </c>
      <c r="C4" s="236">
        <f>IF(AJ4&lt;&gt;"",D4*(1+IF(AL4&gt;4,0.1,LOOKUP(Info!$C$10,Rates!$D$2:$D$5,Rates!$B$2:$B$5))*LOOKUP(Info!$C$8,Rates!$I$2:$I$7,Rates!$G$2:$G$7))+C3*(1+IF(AL4&gt;4,0.1,LOOKUP(Info!$C$10,Rates!$D$2:$D$5,Rates!$B$2:$B$5))),"")</f>
        <v/>
      </c>
      <c r="D4" s="236">
        <f>IF(AJ4&lt;&gt;"",AI4-(H4+G4+F4+E4+P4+Q4)+IF(Info!$C$20&gt;0,IF(AND(AL4&lt;=Info!$F$20,AL4&gt;=Info!$I$20),Info!$C$20,0),0),"")</f>
        <v/>
      </c>
      <c r="E4" s="236">
        <f>IF(AJ4&lt;&gt;"",(LOOKUP(Info!$C$22,Rates!$AD$2:$AD$4,Rates!$AC$2:$AC$4))*(H4+P4+Q4),"")</f>
        <v/>
      </c>
      <c r="F4" s="236">
        <f>IF(AJ4&lt;&gt;"",(LOOKUP(Info!$C$22,Rates!$AD$2:$AD$4,Rates!$AA$2:$AA$4))*(H4+P4+Q4),"")</f>
        <v/>
      </c>
      <c r="G4" s="236">
        <f>IF(AJ4&lt;&gt;"",(LOOKUP(Info!$C$22,Rates!$AD$2:$AD$4,Rates!$AB$2:$AB$4))*(H4+P4+Q4),"")</f>
        <v/>
      </c>
      <c r="H4" s="236">
        <f>IF(AJ4&lt;&gt;"",I4+J4+AB4,"")</f>
        <v/>
      </c>
      <c r="I4" s="236">
        <f>IF(AJ4&lt;&gt;"",LOOKUP(Info!$C$8,Rates!$I$2:$I$7,Rates!$H$2:$H$7)*(J4+P4+Q4+AB4),"")</f>
        <v/>
      </c>
      <c r="J4" s="244">
        <f>IF(L4="",0,L4)+IF(N4="",0,N4)+IF(O4="",0,O4)</f>
        <v/>
      </c>
      <c r="K4" s="244">
        <f>0.3*M4+0.7*0.25*M3+0.7*0.25*M2</f>
        <v/>
      </c>
      <c r="L4" s="244">
        <f>L3+0.3*M4-12.5/100*M3</f>
        <v/>
      </c>
      <c r="M4" s="244">
        <f>IF(AND(AI4&lt;&gt;"",AL4&lt;=10),(1-Info!$C$25)*MIN(30/1000*(AF4-AF3),0.75*(AI4-AI3)),"")</f>
        <v/>
      </c>
      <c r="N4" s="244">
        <f>IF(AL4&lt;=5,IF(AJ4&lt;&gt;"",0.002*AF4,"")*(1-Info!$I$25),"")</f>
        <v/>
      </c>
      <c r="O4" s="244">
        <f>IF(AJ4&lt;&gt;"",0.07*AI4*(1-Info!$F$25),0)</f>
        <v/>
      </c>
      <c r="P4" s="238">
        <f>IF(AJ4&lt;&gt;"",Y4+W4+U4+S4+R4,0)</f>
        <v/>
      </c>
      <c r="Q4" s="238">
        <f>IF(AJ4&lt;&gt;"",AA4+Z4+X4+V4+T4,0)</f>
        <v/>
      </c>
      <c r="R4" s="238">
        <f>IF(AJ4&lt;&gt;"",(AB4+AA4+V4+T4)*Info!$L$20,0)</f>
        <v/>
      </c>
      <c r="S4" s="238">
        <f>IF(AJ4&lt;&gt;"",T4*(LOOKUP(Info!$I$18,Rates!$O$2:$O$9,Rates!$L$2:$L$9)/100),0)</f>
        <v/>
      </c>
      <c r="T4" s="238">
        <f>IF(AJ4&lt;&gt;"",IF(Info!$F$14="بله",V4*Rates!$Y$7,0),0)</f>
        <v/>
      </c>
      <c r="U4" s="238">
        <f>IF(AJ4&lt;&gt;"",IF(Info!#REF!="بله",V4*(LOOKUP(Info!$I$18,Rates!$O$2:$O$9,Rates!$L$2:$L$9)/100),V4*(LOOKUP(Info!$F$18,Rates!$O$2:$O$9,Rates!$L$2:$L$9)/100)),0)</f>
        <v/>
      </c>
      <c r="V4" s="239">
        <f>IF(AND(AJ4&lt;&gt;"",AJ4&lt;=Rates!$Y$8,Info!#REF!="بله"),AH4*(LOOKUP(AJ4,Rates!$T$2:$T$108,Rates!#REF!)),IF(AND(AK4&lt;&gt;"",AK4&lt;=Rates!$Y$8,Info!#REF!="خیر"),AH4*(LOOKUP(AK4,Rates!$T$2:$T$108,Rates!#REF!)),0)*(1-Info!$F$29))</f>
        <v/>
      </c>
      <c r="W4" s="239">
        <f>IF(AJ4&lt;&gt;"",X4*LOOKUP(Info!$I$18,Rates!$O$2:$O$9,Rates!$M$2:$M$9)/100,0)</f>
        <v/>
      </c>
      <c r="X4" s="239">
        <f>IF(AJ4&lt;=Rates!$Y$4,0.0008*AF4*Info!$F$12,0)</f>
        <v/>
      </c>
      <c r="Y4" s="239">
        <f>IF(AJ4&lt;&gt;"",Z4*(LOOKUP(Info!$I$18,Rates!$O$2:$O$9,Rates!$N$2:$N$9/100)),0)</f>
        <v/>
      </c>
      <c r="Z4" s="238">
        <f>IF(AND(AJ4&lt;=(Rates!$Y$3),AD4&lt;&gt;""),(1-Info!$I$27)*0.0008*AF4*Info!$I$12,0)</f>
        <v/>
      </c>
      <c r="AA4" s="238">
        <f>IF(AJ4&lt;=60,(LOOKUP(AJ4,Rates!$T$2:$T$108,Rates!#REF!))*AC4/1000000*(1-Info!$I$29),0)</f>
        <v/>
      </c>
      <c r="AB4" s="236">
        <f>IF(AJ4&lt;&gt;"",(AF4*LOOKUP(AJ4,Rates!$T$2:$T$108,Rates!$S$2:$S$108))/SQRT(1+IF(AL4&lt;=10,Rates!$Y$5,Rates!$Y$6)),"")</f>
        <v/>
      </c>
      <c r="AC4" s="240">
        <f>IF(AND(AJ4&lt;&gt;"",AJ4&lt;=Rates!$Y$2),MIN(0.5*AF4,300000000,AC3*(1+Info!$F$10)),"")</f>
        <v/>
      </c>
      <c r="AD4" s="240">
        <f>IF(AND(AJ4&lt;&gt;"",AJ4&lt;=60),AF4*Info!$L$16,"")</f>
        <v/>
      </c>
      <c r="AE4" s="68">
        <f>IF(AND(AJ4&lt;&gt;"",AJ4&lt;=70),AF4*(1+Info!$L$14),"")</f>
        <v/>
      </c>
      <c r="AF4" s="68">
        <f>IF(AJ4&lt;&gt;"",AF3*(1+Info!$F$10),"")</f>
        <v/>
      </c>
      <c r="AG4" s="51">
        <f>IF(AJ4&lt;&gt;"",AI4+AG3,"")</f>
        <v/>
      </c>
      <c r="AH4" s="42">
        <f>IF(AJ4&lt;&gt;"",AI4*Rates!$Y$9,"")</f>
        <v/>
      </c>
      <c r="AI4" s="51">
        <f>IF(AJ4&lt;&gt;"",AI3*(1+Info!$F$8),"")</f>
        <v/>
      </c>
      <c r="AJ4" s="57">
        <f>IF(AL4&lt;&gt;"",Info!$F$6+AL4-1,"")</f>
        <v/>
      </c>
      <c r="AK4" s="66">
        <f>IF(AL4&lt;&gt;"",Info!$C$6+AL4-1,"")</f>
        <v/>
      </c>
      <c r="AL4" s="69">
        <f>IF(AL3&lt;&gt;"",IF(AL3+1&lt;=Info!$I$6,AL3+1,""),"")</f>
        <v/>
      </c>
    </row>
    <row r="5">
      <c r="A5" s="236">
        <f>IF(AJ5&lt;&gt;"",D5+D5*(IF(AL5&gt;4,0.1,LOOKUP(Info!$C$10,Rates!$D$2:$D$4,Rates!$C$2:$C$4))+0.85*(Info!$I$22-(IF(AL5&gt;4,0.1,LOOKUP(Info!$C$10,Rates!$D$2:$D$4,Rates!$C$2:$C$4)))))*LOOKUP(Info!$C$8,Rates!$I$2:$I$7,Rates!$G$2:$G$7)+A4*(1+IF(AL5&gt;4,0.1,LOOKUP(Info!$C$10,Rates!$D$2:$D$4,Rates!$C$2:$C$4))+0.85*(Info!$I$22-IF(AL5&gt;4,0.1,LOOKUP(Info!$C$10,Rates!$D$2:$D$4,Rates!$C$2:$C$4)))),"")</f>
        <v/>
      </c>
      <c r="B5" s="236">
        <f>IF(AJ5&lt;&gt;"",IF(AL5&gt;=8,C5,C5*LOOKUP(AL5,Rates!$AG$2:$AG$8,Rates!$AF$2:$AF$8)),"")</f>
        <v/>
      </c>
      <c r="C5" s="236">
        <f>IF(AJ5&lt;&gt;"",D5*(1+IF(AL5&gt;4,0.1,LOOKUP(Info!$C$10,Rates!$D$2:$D$5,Rates!$B$2:$B$5))*LOOKUP(Info!$C$8,Rates!$I$2:$I$7,Rates!$G$2:$G$7))+C4*(1+IF(AL5&gt;4,0.1,LOOKUP(Info!$C$10,Rates!$D$2:$D$5,Rates!$B$2:$B$5))),"")</f>
        <v/>
      </c>
      <c r="D5" s="236">
        <f>IF(AJ5&lt;&gt;"",AI5-(H5+G5+F5+E5+P5+Q5)+IF(Info!$C$20&gt;0,IF(AND(AL5&lt;=Info!$F$20,AL5&gt;=Info!$I$20),Info!$C$20,0),0),"")</f>
        <v/>
      </c>
      <c r="E5" s="236">
        <f>IF(AJ5&lt;&gt;"",(LOOKUP(Info!$C$22,Rates!$AD$2:$AD$4,Rates!$AC$2:$AC$4))*(H5+P5+Q5),"")</f>
        <v/>
      </c>
      <c r="F5" s="236">
        <f>IF(AJ5&lt;&gt;"",(LOOKUP(Info!$C$22,Rates!$AD$2:$AD$4,Rates!$AA$2:$AA$4))*(H5+P5+Q5),"")</f>
        <v/>
      </c>
      <c r="G5" s="236">
        <f>IF(AJ5&lt;&gt;"",(LOOKUP(Info!$C$22,Rates!$AD$2:$AD$4,Rates!$AB$2:$AB$4))*(H5+P5+Q5),"")</f>
        <v/>
      </c>
      <c r="H5" s="236">
        <f>IF(AJ5&lt;&gt;"",I5+J5+AB5,"")</f>
        <v/>
      </c>
      <c r="I5" s="236">
        <f>IF(AJ5&lt;&gt;"",LOOKUP(Info!$C$8,Rates!$I$2:$I$7,Rates!$H$2:$H$7)*(J5+P5+Q5+AB5),"")</f>
        <v/>
      </c>
      <c r="J5" s="244">
        <f>IF(L5="",0,L5)+IF(N5="",0,N5)+IF(O5="",0,O5)</f>
        <v/>
      </c>
      <c r="K5" s="244">
        <f>0.3*M5+0.7*0.25*M4+0.7*0.25*M3+0.7*0.25*M2</f>
        <v/>
      </c>
      <c r="L5" s="244">
        <f>L4+0.3*M5-12.5/100*M4</f>
        <v/>
      </c>
      <c r="M5" s="244">
        <f>IF(AND(AI5&lt;&gt;"",AL5&lt;=10),(1-Info!$C$25)*MIN(30/1000*(AF5-AF4),0.75*(AI5-AI4)),"")</f>
        <v/>
      </c>
      <c r="N5" s="244">
        <f>IF(AL5&lt;=5,IF(AJ5&lt;&gt;"",0.002*AF5,"")*(1-Info!$I$25),"")</f>
        <v/>
      </c>
      <c r="O5" s="244">
        <f>IF(AJ5&lt;&gt;"",0.07*AI5*(1-Info!$F$25),0)</f>
        <v/>
      </c>
      <c r="P5" s="238">
        <f>IF(AJ5&lt;&gt;"",Y5+W5+U5+S5+R5,0)</f>
        <v/>
      </c>
      <c r="Q5" s="238">
        <f>IF(AJ5&lt;&gt;"",AA5+Z5+X5+V5+T5,0)</f>
        <v/>
      </c>
      <c r="R5" s="238">
        <f>IF(AJ5&lt;&gt;"",(AB5+AA5+V5+T5)*Info!$L$20,0)</f>
        <v/>
      </c>
      <c r="S5" s="238">
        <f>IF(AJ5&lt;&gt;"",T5*(LOOKUP(Info!$I$18,Rates!$O$2:$O$9,Rates!$L$2:$L$9)/100),0)</f>
        <v/>
      </c>
      <c r="T5" s="238">
        <f>IF(AJ5&lt;&gt;"",IF(Info!$F$14="بله",V5*Rates!$Y$7,0),0)</f>
        <v/>
      </c>
      <c r="U5" s="238">
        <f>IF(AJ5&lt;&gt;"",IF(Info!#REF!="بله",V5*(LOOKUP(Info!$I$18,Rates!$O$2:$O$9,Rates!$L$2:$L$9)/100),V5*(LOOKUP(Info!$F$18,Rates!$O$2:$O$9,Rates!$L$2:$L$9)/100)),0)</f>
        <v/>
      </c>
      <c r="V5" s="239">
        <f>IF(AND(AJ5&lt;&gt;"",AJ5&lt;=Rates!$Y$8,Info!#REF!="بله"),AH5*(LOOKUP(AJ5,Rates!$T$2:$T$108,Rates!#REF!)),IF(AND(AK5&lt;&gt;"",AK5&lt;=Rates!$Y$8,Info!#REF!="خیر"),AH5*(LOOKUP(AK5,Rates!$T$2:$T$108,Rates!#REF!)),0)*(1-Info!$F$29))</f>
        <v/>
      </c>
      <c r="W5" s="239">
        <f>IF(AJ5&lt;&gt;"",X5*LOOKUP(Info!$I$18,Rates!$O$2:$O$9,Rates!$M$2:$M$9)/100,0)</f>
        <v/>
      </c>
      <c r="X5" s="239">
        <f>IF(AJ5&lt;=Rates!$Y$4,0.0008*AF5*Info!$F$12,0)</f>
        <v/>
      </c>
      <c r="Y5" s="239">
        <f>IF(AJ5&lt;&gt;"",Z5*(LOOKUP(Info!$I$18,Rates!$O$2:$O$9,Rates!$N$2:$N$9/100)),0)</f>
        <v/>
      </c>
      <c r="Z5" s="238">
        <f>IF(AND(AJ5&lt;=(Rates!$Y$3),AD5&lt;&gt;""),(1-Info!$I$27)*0.0008*AF5*Info!$I$12,0)</f>
        <v/>
      </c>
      <c r="AA5" s="238">
        <f>IF(AJ5&lt;=60,(LOOKUP(AJ5,Rates!$T$2:$T$108,Rates!#REF!))*AC5/1000000*(1-Info!$I$29),0)</f>
        <v/>
      </c>
      <c r="AB5" s="236">
        <f>IF(AJ5&lt;&gt;"",(AF5*LOOKUP(AJ5,Rates!$T$2:$T$108,Rates!$S$2:$S$108))/SQRT(1+IF(AL5&lt;=10,Rates!$Y$5,Rates!$Y$6)),"")</f>
        <v/>
      </c>
      <c r="AC5" s="240">
        <f>IF(AND(AJ5&lt;&gt;"",AJ5&lt;=Rates!$Y$2),MIN(0.5*AF5,300000000,AC4*(1+Info!$F$10)),"")</f>
        <v/>
      </c>
      <c r="AD5" s="240">
        <f>IF(AND(AJ5&lt;&gt;"",AJ5&lt;=60),AF5*Info!$L$16,"")</f>
        <v/>
      </c>
      <c r="AE5" s="68">
        <f>IF(AND(AJ5&lt;&gt;"",AJ5&lt;=70),AF5*(1+Info!$L$14),"")</f>
        <v/>
      </c>
      <c r="AF5" s="68">
        <f>IF(AJ5&lt;&gt;"",AF4*(1+Info!$F$10),"")</f>
        <v/>
      </c>
      <c r="AG5" s="51">
        <f>IF(AJ5&lt;&gt;"",AI5+AG4,"")</f>
        <v/>
      </c>
      <c r="AH5" s="42">
        <f>IF(AJ5&lt;&gt;"",AI5*Rates!$Y$9,"")</f>
        <v/>
      </c>
      <c r="AI5" s="51">
        <f>IF(AJ5&lt;&gt;"",AI4*(1+Info!$F$8),"")</f>
        <v/>
      </c>
      <c r="AJ5" s="57">
        <f>IF(AL5&lt;&gt;"",Info!$F$6+AL5-1,"")</f>
        <v/>
      </c>
      <c r="AK5" s="66">
        <f>IF(AL5&lt;&gt;"",Info!$C$6+AL5-1,"")</f>
        <v/>
      </c>
      <c r="AL5" s="69">
        <f>IF(AL4&lt;&gt;"",IF(AL4+1&lt;=Info!$I$6,AL4+1,""),"")</f>
        <v/>
      </c>
    </row>
    <row r="6">
      <c r="A6" s="236">
        <f>IF(AJ6&lt;&gt;"",D6+D6*(IF(AL6&gt;4,0.1,LOOKUP(Info!$C$10,Rates!$D$2:$D$4,Rates!$C$2:$C$4))+0.85*(Info!$I$22-(IF(AL6&gt;4,0.1,LOOKUP(Info!$C$10,Rates!$D$2:$D$4,Rates!$C$2:$C$4)))))*LOOKUP(Info!$C$8,Rates!$I$2:$I$7,Rates!$G$2:$G$7)+A5*(1+IF(AL6&gt;4,0.1,LOOKUP(Info!$C$10,Rates!$D$2:$D$4,Rates!$C$2:$C$4))+0.85*(Info!$I$22-IF(AL6&gt;4,0.1,LOOKUP(Info!$C$10,Rates!$D$2:$D$4,Rates!$C$2:$C$4)))),"")</f>
        <v/>
      </c>
      <c r="B6" s="236">
        <f>IF(AJ6&lt;&gt;"",IF(AL6&gt;=8,C6,C6*LOOKUP(AL6,Rates!$AG$2:$AG$8,Rates!$AF$2:$AF$8)),"")</f>
        <v/>
      </c>
      <c r="C6" s="236">
        <f>IF(AJ6&lt;&gt;"",D6*(1+IF(AL6&gt;4,0.1,LOOKUP(Info!$C$10,Rates!$D$2:$D$5,Rates!$B$2:$B$5))*LOOKUP(Info!$C$8,Rates!$I$2:$I$7,Rates!$G$2:$G$7))+C5*(1+IF(AL6&gt;4,0.1,LOOKUP(Info!$C$10,Rates!$D$2:$D$5,Rates!$B$2:$B$5))),"")</f>
        <v/>
      </c>
      <c r="D6" s="236">
        <f>IF(AJ6&lt;&gt;"",AI6-(H6+G6+F6+E6+P6+Q6)+IF(Info!$C$20&gt;0,IF(AND(AL6&lt;=Info!$F$20,AL6&gt;=Info!$I$20),Info!$C$20,0),0),"")</f>
        <v/>
      </c>
      <c r="E6" s="236">
        <f>IF(AJ6&lt;&gt;"",(LOOKUP(Info!$C$22,Rates!$AD$2:$AD$4,Rates!$AC$2:$AC$4))*(H6+P6+Q6),"")</f>
        <v/>
      </c>
      <c r="F6" s="236">
        <f>IF(AJ6&lt;&gt;"",(LOOKUP(Info!$C$22,Rates!$AD$2:$AD$4,Rates!$AA$2:$AA$4))*(H6+P6+Q6),"")</f>
        <v/>
      </c>
      <c r="G6" s="236">
        <f>IF(AJ6&lt;&gt;"",(LOOKUP(Info!$C$22,Rates!$AD$2:$AD$4,Rates!$AB$2:$AB$4))*(H6+P6+Q6),"")</f>
        <v/>
      </c>
      <c r="H6" s="236">
        <f>IF(AJ6&lt;&gt;"",I6+J6+AB6,"")</f>
        <v/>
      </c>
      <c r="I6" s="236">
        <f>IF(AJ6&lt;&gt;"",LOOKUP(Info!$C$8,Rates!$I$2:$I$7,Rates!$H$2:$H$7)*(J6+P6+Q6+AB6),"")</f>
        <v/>
      </c>
      <c r="J6" s="244">
        <f>IF(L6="",0,L6)+IF(N6="",0,N6)+IF(O6="",0,O6)</f>
        <v/>
      </c>
      <c r="K6" s="244">
        <f>0.3*M6+0.7*0.25*M5+0.7*0.25*M4+0.7*0.25*M3+0.7*0.25*M2</f>
        <v/>
      </c>
      <c r="L6" s="244">
        <f>L5+0.3*M6-12.5/100*M5</f>
        <v/>
      </c>
      <c r="M6" s="244">
        <f>IF(AND(AI6&lt;&gt;"",AL6&lt;=10),(1-Info!$C$25)*MIN(30/1000*(AF6-AF5),0.75*(AI6-AI5)),"")</f>
        <v/>
      </c>
      <c r="N6" s="244">
        <f>IF(AL6&lt;=5,IF(AJ6&lt;&gt;"",0.002*AF6,"")*(1-Info!$I$25),"")</f>
        <v/>
      </c>
      <c r="O6" s="244">
        <f>IF(AJ6&lt;&gt;"",0.07*AI6*(1-Info!$F$25),0)</f>
        <v/>
      </c>
      <c r="P6" s="238">
        <f>IF(AJ6&lt;&gt;"",Y6+W6+U6+S6+R6,0)</f>
        <v/>
      </c>
      <c r="Q6" s="238">
        <f>IF(AJ6&lt;&gt;"",AA6+Z6+X6+V6+T6,0)</f>
        <v/>
      </c>
      <c r="R6" s="238">
        <f>IF(AJ6&lt;&gt;"",(AB6+AA6+V6+T6)*Info!$L$20,0)</f>
        <v/>
      </c>
      <c r="S6" s="238">
        <f>IF(AJ6&lt;&gt;"",T6*(LOOKUP(Info!$I$18,Rates!$O$2:$O$9,Rates!$L$2:$L$9)/100),0)</f>
        <v/>
      </c>
      <c r="T6" s="238">
        <f>IF(AJ6&lt;&gt;"",IF(Info!$F$14="بله",V6*Rates!$Y$7,0),0)</f>
        <v/>
      </c>
      <c r="U6" s="238">
        <f>IF(AJ6&lt;&gt;"",IF(Info!#REF!="بله",V6*(LOOKUP(Info!$I$18,Rates!$O$2:$O$9,Rates!$L$2:$L$9)/100),V6*(LOOKUP(Info!$F$18,Rates!$O$2:$O$9,Rates!$L$2:$L$9)/100)),0)</f>
        <v/>
      </c>
      <c r="V6" s="239">
        <f>IF(AND(AJ6&lt;&gt;"",AJ6&lt;=Rates!$Y$8,Info!#REF!="بله"),AH6*(LOOKUP(AJ6,Rates!$T$2:$T$108,Rates!#REF!)),IF(AND(AK6&lt;&gt;"",AK6&lt;=Rates!$Y$8,Info!#REF!="خیر"),AH6*(LOOKUP(AK6,Rates!$T$2:$T$108,Rates!#REF!)),0)*(1-Info!$F$29))</f>
        <v/>
      </c>
      <c r="W6" s="239">
        <f>IF(AJ6&lt;&gt;"",X6*LOOKUP(Info!$I$18,Rates!$O$2:$O$9,Rates!$M$2:$M$9)/100,0)</f>
        <v/>
      </c>
      <c r="X6" s="239">
        <f>IF(AJ6&lt;=Rates!$Y$4,0.0008*AF6*Info!$F$12,0)</f>
        <v/>
      </c>
      <c r="Y6" s="239">
        <f>IF(AJ6&lt;&gt;"",Z6*(LOOKUP(Info!$I$18,Rates!$O$2:$O$9,Rates!$N$2:$N$9/100)),0)</f>
        <v/>
      </c>
      <c r="Z6" s="238">
        <f>IF(AND(AJ6&lt;=(Rates!$Y$3),AD6&lt;&gt;""),(1-Info!$I$27)*0.0008*AF6*Info!$I$12,0)</f>
        <v/>
      </c>
      <c r="AA6" s="238">
        <f>IF(AJ6&lt;=60,(LOOKUP(AJ6,Rates!$T$2:$T$108,Rates!#REF!))*AC6/1000000*(1-Info!$I$29),0)</f>
        <v/>
      </c>
      <c r="AB6" s="236">
        <f>IF(AJ6&lt;&gt;"",(AF6*LOOKUP(AJ6,Rates!$T$2:$T$108,Rates!$S$2:$S$108))/SQRT(1+IF(AL6&lt;=10,Rates!$Y$5,Rates!$Y$6)),"")</f>
        <v/>
      </c>
      <c r="AC6" s="240">
        <f>IF(AND(AJ6&lt;&gt;"",AJ6&lt;=Rates!$Y$2),MIN(0.5*AF6,300000000,AC5*(1+Info!$F$10)),"")</f>
        <v/>
      </c>
      <c r="AD6" s="240">
        <f>IF(AND(AJ6&lt;&gt;"",AJ6&lt;=60),AF6*Info!$L$16,"")</f>
        <v/>
      </c>
      <c r="AE6" s="68">
        <f>IF(AND(AJ6&lt;&gt;"",AJ6&lt;=70),AF6*(1+Info!$L$14),"")</f>
        <v/>
      </c>
      <c r="AF6" s="68">
        <f>IF(AJ6&lt;&gt;"",AF5*(1+Info!$F$10),"")</f>
        <v/>
      </c>
      <c r="AG6" s="51">
        <f>IF(AJ6&lt;&gt;"",AI6+AG5,"")</f>
        <v/>
      </c>
      <c r="AH6" s="42">
        <f>IF(AJ6&lt;&gt;"",AI6*Rates!$Y$9,"")</f>
        <v/>
      </c>
      <c r="AI6" s="51">
        <f>IF(AJ6&lt;&gt;"",AI5*(1+Info!$F$8),"")</f>
        <v/>
      </c>
      <c r="AJ6" s="57">
        <f>IF(AL6&lt;&gt;"",Info!$F$6+AL6-1,"")</f>
        <v/>
      </c>
      <c r="AK6" s="66">
        <f>IF(AL6&lt;&gt;"",Info!$C$6+AL6-1,"")</f>
        <v/>
      </c>
      <c r="AL6" s="69">
        <f>IF(AL5&lt;&gt;"",IF(AL5+1&lt;=Info!$I$6,AL5+1,""),"")</f>
        <v/>
      </c>
    </row>
    <row r="7">
      <c r="A7" s="236">
        <f>IF(AJ7&lt;&gt;"",D7+D7*(IF(AL7&gt;4,0.1,LOOKUP(Info!$C$10,Rates!$D$2:$D$4,Rates!$C$2:$C$4))+0.85*(Info!$I$22-(IF(AL7&gt;4,0.1,LOOKUP(Info!$C$10,Rates!$D$2:$D$4,Rates!$C$2:$C$4)))))*LOOKUP(Info!$C$8,Rates!$I$2:$I$7,Rates!$G$2:$G$7)+A6*(1+IF(AL7&gt;4,0.1,LOOKUP(Info!$C$10,Rates!$D$2:$D$4,Rates!$C$2:$C$4))+0.85*(Info!$I$22-IF(AL7&gt;4,0.1,LOOKUP(Info!$C$10,Rates!$D$2:$D$4,Rates!$C$2:$C$4)))),"")</f>
        <v/>
      </c>
      <c r="B7" s="236">
        <f>IF(AJ7&lt;&gt;"",IF(AL7&gt;=8,C7,C7*LOOKUP(AL7,Rates!$AG$2:$AG$8,Rates!$AF$2:$AF$8)),"")</f>
        <v/>
      </c>
      <c r="C7" s="236">
        <f>IF(AJ7&lt;&gt;"",D7*(1+IF(AL7&gt;4,0.1,LOOKUP(Info!$C$10,Rates!$D$2:$D$5,Rates!$B$2:$B$5))*LOOKUP(Info!$C$8,Rates!$I$2:$I$7,Rates!$G$2:$G$7))+C6*(1+IF(AL7&gt;4,0.1,LOOKUP(Info!$C$10,Rates!$D$2:$D$5,Rates!$B$2:$B$5))),"")</f>
        <v/>
      </c>
      <c r="D7" s="236">
        <f>IF(AJ7&lt;&gt;"",AI7-(H7+G7+F7+E7+P7+Q7)+IF(Info!$C$20&gt;0,IF(AND(AL7&lt;=Info!$F$20,AL7&gt;=Info!$I$20),Info!$C$20,0),0),"")</f>
        <v/>
      </c>
      <c r="E7" s="236">
        <f>IF(AJ7&lt;&gt;"",(LOOKUP(Info!$C$22,Rates!$AD$2:$AD$4,Rates!$AC$2:$AC$4))*(H7+P7+Q7),"")</f>
        <v/>
      </c>
      <c r="F7" s="236">
        <f>IF(AJ7&lt;&gt;"",(LOOKUP(Info!$C$22,Rates!$AD$2:$AD$4,Rates!$AA$2:$AA$4))*(H7+P7+Q7),"")</f>
        <v/>
      </c>
      <c r="G7" s="236">
        <f>IF(AJ7&lt;&gt;"",(LOOKUP(Info!$C$22,Rates!$AD$2:$AD$4,Rates!$AB$2:$AB$4))*(H7+P7+Q7),"")</f>
        <v/>
      </c>
      <c r="H7" s="236">
        <f>IF(AJ7&lt;&gt;"",I7+J7+AB7,"")</f>
        <v/>
      </c>
      <c r="I7" s="236">
        <f>IF(AJ7&lt;&gt;"",LOOKUP(Info!$C$8,Rates!$I$2:$I$7,Rates!$H$2:$H$7)*(J7+P7+Q7+AB7),"")</f>
        <v/>
      </c>
      <c r="J7" s="244">
        <f>IF(L7="",0,L7)+IF(N7="",0,N7)+IF(O7="",0,O7)</f>
        <v/>
      </c>
      <c r="K7" s="244">
        <f>0.3*M7+0.7*0.25*M6+0.7*0.25*M5+0.7*0.25*M4+0.7*0.25*M3</f>
        <v/>
      </c>
      <c r="L7" s="244">
        <f>IF(M7&lt;&gt;"",L6-12.5/100*M6+0.3*M7-17.5/100*M2,"")</f>
        <v/>
      </c>
      <c r="M7" s="244">
        <f>IF(AND(AI7&lt;&gt;"",AL7&lt;=10),(1-Info!$C$25)*MIN(30/1000*(AF7-AF6),0.75*(AI7-AI6)),"")</f>
        <v/>
      </c>
      <c r="N7" s="244" t="n">
        <v>0</v>
      </c>
      <c r="O7" s="244">
        <f>IF(AJ7&lt;&gt;"",0.07*AI7*(1-Info!$F$25),0)</f>
        <v/>
      </c>
      <c r="P7" s="238">
        <f>IF(AJ7&lt;&gt;"",Y7+W7+U7+S7+R7,0)</f>
        <v/>
      </c>
      <c r="Q7" s="238">
        <f>IF(AJ7&lt;&gt;"",AA7+Z7+X7+V7+T7,0)</f>
        <v/>
      </c>
      <c r="R7" s="238">
        <f>IF(AJ7&lt;&gt;"",(AB7+AA7+V7+T7)*Info!$L$20,0)</f>
        <v/>
      </c>
      <c r="S7" s="238">
        <f>IF(AJ7&lt;&gt;"",T7*(LOOKUP(Info!$I$18,Rates!$O$2:$O$9,Rates!$L$2:$L$9)/100),0)</f>
        <v/>
      </c>
      <c r="T7" s="238">
        <f>IF(AJ7&lt;&gt;"",IF(Info!$F$14="بله",V7*Rates!$Y$7,0),0)</f>
        <v/>
      </c>
      <c r="U7" s="238">
        <f>IF(AJ7&lt;&gt;"",IF(Info!#REF!="بله",V7*(LOOKUP(Info!$I$18,Rates!$O$2:$O$9,Rates!$L$2:$L$9)/100),V7*(LOOKUP(Info!$F$18,Rates!$O$2:$O$9,Rates!$L$2:$L$9)/100)),0)</f>
        <v/>
      </c>
      <c r="V7" s="239">
        <f>IF(AND(AJ7&lt;&gt;"",AJ7&lt;=Rates!$Y$8,Info!#REF!="بله"),AH7*(LOOKUP(AJ7,Rates!$T$2:$T$108,Rates!#REF!)),IF(AND(AK7&lt;&gt;"",AK7&lt;=Rates!$Y$8,Info!#REF!="خیر"),AH7*(LOOKUP(AK7,Rates!$T$2:$T$108,Rates!#REF!)),0)*(1-Info!$F$29))</f>
        <v/>
      </c>
      <c r="W7" s="239">
        <f>IF(AJ7&lt;&gt;"",X7*LOOKUP(Info!$I$18,Rates!$O$2:$O$9,Rates!$M$2:$M$9)/100,0)</f>
        <v/>
      </c>
      <c r="X7" s="239">
        <f>IF(AJ7&lt;=Rates!$Y$4,0.0008*AF7*Info!$F$12,0)</f>
        <v/>
      </c>
      <c r="Y7" s="239">
        <f>IF(AJ7&lt;&gt;"",Z7*(LOOKUP(Info!$I$18,Rates!$O$2:$O$9,Rates!$N$2:$N$9/100)),0)</f>
        <v/>
      </c>
      <c r="Z7" s="238">
        <f>IF(AND(AJ7&lt;=(Rates!$Y$3),AD7&lt;&gt;""),(1-Info!$I$27)*0.0008*AF7*Info!$I$12,0)</f>
        <v/>
      </c>
      <c r="AA7" s="238">
        <f>IF(AJ7&lt;=60,(LOOKUP(AJ7,Rates!$T$2:$T$108,Rates!#REF!))*AC7/1000000*(1-Info!$I$29),0)</f>
        <v/>
      </c>
      <c r="AB7" s="236">
        <f>IF(AJ7&lt;&gt;"",(AF7*LOOKUP(AJ7,Rates!$T$2:$T$108,Rates!$S$2:$S$108))/SQRT(1+IF(AL7&lt;=10,Rates!$Y$5,Rates!$Y$6)),"")</f>
        <v/>
      </c>
      <c r="AC7" s="240">
        <f>IF(AND(AJ7&lt;&gt;"",AJ7&lt;=Rates!$Y$2),MIN(0.5*AF7,300000000,AC6*(1+Info!$F$10)),"")</f>
        <v/>
      </c>
      <c r="AD7" s="240">
        <f>IF(AND(AJ7&lt;&gt;"",AJ7&lt;=60),AF7*Info!$L$16,"")</f>
        <v/>
      </c>
      <c r="AE7" s="68">
        <f>IF(AND(AJ7&lt;&gt;"",AJ7&lt;=70),AF7*(1+Info!$L$14),"")</f>
        <v/>
      </c>
      <c r="AF7" s="68">
        <f>IF(AJ7&lt;&gt;"",AF6*(1+Info!$F$10),"")</f>
        <v/>
      </c>
      <c r="AG7" s="51">
        <f>IF(AJ7&lt;&gt;"",AI7+AG6,"")</f>
        <v/>
      </c>
      <c r="AH7" s="42">
        <f>IF(AJ7&lt;&gt;"",AI7*Rates!$Y$9,"")</f>
        <v/>
      </c>
      <c r="AI7" s="51">
        <f>IF(AJ7&lt;&gt;"",AI6*(1+Info!$F$8),"")</f>
        <v/>
      </c>
      <c r="AJ7" s="57">
        <f>IF(AL7&lt;&gt;"",Info!$F$6+AL7-1,"")</f>
        <v/>
      </c>
      <c r="AK7" s="66">
        <f>IF(AL7&lt;&gt;"",Info!$C$6+AL7-1,"")</f>
        <v/>
      </c>
      <c r="AL7" s="69">
        <f>IF(AL6&lt;&gt;"",IF(AL6+1&lt;=Info!$I$6,AL6+1,""),"")</f>
        <v/>
      </c>
    </row>
    <row r="8">
      <c r="A8" s="236">
        <f>IF(AJ8&lt;&gt;"",D8+D8*(IF(AL8&gt;4,0.1,LOOKUP(Info!$C$10,Rates!$D$2:$D$4,Rates!$C$2:$C$4))+0.85*(Info!$I$22-(IF(AL8&gt;4,0.1,LOOKUP(Info!$C$10,Rates!$D$2:$D$4,Rates!$C$2:$C$4)))))*LOOKUP(Info!$C$8,Rates!$I$2:$I$7,Rates!$G$2:$G$7)+A7*(1+IF(AL8&gt;4,0.1,LOOKUP(Info!$C$10,Rates!$D$2:$D$4,Rates!$C$2:$C$4))+0.85*(Info!$I$22-IF(AL8&gt;4,0.1,LOOKUP(Info!$C$10,Rates!$D$2:$D$4,Rates!$C$2:$C$4)))),"")</f>
        <v/>
      </c>
      <c r="B8" s="236">
        <f>IF(AJ8&lt;&gt;"",IF(AL8&gt;=8,C8,C8*LOOKUP(AL8,Rates!$AG$2:$AG$8,Rates!$AF$2:$AF$8)),"")</f>
        <v/>
      </c>
      <c r="C8" s="236">
        <f>IF(AJ8&lt;&gt;"",D8*(1+IF(AL8&gt;4,0.1,LOOKUP(Info!$C$10,Rates!$D$2:$D$5,Rates!$B$2:$B$5))*LOOKUP(Info!$C$8,Rates!$I$2:$I$7,Rates!$G$2:$G$7))+C7*(1+IF(AL8&gt;4,0.1,LOOKUP(Info!$C$10,Rates!$D$2:$D$5,Rates!$B$2:$B$5))),"")</f>
        <v/>
      </c>
      <c r="D8" s="236">
        <f>IF(AJ8&lt;&gt;"",AI8-(H8+G8+F8+E8+P8+Q8)+IF(Info!$C$20&gt;0,IF(AND(AL8&lt;=Info!$F$20,AL8&gt;=Info!$I$20),Info!$C$20,0),0),"")</f>
        <v/>
      </c>
      <c r="E8" s="236">
        <f>IF(AJ8&lt;&gt;"",(LOOKUP(Info!$C$22,Rates!$AD$2:$AD$4,Rates!$AC$2:$AC$4))*(H8+P8+Q8),"")</f>
        <v/>
      </c>
      <c r="F8" s="236">
        <f>IF(AJ8&lt;&gt;"",(LOOKUP(Info!$C$22,Rates!$AD$2:$AD$4,Rates!$AA$2:$AA$4))*(H8+P8+Q8),"")</f>
        <v/>
      </c>
      <c r="G8" s="236">
        <f>IF(AJ8&lt;&gt;"",(LOOKUP(Info!$C$22,Rates!$AD$2:$AD$4,Rates!$AB$2:$AB$4))*(H8+P8+Q8),"")</f>
        <v/>
      </c>
      <c r="H8" s="236">
        <f>IF(AJ8&lt;&gt;"",I8+J8+AB8,"")</f>
        <v/>
      </c>
      <c r="I8" s="236">
        <f>IF(AJ8&lt;&gt;"",LOOKUP(Info!$C$8,Rates!$I$2:$I$7,Rates!$H$2:$H$7)*(J8+P8+Q8+AB8),"")</f>
        <v/>
      </c>
      <c r="J8" s="244">
        <f>IF(L8="",0,L8)+IF(N8="",0,N8)+IF(O8="",0,O8)</f>
        <v/>
      </c>
      <c r="K8" s="244">
        <f>0.3*M8+0.7*0.25*M7+0.7*0.25*M6+0.7*0.25*M5+0.7*0.25*M4</f>
        <v/>
      </c>
      <c r="L8" s="244">
        <f>IF(M8&lt;&gt;"",L7-12.5/100*M7+0.3*M8-17.5/100*M3,"")</f>
        <v/>
      </c>
      <c r="M8" s="244">
        <f>IF(AND(AI8&lt;&gt;"",AL8&lt;=10),(1-Info!$C$25)*MIN(30/1000*(AF8-AF7),0.75*(AI8-AI7)),"")</f>
        <v/>
      </c>
      <c r="N8" s="244" t="n">
        <v>0</v>
      </c>
      <c r="O8" s="244">
        <f>IF(AJ8&lt;&gt;"",0.07*AI8*(1-Info!$F$25),0)</f>
        <v/>
      </c>
      <c r="P8" s="238">
        <f>IF(AJ8&lt;&gt;"",Y8+W8+U8+S8+R8,0)</f>
        <v/>
      </c>
      <c r="Q8" s="238">
        <f>IF(AJ8&lt;&gt;"",AA8+Z8+X8+V8+T8,0)</f>
        <v/>
      </c>
      <c r="R8" s="238">
        <f>IF(AJ8&lt;&gt;"",(AB8+AA8+V8+T8)*Info!$L$20,0)</f>
        <v/>
      </c>
      <c r="S8" s="238">
        <f>IF(AJ8&lt;&gt;"",T8*(LOOKUP(Info!$I$18,Rates!$O$2:$O$9,Rates!$L$2:$L$9)/100),0)</f>
        <v/>
      </c>
      <c r="T8" s="238">
        <f>IF(AJ8&lt;&gt;"",IF(Info!$F$14="بله",V8*Rates!$Y$7,0),0)</f>
        <v/>
      </c>
      <c r="U8" s="238">
        <f>IF(AJ8&lt;&gt;"",IF(Info!#REF!="بله",V8*(LOOKUP(Info!$I$18,Rates!$O$2:$O$9,Rates!$L$2:$L$9)/100),V8*(LOOKUP(Info!$F$18,Rates!$O$2:$O$9,Rates!$L$2:$L$9)/100)),0)</f>
        <v/>
      </c>
      <c r="V8" s="239">
        <f>IF(AND(AJ8&lt;&gt;"",AJ8&lt;=Rates!$Y$8,Info!#REF!="بله"),AH8*(LOOKUP(AJ8,Rates!$T$2:$T$108,Rates!#REF!)),IF(AND(AK8&lt;&gt;"",AK8&lt;=Rates!$Y$8,Info!#REF!="خیر"),AH8*(LOOKUP(AK8,Rates!$T$2:$T$108,Rates!#REF!)),0)*(1-Info!$F$29))</f>
        <v/>
      </c>
      <c r="W8" s="239">
        <f>IF(AJ8&lt;&gt;"",X8*LOOKUP(Info!$I$18,Rates!$O$2:$O$9,Rates!$M$2:$M$9)/100,0)</f>
        <v/>
      </c>
      <c r="X8" s="239">
        <f>IF(AJ8&lt;=Rates!$Y$4,0.0008*AF8*Info!$F$12,0)</f>
        <v/>
      </c>
      <c r="Y8" s="239">
        <f>IF(AJ8&lt;&gt;"",Z8*(LOOKUP(Info!$I$18,Rates!$O$2:$O$9,Rates!$N$2:$N$9/100)),0)</f>
        <v/>
      </c>
      <c r="Z8" s="238">
        <f>IF(AND(AJ8&lt;=(Rates!$Y$3),AD8&lt;&gt;""),(1-Info!$I$27)*0.0008*AF8*Info!$I$12,0)</f>
        <v/>
      </c>
      <c r="AA8" s="238">
        <f>IF(AJ8&lt;=60,(LOOKUP(AJ8,Rates!$T$2:$T$108,Rates!#REF!))*AC8/1000000*(1-Info!$I$29),0)</f>
        <v/>
      </c>
      <c r="AB8" s="236">
        <f>IF(AJ8&lt;&gt;"",(AF8*LOOKUP(AJ8,Rates!$T$2:$T$108,Rates!$S$2:$S$108))/SQRT(1+IF(AL8&lt;=10,Rates!$Y$5,Rates!$Y$6)),"")</f>
        <v/>
      </c>
      <c r="AC8" s="240">
        <f>IF(AND(AJ8&lt;&gt;"",AJ8&lt;=Rates!$Y$2),MIN(0.5*AF8,300000000,AC7*(1+Info!$F$10)),"")</f>
        <v/>
      </c>
      <c r="AD8" s="240">
        <f>IF(AND(AJ8&lt;&gt;"",AJ8&lt;=60),AF8*Info!$L$16,"")</f>
        <v/>
      </c>
      <c r="AE8" s="68">
        <f>IF(AND(AJ8&lt;&gt;"",AJ8&lt;=70),AF8*(1+Info!$L$14),"")</f>
        <v/>
      </c>
      <c r="AF8" s="68">
        <f>IF(AJ8&lt;&gt;"",AF7*(1+Info!$F$10),"")</f>
        <v/>
      </c>
      <c r="AG8" s="51">
        <f>IF(AJ8&lt;&gt;"",AI8+AG7,"")</f>
        <v/>
      </c>
      <c r="AH8" s="42">
        <f>IF(AJ8&lt;&gt;"",AI8*Rates!$Y$9,"")</f>
        <v/>
      </c>
      <c r="AI8" s="51">
        <f>IF(AJ8&lt;&gt;"",AI7*(1+Info!$F$8),"")</f>
        <v/>
      </c>
      <c r="AJ8" s="57">
        <f>IF(AL8&lt;&gt;"",Info!$F$6+AL8-1,"")</f>
        <v/>
      </c>
      <c r="AK8" s="66">
        <f>IF(AL8&lt;&gt;"",Info!$C$6+AL8-1,"")</f>
        <v/>
      </c>
      <c r="AL8" s="69">
        <f>IF(AL7&lt;&gt;"",IF(AL7+1&lt;=Info!$I$6,AL7+1,""),"")</f>
        <v/>
      </c>
    </row>
    <row r="9">
      <c r="A9" s="236">
        <f>IF(AJ9&lt;&gt;"",D9+D9*(IF(AL9&gt;4,0.1,LOOKUP(Info!$C$10,Rates!$D$2:$D$4,Rates!$C$2:$C$4))+0.85*(Info!$I$22-(IF(AL9&gt;4,0.1,LOOKUP(Info!$C$10,Rates!$D$2:$D$4,Rates!$C$2:$C$4)))))*LOOKUP(Info!$C$8,Rates!$I$2:$I$7,Rates!$G$2:$G$7)+A8*(1+IF(AL9&gt;4,0.1,LOOKUP(Info!$C$10,Rates!$D$2:$D$4,Rates!$C$2:$C$4))+0.85*(Info!$I$22-IF(AL9&gt;4,0.1,LOOKUP(Info!$C$10,Rates!$D$2:$D$4,Rates!$C$2:$C$4)))),"")</f>
        <v/>
      </c>
      <c r="B9" s="236">
        <f>IF(AJ9&lt;&gt;"",IF(AL9&gt;=8,C9,C9*LOOKUP(AL9,Rates!$AG$2:$AG$8,Rates!$AF$2:$AF$8)),"")</f>
        <v/>
      </c>
      <c r="C9" s="236">
        <f>IF(AJ9&lt;&gt;"",D9*(1+IF(AL9&gt;4,0.1,LOOKUP(Info!$C$10,Rates!$D$2:$D$5,Rates!$B$2:$B$5))*LOOKUP(Info!$C$8,Rates!$I$2:$I$7,Rates!$G$2:$G$7))+C8*(1+IF(AL9&gt;4,0.1,LOOKUP(Info!$C$10,Rates!$D$2:$D$5,Rates!$B$2:$B$5))),"")</f>
        <v/>
      </c>
      <c r="D9" s="236">
        <f>IF(AJ9&lt;&gt;"",AI9-(H9+G9+F9+E9+P9+Q9)+IF(Info!$C$20&gt;0,IF(AND(AL9&lt;=Info!$F$20,AL9&gt;=Info!$I$20),Info!$C$20,0),0),"")</f>
        <v/>
      </c>
      <c r="E9" s="236">
        <f>IF(AJ9&lt;&gt;"",(LOOKUP(Info!$C$22,Rates!$AD$2:$AD$4,Rates!$AC$2:$AC$4))*(H9+P9+Q9),"")</f>
        <v/>
      </c>
      <c r="F9" s="236">
        <f>IF(AJ9&lt;&gt;"",(LOOKUP(Info!$C$22,Rates!$AD$2:$AD$4,Rates!$AA$2:$AA$4))*(H9+P9+Q9),"")</f>
        <v/>
      </c>
      <c r="G9" s="236">
        <f>IF(AJ9&lt;&gt;"",(LOOKUP(Info!$C$22,Rates!$AD$2:$AD$4,Rates!$AB$2:$AB$4))*(H9+P9+Q9),"")</f>
        <v/>
      </c>
      <c r="H9" s="236">
        <f>IF(AJ9&lt;&gt;"",I9+J9+AB9,"")</f>
        <v/>
      </c>
      <c r="I9" s="236">
        <f>IF(AJ9&lt;&gt;"",LOOKUP(Info!$C$8,Rates!$I$2:$I$7,Rates!$H$2:$H$7)*(J9+P9+Q9+AB9),"")</f>
        <v/>
      </c>
      <c r="J9" s="244">
        <f>IF(L9="",0,L9)+IF(N9="",0,N9)+IF(O9="",0,O9)</f>
        <v/>
      </c>
      <c r="K9" s="244">
        <f>0.3*M9+0.7*0.5*M8+0.7*0.25*M7+0.7*0.25*M6+0.7*0.25*M5</f>
        <v/>
      </c>
      <c r="L9" s="244">
        <f>IF(M9&lt;&gt;"",L8+5/100*M8+0.3*M9-17.5/100*M4,"")</f>
        <v/>
      </c>
      <c r="M9" s="244">
        <f>IF(AND(AI9&lt;&gt;"",AL9&lt;=10),(1-Info!$C$25)*MIN(30/1000*(AF9-AF8),0.75*(AI9-AI8)),"")</f>
        <v/>
      </c>
      <c r="N9" s="244" t="n">
        <v>0</v>
      </c>
      <c r="O9" s="244">
        <f>IF(AJ9&lt;&gt;"",0.07*AI9*(1-Info!$F$25),0)</f>
        <v/>
      </c>
      <c r="P9" s="238">
        <f>IF(AJ9&lt;&gt;"",Y9+W9+U9+S9+R9,0)</f>
        <v/>
      </c>
      <c r="Q9" s="238">
        <f>IF(AJ9&lt;&gt;"",AA9+Z9+X9+V9+T9,0)</f>
        <v/>
      </c>
      <c r="R9" s="238">
        <f>IF(AJ9&lt;&gt;"",(AB9+AA9+V9+T9)*Info!$L$20,0)</f>
        <v/>
      </c>
      <c r="S9" s="238">
        <f>IF(AJ9&lt;&gt;"",T9*(LOOKUP(Info!$I$18,Rates!$O$2:$O$9,Rates!$L$2:$L$9)/100),0)</f>
        <v/>
      </c>
      <c r="T9" s="238">
        <f>IF(AJ9&lt;&gt;"",IF(Info!$F$14="بله",V9*Rates!$Y$7,0),0)</f>
        <v/>
      </c>
      <c r="U9" s="238">
        <f>IF(AJ9&lt;&gt;"",IF(Info!#REF!="بله",V9*(LOOKUP(Info!$I$18,Rates!$O$2:$O$9,Rates!$L$2:$L$9)/100),V9*(LOOKUP(Info!$F$18,Rates!$O$2:$O$9,Rates!$L$2:$L$9)/100)),0)</f>
        <v/>
      </c>
      <c r="V9" s="239">
        <f>IF(AND(AJ9&lt;&gt;"",AJ9&lt;=Rates!$Y$8,Info!#REF!="بله"),AH9*(LOOKUP(AJ9,Rates!$T$2:$T$108,Rates!#REF!)),IF(AND(AK9&lt;&gt;"",AK9&lt;=Rates!$Y$8,Info!#REF!="خیر"),AH9*(LOOKUP(AK9,Rates!$T$2:$T$108,Rates!#REF!)),0)*(1-Info!$F$29))</f>
        <v/>
      </c>
      <c r="W9" s="239">
        <f>IF(AJ9&lt;&gt;"",X9*LOOKUP(Info!$I$18,Rates!$O$2:$O$9,Rates!$M$2:$M$9)/100,0)</f>
        <v/>
      </c>
      <c r="X9" s="239">
        <f>IF(AJ9&lt;=Rates!$Y$4,0.0008*AF9*Info!$F$12,0)</f>
        <v/>
      </c>
      <c r="Y9" s="239">
        <f>IF(AJ9&lt;&gt;"",Z9*(LOOKUP(Info!$I$18,Rates!$O$2:$O$9,Rates!$N$2:$N$9/100)),0)</f>
        <v/>
      </c>
      <c r="Z9" s="238">
        <f>IF(AND(AJ9&lt;=(Rates!$Y$3),AD9&lt;&gt;""),(1-Info!$I$27)*0.0008*AF9*Info!$I$12,0)</f>
        <v/>
      </c>
      <c r="AA9" s="238">
        <f>IF(AJ9&lt;=60,(LOOKUP(AJ9,Rates!$T$2:$T$108,Rates!#REF!))*AC9/1000000*(1-Info!$I$29),0)</f>
        <v/>
      </c>
      <c r="AB9" s="236">
        <f>IF(AJ9&lt;&gt;"",(AF9*LOOKUP(AJ9,Rates!$T$2:$T$108,Rates!$S$2:$S$108))/SQRT(1+IF(AL9&lt;=10,Rates!$Y$5,Rates!$Y$6)),"")</f>
        <v/>
      </c>
      <c r="AC9" s="240">
        <f>IF(AND(AJ9&lt;&gt;"",AJ9&lt;=Rates!$Y$2),MIN(0.5*AF9,300000000,AC8*(1+Info!$F$10)),"")</f>
        <v/>
      </c>
      <c r="AD9" s="240">
        <f>IF(AND(AJ9&lt;&gt;"",AJ9&lt;=60),AF9*Info!$L$16,"")</f>
        <v/>
      </c>
      <c r="AE9" s="68">
        <f>IF(AND(AJ9&lt;&gt;"",AJ9&lt;=70),AF9*(1+Info!$L$14),"")</f>
        <v/>
      </c>
      <c r="AF9" s="68">
        <f>IF(AJ9&lt;&gt;"",AF8*(1+Info!$F$10),"")</f>
        <v/>
      </c>
      <c r="AG9" s="51">
        <f>IF(AJ9&lt;&gt;"",AI9+AG8,"")</f>
        <v/>
      </c>
      <c r="AH9" s="42">
        <f>IF(AJ9&lt;&gt;"",AI9*Rates!$Y$9,"")</f>
        <v/>
      </c>
      <c r="AI9" s="51">
        <f>IF(AJ9&lt;&gt;"",AI8*(1+Info!$F$8),"")</f>
        <v/>
      </c>
      <c r="AJ9" s="57">
        <f>IF(AL9&lt;&gt;"",Info!$F$6+AL9-1,"")</f>
        <v/>
      </c>
      <c r="AK9" s="66">
        <f>IF(AL9&lt;&gt;"",Info!$C$6+AL9-1,"")</f>
        <v/>
      </c>
      <c r="AL9" s="69">
        <f>IF(AL8&lt;&gt;"",IF(AL8+1&lt;=Info!$I$6,AL8+1,""),"")</f>
        <v/>
      </c>
    </row>
    <row r="10">
      <c r="A10" s="236">
        <f>IF(AJ10&lt;&gt;"",D10+D10*(IF(AL10&gt;4,0.1,LOOKUP(Info!$C$10,Rates!$D$2:$D$4,Rates!$C$2:$C$4))+0.85*(Info!$I$22-(IF(AL10&gt;4,0.1,LOOKUP(Info!$C$10,Rates!$D$2:$D$4,Rates!$C$2:$C$4)))))*LOOKUP(Info!$C$8,Rates!$I$2:$I$7,Rates!$G$2:$G$7)+A9*(1+IF(AL10&gt;4,0.1,LOOKUP(Info!$C$10,Rates!$D$2:$D$4,Rates!$C$2:$C$4))+0.85*(Info!$I$22-IF(AL10&gt;4,0.1,LOOKUP(Info!$C$10,Rates!$D$2:$D$4,Rates!$C$2:$C$4)))),"")</f>
        <v/>
      </c>
      <c r="B10" s="236">
        <f>IF(AJ10&lt;&gt;"",IF(AL10&gt;=8,C10,C10*LOOKUP(AL10,Rates!$AG$2:$AG$8,Rates!$AF$2:$AF$8)),"")</f>
        <v/>
      </c>
      <c r="C10" s="236">
        <f>IF(AJ10&lt;&gt;"",D10*(1+IF(AL10&gt;4,0.1,LOOKUP(Info!$C$10,Rates!$D$2:$D$5,Rates!$B$2:$B$5))*LOOKUP(Info!$C$8,Rates!$I$2:$I$7,Rates!$G$2:$G$7))+C9*(1+IF(AL10&gt;4,0.1,LOOKUP(Info!$C$10,Rates!$D$2:$D$5,Rates!$B$2:$B$5))),"")</f>
        <v/>
      </c>
      <c r="D10" s="236">
        <f>IF(AJ10&lt;&gt;"",AI10-(H10+G10+F10+E10+P10+Q10)+IF(Info!$C$20&gt;0,IF(AND(AL10&lt;=Info!$F$20,AL10&gt;=Info!$I$20),Info!$C$20,0),0),"")</f>
        <v/>
      </c>
      <c r="E10" s="236">
        <f>IF(AJ10&lt;&gt;"",(LOOKUP(Info!$C$22,Rates!$AD$2:$AD$4,Rates!$AC$2:$AC$4))*(H10+P10+Q10),"")</f>
        <v/>
      </c>
      <c r="F10" s="236">
        <f>IF(AJ10&lt;&gt;"",(LOOKUP(Info!$C$22,Rates!$AD$2:$AD$4,Rates!$AA$2:$AA$4))*(H10+P10+Q10),"")</f>
        <v/>
      </c>
      <c r="G10" s="236">
        <f>IF(AJ10&lt;&gt;"",(LOOKUP(Info!$C$22,Rates!$AD$2:$AD$4,Rates!$AB$2:$AB$4))*(H10+P10+Q10),"")</f>
        <v/>
      </c>
      <c r="H10" s="236">
        <f>IF(AJ10&lt;&gt;"",I10+J10+AB10,"")</f>
        <v/>
      </c>
      <c r="I10" s="236">
        <f>IF(AJ10&lt;&gt;"",LOOKUP(Info!$C$8,Rates!$I$2:$I$7,Rates!$H$2:$H$7)*(J10+P10+Q10+AB10),"")</f>
        <v/>
      </c>
      <c r="J10" s="244">
        <f>IF(L10="",0,L10)+IF(N10="",0,N10)+IF(O10="",0,O10)</f>
        <v/>
      </c>
      <c r="K10" s="244">
        <f>0.3*M10+0.7*0.5*M9+0.7*0.25*M8+0.7*0.25*M7+0.7*0.25*M6</f>
        <v/>
      </c>
      <c r="L10" s="244">
        <f>IF(M10&lt;&gt;"",L9+5/100*M9+0.3*M10-17.5/100*M5-17.5/100*M8,"")</f>
        <v/>
      </c>
      <c r="M10" s="244">
        <f>IF(AND(AI10&lt;&gt;"",AL10&lt;=10),(1-Info!$C$25)*MIN(30/1000*(AF10-AF9),0.75*(AI10-AI9)),"")</f>
        <v/>
      </c>
      <c r="N10" s="244" t="n">
        <v>0</v>
      </c>
      <c r="O10" s="244">
        <f>IF(AJ10&lt;&gt;"",0.07*AI10*(1-Info!$F$25),0)</f>
        <v/>
      </c>
      <c r="P10" s="238">
        <f>IF(AJ10&lt;&gt;"",Y10+W10+U10+S10+R10,0)</f>
        <v/>
      </c>
      <c r="Q10" s="238">
        <f>IF(AJ10&lt;&gt;"",AA10+Z10+X10+V10+T10,0)</f>
        <v/>
      </c>
      <c r="R10" s="238">
        <f>IF(AJ10&lt;&gt;"",(AB10+AA10+V10+T10)*Info!$L$20,0)</f>
        <v/>
      </c>
      <c r="S10" s="238">
        <f>IF(AJ10&lt;&gt;"",T10*(LOOKUP(Info!$I$18,Rates!$O$2:$O$9,Rates!$L$2:$L$9)/100),0)</f>
        <v/>
      </c>
      <c r="T10" s="238">
        <f>IF(AJ10&lt;&gt;"",IF(Info!$F$14="بله",V10*Rates!$Y$7,0),0)</f>
        <v/>
      </c>
      <c r="U10" s="238">
        <f>IF(AJ10&lt;&gt;"",IF(Info!#REF!="بله",V10*(LOOKUP(Info!$I$18,Rates!$O$2:$O$9,Rates!$L$2:$L$9)/100),V10*(LOOKUP(Info!$F$18,Rates!$O$2:$O$9,Rates!$L$2:$L$9)/100)),0)</f>
        <v/>
      </c>
      <c r="V10" s="239">
        <f>IF(AND(AJ10&lt;&gt;"",AJ10&lt;=Rates!$Y$8,Info!#REF!="بله"),AH10*(LOOKUP(AJ10,Rates!$T$2:$T$108,Rates!#REF!)),IF(AND(AK10&lt;&gt;"",AK10&lt;=Rates!$Y$8,Info!#REF!="خیر"),AH10*(LOOKUP(AK10,Rates!$T$2:$T$108,Rates!#REF!)),0)*(1-Info!$F$29))</f>
        <v/>
      </c>
      <c r="W10" s="239">
        <f>IF(AJ10&lt;&gt;"",X10*LOOKUP(Info!$I$18,Rates!$O$2:$O$9,Rates!$M$2:$M$9)/100,0)</f>
        <v/>
      </c>
      <c r="X10" s="239">
        <f>IF(AJ10&lt;=Rates!$Y$4,0.0008*AF10*Info!$F$12,0)</f>
        <v/>
      </c>
      <c r="Y10" s="239">
        <f>IF(AJ10&lt;&gt;"",Z10*(LOOKUP(Info!$I$18,Rates!$O$2:$O$9,Rates!$N$2:$N$9/100)),0)</f>
        <v/>
      </c>
      <c r="Z10" s="238">
        <f>IF(AND(AJ10&lt;=(Rates!$Y$3),AD10&lt;&gt;""),(1-Info!$I$27)*0.0008*AF10*Info!$I$12,0)</f>
        <v/>
      </c>
      <c r="AA10" s="238">
        <f>IF(AJ10&lt;=60,(LOOKUP(AJ10,Rates!$T$2:$T$108,Rates!#REF!))*AC10/1000000*(1-Info!$I$29),0)</f>
        <v/>
      </c>
      <c r="AB10" s="236">
        <f>IF(AJ10&lt;&gt;"",(AF10*LOOKUP(AJ10,Rates!$T$2:$T$108,Rates!$S$2:$S$108))/SQRT(1+IF(AL10&lt;=10,Rates!$Y$5,Rates!$Y$6)),"")</f>
        <v/>
      </c>
      <c r="AC10" s="240">
        <f>IF(AND(AJ10&lt;&gt;"",AJ10&lt;=Rates!$Y$2),MIN(0.5*AF10,300000000,AC9*(1+Info!$F$10)),"")</f>
        <v/>
      </c>
      <c r="AD10" s="240">
        <f>IF(AND(AJ10&lt;&gt;"",AJ10&lt;=60),AF10*Info!$L$16,"")</f>
        <v/>
      </c>
      <c r="AE10" s="68">
        <f>IF(AND(AJ10&lt;&gt;"",AJ10&lt;=70),AF10*(1+Info!$L$14),"")</f>
        <v/>
      </c>
      <c r="AF10" s="68">
        <f>IF(AJ10&lt;&gt;"",AF9*(1+Info!$F$10),"")</f>
        <v/>
      </c>
      <c r="AG10" s="51">
        <f>IF(AJ10&lt;&gt;"",AI10+AG9,"")</f>
        <v/>
      </c>
      <c r="AH10" s="42">
        <f>IF(AJ10&lt;&gt;"",AI10*Rates!$Y$9,"")</f>
        <v/>
      </c>
      <c r="AI10" s="51">
        <f>IF(AJ10&lt;&gt;"",AI9*(1+Info!$F$8),"")</f>
        <v/>
      </c>
      <c r="AJ10" s="57">
        <f>IF(AL10&lt;&gt;"",Info!$F$6+AL10-1,"")</f>
        <v/>
      </c>
      <c r="AK10" s="66">
        <f>IF(AL10&lt;&gt;"",Info!$C$6+AL10-1,"")</f>
        <v/>
      </c>
      <c r="AL10" s="69">
        <f>IF(AL9&lt;&gt;"",IF(AL9+1&lt;=Info!$I$6,AL9+1,""),"")</f>
        <v/>
      </c>
    </row>
    <row r="11">
      <c r="A11" s="236">
        <f>IF(AJ11&lt;&gt;"",D11+D11*(IF(AL11&gt;4,0.1,LOOKUP(Info!$C$10,Rates!$D$2:$D$4,Rates!$C$2:$C$4))+0.85*(Info!$I$22-(IF(AL11&gt;4,0.1,LOOKUP(Info!$C$10,Rates!$D$2:$D$4,Rates!$C$2:$C$4)))))*LOOKUP(Info!$C$8,Rates!$I$2:$I$7,Rates!$G$2:$G$7)+A10*(1+IF(AL11&gt;4,0.1,LOOKUP(Info!$C$10,Rates!$D$2:$D$4,Rates!$C$2:$C$4))+0.85*(Info!$I$22-IF(AL11&gt;4,0.1,LOOKUP(Info!$C$10,Rates!$D$2:$D$4,Rates!$C$2:$C$4)))),"")</f>
        <v/>
      </c>
      <c r="B11" s="236">
        <f>IF(AJ11&lt;&gt;"",IF(AL11&gt;=8,C11,C11*LOOKUP(AL11,Rates!$AG$2:$AG$8,Rates!$AF$2:$AF$8)),"")</f>
        <v/>
      </c>
      <c r="C11" s="236">
        <f>IF(AJ11&lt;&gt;"",D11*(1+IF(AL11&gt;4,0.1,LOOKUP(Info!$C$10,Rates!$D$2:$D$5,Rates!$B$2:$B$5))*LOOKUP(Info!$C$8,Rates!$I$2:$I$7,Rates!$G$2:$G$7))+C10*(1+IF(AL11&gt;4,0.1,LOOKUP(Info!$C$10,Rates!$D$2:$D$5,Rates!$B$2:$B$5))),"")</f>
        <v/>
      </c>
      <c r="D11" s="236">
        <f>IF(AJ11&lt;&gt;"",AI11-(H11+G11+F11+E11+P11+Q11)+IF(Info!$C$20&gt;0,IF(AND(AL11&lt;=Info!$F$20,AL11&gt;=Info!$I$20),Info!$C$20,0),0),"")</f>
        <v/>
      </c>
      <c r="E11" s="236">
        <f>IF(AJ11&lt;&gt;"",(LOOKUP(Info!$C$22,Rates!$AD$2:$AD$4,Rates!$AC$2:$AC$4))*(H11+P11+Q11),"")</f>
        <v/>
      </c>
      <c r="F11" s="236">
        <f>IF(AJ11&lt;&gt;"",(LOOKUP(Info!$C$22,Rates!$AD$2:$AD$4,Rates!$AA$2:$AA$4))*(H11+P11+Q11),"")</f>
        <v/>
      </c>
      <c r="G11" s="236">
        <f>IF(AJ11&lt;&gt;"",(LOOKUP(Info!$C$22,Rates!$AD$2:$AD$4,Rates!$AB$2:$AB$4))*(H11+P11+Q11),"")</f>
        <v/>
      </c>
      <c r="H11" s="236">
        <f>IF(AJ11&lt;&gt;"",I11+J11+AB11,"")</f>
        <v/>
      </c>
      <c r="I11" s="236">
        <f>IF(AJ11&lt;&gt;"",LOOKUP(Info!$C$8,Rates!$I$2:$I$7,Rates!$H$2:$H$7)*(J11+P11+Q11+AB11),"")</f>
        <v/>
      </c>
      <c r="J11" s="244">
        <f>IF(L11="",0,L11)+IF(N11="",0,N11)+IF(O11="",0,O11)</f>
        <v/>
      </c>
      <c r="K11" s="244">
        <f>M11+0.7*M10+0.7*0.5*M9+0.7*0.25*M8+0.7*0.25*M7</f>
        <v/>
      </c>
      <c r="L11" s="244">
        <f>IF(M11&lt;&gt;"",L10+40/100*M10+M11-17.5/100*M6,0)</f>
        <v/>
      </c>
      <c r="M11" s="244">
        <f>IF(AND(AI11&lt;&gt;"",AL11&lt;=10),(1-Info!$C$25)*MIN(30/1000*(AF11-AF10),0.75*(AI11-AI10)),0)</f>
        <v/>
      </c>
      <c r="N11" s="244" t="n">
        <v>0</v>
      </c>
      <c r="O11" s="244">
        <f>IF(AJ11&lt;&gt;"",0.07*AI11*(1-Info!$F$25),0)</f>
        <v/>
      </c>
      <c r="P11" s="238">
        <f>IF(AJ11&lt;&gt;"",Y11+W11+U11+S11+R11,0)</f>
        <v/>
      </c>
      <c r="Q11" s="238">
        <f>IF(AJ11&lt;&gt;"",AA11+Z11+X11+V11+T11,0)</f>
        <v/>
      </c>
      <c r="R11" s="238">
        <f>IF(AJ11&lt;&gt;"",(AB11+AA11+V11+T11)*Info!$L$20,0)</f>
        <v/>
      </c>
      <c r="S11" s="238">
        <f>IF(AJ11&lt;&gt;"",T11*(LOOKUP(Info!$I$18,Rates!$O$2:$O$9,Rates!$L$2:$L$9)/100),0)</f>
        <v/>
      </c>
      <c r="T11" s="238">
        <f>IF(AJ11&lt;&gt;"",IF(Info!$F$14="بله",V11*Rates!$Y$7,0),0)</f>
        <v/>
      </c>
      <c r="U11" s="238">
        <f>IF(AJ11&lt;&gt;"",IF(Info!#REF!="بله",V11*(LOOKUP(Info!$I$18,Rates!$O$2:$O$9,Rates!$L$2:$L$9)/100),V11*(LOOKUP(Info!$F$18,Rates!$O$2:$O$9,Rates!$L$2:$L$9)/100)),0)</f>
        <v/>
      </c>
      <c r="V11" s="239">
        <f>IF(AND(AJ11&lt;&gt;"",AJ11&lt;=Rates!$Y$8,Info!#REF!="بله"),AH11*(LOOKUP(AJ11,Rates!$T$2:$T$108,Rates!#REF!)),IF(AND(AK11&lt;&gt;"",AK11&lt;=Rates!$Y$8,Info!#REF!="خیر"),AH11*(LOOKUP(AK11,Rates!$T$2:$T$108,Rates!#REF!)),0)*(1-Info!$F$29))</f>
        <v/>
      </c>
      <c r="W11" s="239">
        <f>IF(AJ11&lt;&gt;"",X11*LOOKUP(Info!$I$18,Rates!$O$2:$O$9,Rates!$M$2:$M$9)/100,0)</f>
        <v/>
      </c>
      <c r="X11" s="239">
        <f>IF(AJ11&lt;=Rates!$Y$4,0.0008*AF11*Info!$F$12,0)</f>
        <v/>
      </c>
      <c r="Y11" s="239">
        <f>IF(AJ11&lt;&gt;"",Z11*(LOOKUP(Info!$I$18,Rates!$O$2:$O$9,Rates!$N$2:$N$9/100)),0)</f>
        <v/>
      </c>
      <c r="Z11" s="238">
        <f>IF(AND(AJ11&lt;=(Rates!$Y$3),AD11&lt;&gt;""),(1-Info!$I$27)*0.0008*AF11*Info!$I$12,0)</f>
        <v/>
      </c>
      <c r="AA11" s="238">
        <f>IF(AJ11&lt;=60,(LOOKUP(AJ11,Rates!$T$2:$T$108,Rates!#REF!))*AC11/1000000*(1-Info!$I$29),0)</f>
        <v/>
      </c>
      <c r="AB11" s="236">
        <f>IF(AJ11&lt;&gt;"",(AF11*LOOKUP(AJ11,Rates!$T$2:$T$108,Rates!$S$2:$S$108))/SQRT(1+IF(AL11&lt;=10,Rates!$Y$5,Rates!$Y$6)),"")</f>
        <v/>
      </c>
      <c r="AC11" s="240">
        <f>IF(AND(AJ11&lt;&gt;"",AJ11&lt;=Rates!$Y$2),MIN(0.5*AF11,300000000,AC10*(1+Info!$F$10)),"")</f>
        <v/>
      </c>
      <c r="AD11" s="240">
        <f>IF(AND(AJ11&lt;&gt;"",AJ11&lt;=60),AF11*Info!$L$16,"")</f>
        <v/>
      </c>
      <c r="AE11" s="68">
        <f>IF(AND(AJ11&lt;&gt;"",AJ11&lt;=70),AF11*(1+Info!$L$14),"")</f>
        <v/>
      </c>
      <c r="AF11" s="68">
        <f>IF(AJ11&lt;&gt;"",AF10*(1+Info!$F$10),"")</f>
        <v/>
      </c>
      <c r="AG11" s="51">
        <f>IF(AJ11&lt;&gt;"",AI11+AG10,"")</f>
        <v/>
      </c>
      <c r="AH11" s="42">
        <f>IF(AJ11&lt;&gt;"",AI11*Rates!$Y$9,"")</f>
        <v/>
      </c>
      <c r="AI11" s="51">
        <f>IF(AJ11&lt;&gt;"",AI10*(1+Info!$F$8),"")</f>
        <v/>
      </c>
      <c r="AJ11" s="57">
        <f>IF(AL11&lt;&gt;"",Info!$F$6+AL11-1,"")</f>
        <v/>
      </c>
      <c r="AK11" s="66">
        <f>IF(AL11&lt;&gt;"",Info!$C$6+AL11-1,"")</f>
        <v/>
      </c>
      <c r="AL11" s="69">
        <f>IF(AL10&lt;&gt;"",IF(AL10+1&lt;=Info!$I$6,AL10+1,""),"")</f>
        <v/>
      </c>
    </row>
    <row r="12">
      <c r="A12" s="236">
        <f>IF(AJ12&lt;&gt;"",D12+D12*(IF(AL12&gt;4,0.1,LOOKUP(Info!$C$10,Rates!$D$2:$D$4,Rates!$C$2:$C$4))+0.85*(Info!$I$22-(IF(AL12&gt;4,0.1,LOOKUP(Info!$C$10,Rates!$D$2:$D$4,Rates!$C$2:$C$4)))))*LOOKUP(Info!$C$8,Rates!$I$2:$I$7,Rates!$G$2:$G$7)+A11*(1+IF(AL12&gt;4,0.1,LOOKUP(Info!$C$10,Rates!$D$2:$D$4,Rates!$C$2:$C$4))+0.85*(Info!$I$22-IF(AL12&gt;4,0.1,LOOKUP(Info!$C$10,Rates!$D$2:$D$4,Rates!$C$2:$C$4)))),"")</f>
        <v/>
      </c>
      <c r="B12" s="236">
        <f>IF(AJ12&lt;&gt;"",IF(AL12&gt;=8,C12,C12*LOOKUP(AL12,Rates!$AG$2:$AG$8,Rates!$AF$2:$AF$8)),"")</f>
        <v/>
      </c>
      <c r="C12" s="236">
        <f>IF(AJ12&lt;&gt;"",D12*(1+IF(AL12&gt;4,0.1,LOOKUP(Info!$C$10,Rates!$D$2:$D$5,Rates!$B$2:$B$5))*LOOKUP(Info!$C$8,Rates!$I$2:$I$7,Rates!$G$2:$G$7))+C11*(1+IF(AL12&gt;4,0.1,LOOKUP(Info!$C$10,Rates!$D$2:$D$5,Rates!$B$2:$B$5))),"")</f>
        <v/>
      </c>
      <c r="D12" s="236">
        <f>IF(AJ12&lt;&gt;"",AI12-(H12+G12+F12+E12+P12+Q12)+IF(Info!$C$20&gt;0,IF(AND(AL12&lt;=Info!$F$20,AL12&gt;=Info!$I$20),Info!$C$20,0),0),"")</f>
        <v/>
      </c>
      <c r="E12" s="236">
        <f>IF(AJ12&lt;&gt;"",(LOOKUP(Info!$C$22,Rates!$AD$2:$AD$4,Rates!$AC$2:$AC$4))*(H12+P12+Q12),"")</f>
        <v/>
      </c>
      <c r="F12" s="236">
        <f>IF(AJ12&lt;&gt;"",(LOOKUP(Info!$C$22,Rates!$AD$2:$AD$4,Rates!$AA$2:$AA$4))*(H12+P12+Q12),"")</f>
        <v/>
      </c>
      <c r="G12" s="236">
        <f>IF(AJ12&lt;&gt;"",(LOOKUP(Info!$C$22,Rates!$AD$2:$AD$4,Rates!$AB$2:$AB$4))*(H12+P12+Q12),"")</f>
        <v/>
      </c>
      <c r="H12" s="236">
        <f>IF(AJ12&lt;&gt;"",I12+J12+AB12,"")</f>
        <v/>
      </c>
      <c r="I12" s="236">
        <f>IF(AJ12&lt;&gt;"",LOOKUP(Info!$C$8,Rates!$I$2:$I$7,Rates!$H$2:$H$7)*(J12+P12+Q12+AB12),"")</f>
        <v/>
      </c>
      <c r="J12" s="244">
        <f>IF(L12="",0,L12)+IF(N12="",0,N12)+IF(O12="",0,O12)</f>
        <v/>
      </c>
      <c r="K12" s="244">
        <f>M12+0.7*M11+0.7*0.5*M10+0.7*0.25*M9+0.7*0.25*M8</f>
        <v/>
      </c>
      <c r="L12" s="244">
        <f>IF(M12&lt;&gt;"",L11+40/100*M11+M12-17.5/100*M7,0)</f>
        <v/>
      </c>
      <c r="M12" s="244">
        <f>IF(AND(AI12&lt;&gt;"",AL12&lt;=10),(1-Info!$C$25)*MIN(30/1000*(AF12-AF11),0.75*(AI12-AI11)),0)</f>
        <v/>
      </c>
      <c r="N12" s="244" t="n">
        <v>0</v>
      </c>
      <c r="O12" s="244">
        <f>IF(AJ12&lt;&gt;"",0.07*AI12*(1-Info!$F$25),0)</f>
        <v/>
      </c>
      <c r="P12" s="238">
        <f>IF(AJ12&lt;&gt;"",Y12+W12+U12+S12+R12,0)</f>
        <v/>
      </c>
      <c r="Q12" s="238">
        <f>IF(AJ12&lt;&gt;"",AA12+Z12+X12+V12+T12,0)</f>
        <v/>
      </c>
      <c r="R12" s="238">
        <f>IF(AJ12&lt;&gt;"",(AB12+AA12+V12+T12)*Info!$L$20,0)</f>
        <v/>
      </c>
      <c r="S12" s="238">
        <f>IF(AJ12&lt;&gt;"",T12*(LOOKUP(Info!$I$18,Rates!$O$2:$O$9,Rates!$L$2:$L$9)/100),0)</f>
        <v/>
      </c>
      <c r="T12" s="238">
        <f>IF(AJ12&lt;&gt;"",IF(Info!$F$14="بله",V12*Rates!$Y$7,0),0)</f>
        <v/>
      </c>
      <c r="U12" s="238">
        <f>IF(AJ12&lt;&gt;"",IF(Info!#REF!="بله",V12*(LOOKUP(Info!$I$18,Rates!$O$2:$O$9,Rates!$L$2:$L$9)/100),V12*(LOOKUP(Info!$F$18,Rates!$O$2:$O$9,Rates!$L$2:$L$9)/100)),0)</f>
        <v/>
      </c>
      <c r="V12" s="239">
        <f>IF(AND(AJ12&lt;&gt;"",AJ12&lt;=Rates!$Y$8,Info!#REF!="بله"),AH12*(LOOKUP(AJ12,Rates!$T$2:$T$108,Rates!#REF!)),IF(AND(AK12&lt;&gt;"",AK12&lt;=Rates!$Y$8,Info!#REF!="خیر"),AH12*(LOOKUP(AK12,Rates!$T$2:$T$108,Rates!#REF!)),0)*(1-Info!$F$29))</f>
        <v/>
      </c>
      <c r="W12" s="239">
        <f>IF(AJ12&lt;&gt;"",X12*LOOKUP(Info!$I$18,Rates!$O$2:$O$9,Rates!$M$2:$M$9)/100,0)</f>
        <v/>
      </c>
      <c r="X12" s="239">
        <f>IF(AJ12&lt;=Rates!$Y$4,0.0008*AF12*Info!$F$12,0)</f>
        <v/>
      </c>
      <c r="Y12" s="239">
        <f>IF(AJ12&lt;&gt;"",Z12*(LOOKUP(Info!$I$18,Rates!$O$2:$O$9,Rates!$N$2:$N$9/100)),0)</f>
        <v/>
      </c>
      <c r="Z12" s="238">
        <f>IF(AND(AJ12&lt;=(Rates!$Y$3),AD12&lt;&gt;""),(1-Info!$I$27)*0.0008*AF12*Info!$I$12,0)</f>
        <v/>
      </c>
      <c r="AA12" s="238">
        <f>IF(AJ12&lt;=60,(LOOKUP(AJ12,Rates!$T$2:$T$108,Rates!#REF!))*AC12/1000000*(1-Info!$I$29),0)</f>
        <v/>
      </c>
      <c r="AB12" s="236">
        <f>IF(AJ12&lt;&gt;"",(AF12*LOOKUP(AJ12,Rates!$T$2:$T$108,Rates!$S$2:$S$108))/SQRT(1+IF(AL12&lt;=10,Rates!$Y$5,Rates!$Y$6)),"")</f>
        <v/>
      </c>
      <c r="AC12" s="240">
        <f>IF(AND(AJ12&lt;&gt;"",AJ12&lt;=Rates!$Y$2),MIN(0.5*AF12,300000000,AC11*(1+Info!$F$10)),"")</f>
        <v/>
      </c>
      <c r="AD12" s="240">
        <f>IF(AND(AJ12&lt;&gt;"",AJ12&lt;=60),AF12*Info!$L$16,"")</f>
        <v/>
      </c>
      <c r="AE12" s="68">
        <f>IF(AND(AJ12&lt;&gt;"",AJ12&lt;=70),AF12*(1+Info!$L$14),"")</f>
        <v/>
      </c>
      <c r="AF12" s="68">
        <f>IF(AJ12&lt;&gt;"",AF11*(1+Info!$F$10),"")</f>
        <v/>
      </c>
      <c r="AG12" s="51">
        <f>IF(AJ12&lt;&gt;"",AI12+AG11,"")</f>
        <v/>
      </c>
      <c r="AH12" s="42">
        <f>IF(AJ12&lt;&gt;"",AI12*Rates!$Y$9,"")</f>
        <v/>
      </c>
      <c r="AI12" s="51">
        <f>IF(AJ12&lt;&gt;"",AI11*(1+Info!$F$8),"")</f>
        <v/>
      </c>
      <c r="AJ12" s="57">
        <f>IF(AL12&lt;&gt;"",Info!$F$6+AL12-1,"")</f>
        <v/>
      </c>
      <c r="AK12" s="66">
        <f>IF(AL12&lt;&gt;"",Info!$C$6+AL12-1,"")</f>
        <v/>
      </c>
      <c r="AL12" s="69">
        <f>IF(AL11&lt;&gt;"",IF(AL11+1&lt;=Info!$I$6,AL11+1,""),"")</f>
        <v/>
      </c>
    </row>
    <row r="13">
      <c r="A13" s="236">
        <f>IF(AJ13&lt;&gt;"",D13+D13*(IF(AL13&gt;4,0.1,LOOKUP(Info!$C$10,Rates!$D$2:$D$4,Rates!$C$2:$C$4))+0.85*(Info!$I$22-(IF(AL13&gt;4,0.1,LOOKUP(Info!$C$10,Rates!$D$2:$D$4,Rates!$C$2:$C$4)))))*LOOKUP(Info!$C$8,Rates!$I$2:$I$7,Rates!$G$2:$G$7)+A12*(1+IF(AL13&gt;4,0.1,LOOKUP(Info!$C$10,Rates!$D$2:$D$4,Rates!$C$2:$C$4))+0.85*(Info!$I$22-IF(AL13&gt;4,0.1,LOOKUP(Info!$C$10,Rates!$D$2:$D$4,Rates!$C$2:$C$4)))),"")</f>
        <v/>
      </c>
      <c r="B13" s="236">
        <f>IF(AJ13&lt;&gt;"",IF(AL13&gt;=8,C13,C13*LOOKUP(AL13,Rates!$AG$2:$AG$8,Rates!$AF$2:$AF$8)),"")</f>
        <v/>
      </c>
      <c r="C13" s="236">
        <f>IF(AJ13&lt;&gt;"",D13*(1+IF(AL13&gt;4,0.1,LOOKUP(Info!$C$10,Rates!$D$2:$D$5,Rates!$B$2:$B$5))*LOOKUP(Info!$C$8,Rates!$I$2:$I$7,Rates!$G$2:$G$7))+C12*(1+IF(AL13&gt;4,0.1,LOOKUP(Info!$C$10,Rates!$D$2:$D$5,Rates!$B$2:$B$5))),"")</f>
        <v/>
      </c>
      <c r="D13" s="236">
        <f>IF(AJ13&lt;&gt;"",AI13-(H13+G13+F13+E13+P13+Q13)+IF(Info!$C$20&gt;0,IF(AND(AL13&lt;=Info!$F$20,AL13&gt;=Info!$I$20),Info!$C$20,0),0),"")</f>
        <v/>
      </c>
      <c r="E13" s="236">
        <f>IF(AJ13&lt;&gt;"",(LOOKUP(Info!$C$22,Rates!$AD$2:$AD$4,Rates!$AC$2:$AC$4))*(H13+P13+Q13),"")</f>
        <v/>
      </c>
      <c r="F13" s="236">
        <f>IF(AJ13&lt;&gt;"",(LOOKUP(Info!$C$22,Rates!$AD$2:$AD$4,Rates!$AA$2:$AA$4))*(H13+P13+Q13),"")</f>
        <v/>
      </c>
      <c r="G13" s="236">
        <f>IF(AJ13&lt;&gt;"",(LOOKUP(Info!$C$22,Rates!$AD$2:$AD$4,Rates!$AB$2:$AB$4))*(H13+P13+Q13),"")</f>
        <v/>
      </c>
      <c r="H13" s="236">
        <f>IF(AJ13&lt;&gt;"",I13+J13+AB13,"")</f>
        <v/>
      </c>
      <c r="I13" s="236">
        <f>IF(AJ13&lt;&gt;"",LOOKUP(Info!$C$8,Rates!$I$2:$I$7,Rates!$H$2:$H$7)*(J13+P13+Q13+AB13),"")</f>
        <v/>
      </c>
      <c r="J13" s="244">
        <f>IF(L13="",0,L13)+IF(N13="",0,N13)+IF(O13="",0,O13)</f>
        <v/>
      </c>
      <c r="K13" s="244">
        <f>M13+0.7*M12+0.7*0.5*M11+0.7*0.25*M10+0.7*0.25*M9</f>
        <v/>
      </c>
      <c r="L13" s="244">
        <f>IF(M13&lt;&gt;"",L12+40/100*M12+M13-17.5/100*M8,0)</f>
        <v/>
      </c>
      <c r="M13" s="244">
        <f>IF(AND(AI13&lt;&gt;"",AL13&lt;=10),(1-Info!$C$25)*MIN(30/1000*(AF13-AF12),0.75*(AI13-AI12)),0)</f>
        <v/>
      </c>
      <c r="N13" s="244" t="n">
        <v>0</v>
      </c>
      <c r="O13" s="244">
        <f>IF(AJ13&lt;&gt;"",0.07*AI13*(1-Info!$F$25),0)</f>
        <v/>
      </c>
      <c r="P13" s="238">
        <f>IF(AJ13&lt;&gt;"",Y13+W13+U13+S13+R13,0)</f>
        <v/>
      </c>
      <c r="Q13" s="238">
        <f>IF(AJ13&lt;&gt;"",AA13+Z13+X13+V13+T13,0)</f>
        <v/>
      </c>
      <c r="R13" s="238">
        <f>IF(AJ13&lt;&gt;"",(AB13+AA13+V13+T13)*Info!$L$20,0)</f>
        <v/>
      </c>
      <c r="S13" s="238">
        <f>IF(AJ13&lt;&gt;"",T13*(LOOKUP(Info!$I$18,Rates!$O$2:$O$9,Rates!$L$2:$L$9)/100),0)</f>
        <v/>
      </c>
      <c r="T13" s="238">
        <f>IF(AJ13&lt;&gt;"",IF(Info!$F$14="بله",V13*Rates!$Y$7,0),0)</f>
        <v/>
      </c>
      <c r="U13" s="238">
        <f>IF(AJ13&lt;&gt;"",IF(Info!#REF!="بله",V13*(LOOKUP(Info!$I$18,Rates!$O$2:$O$9,Rates!$L$2:$L$9)/100),V13*(LOOKUP(Info!$F$18,Rates!$O$2:$O$9,Rates!$L$2:$L$9)/100)),0)</f>
        <v/>
      </c>
      <c r="V13" s="239">
        <f>IF(AND(AJ13&lt;&gt;"",AJ13&lt;=Rates!$Y$8,Info!#REF!="بله"),AH13*(LOOKUP(AJ13,Rates!$T$2:$T$108,Rates!#REF!)),IF(AND(AK13&lt;&gt;"",AK13&lt;=Rates!$Y$8,Info!#REF!="خیر"),AH13*(LOOKUP(AK13,Rates!$T$2:$T$108,Rates!#REF!)),0)*(1-Info!$F$29))</f>
        <v/>
      </c>
      <c r="W13" s="239">
        <f>IF(AJ13&lt;&gt;"",X13*LOOKUP(Info!$I$18,Rates!$O$2:$O$9,Rates!$M$2:$M$9)/100,0)</f>
        <v/>
      </c>
      <c r="X13" s="239">
        <f>IF(AJ13&lt;=Rates!$Y$4,0.0008*AF13*Info!$F$12,0)</f>
        <v/>
      </c>
      <c r="Y13" s="239">
        <f>IF(AJ13&lt;&gt;"",Z13*(LOOKUP(Info!$I$18,Rates!$O$2:$O$9,Rates!$N$2:$N$9/100)),0)</f>
        <v/>
      </c>
      <c r="Z13" s="238">
        <f>IF(AND(AJ13&lt;=(Rates!$Y$3),AD13&lt;&gt;""),(1-Info!$I$27)*0.0008*AF13*Info!$I$12,0)</f>
        <v/>
      </c>
      <c r="AA13" s="238">
        <f>IF(AJ13&lt;=60,(LOOKUP(AJ13,Rates!$T$2:$T$108,Rates!#REF!))*AC13/1000000*(1-Info!$I$29),0)</f>
        <v/>
      </c>
      <c r="AB13" s="236">
        <f>IF(AJ13&lt;&gt;"",(AF13*LOOKUP(AJ13,Rates!$T$2:$T$108,Rates!$S$2:$S$108))/SQRT(1+IF(AL13&lt;=10,Rates!$Y$5,Rates!$Y$6)),"")</f>
        <v/>
      </c>
      <c r="AC13" s="240">
        <f>IF(AND(AJ13&lt;&gt;"",AJ13&lt;=Rates!$Y$2),MIN(0.5*AF13,300000000,AC12*(1+Info!$F$10)),"")</f>
        <v/>
      </c>
      <c r="AD13" s="240">
        <f>IF(AND(AJ13&lt;&gt;"",AJ13&lt;=60),AF13*Info!$L$16,"")</f>
        <v/>
      </c>
      <c r="AE13" s="68">
        <f>IF(AND(AJ13&lt;&gt;"",AJ13&lt;=70),AF13*(1+Info!$L$14),"")</f>
        <v/>
      </c>
      <c r="AF13" s="68">
        <f>IF(AJ13&lt;&gt;"",AF12*(1+Info!$F$10),"")</f>
        <v/>
      </c>
      <c r="AG13" s="51">
        <f>IF(AJ13&lt;&gt;"",AI13+AG12,"")</f>
        <v/>
      </c>
      <c r="AH13" s="42">
        <f>IF(AJ13&lt;&gt;"",AI13*Rates!$Y$9,"")</f>
        <v/>
      </c>
      <c r="AI13" s="51">
        <f>IF(AJ13&lt;&gt;"",AI12*(1+Info!$F$8),"")</f>
        <v/>
      </c>
      <c r="AJ13" s="57">
        <f>IF(AL13&lt;&gt;"",Info!$F$6+AL13-1,"")</f>
        <v/>
      </c>
      <c r="AK13" s="66">
        <f>IF(AL13&lt;&gt;"",Info!$C$6+AL13-1,"")</f>
        <v/>
      </c>
      <c r="AL13" s="69">
        <f>IF(AL12&lt;&gt;"",IF(AL12+1&lt;=Info!$I$6,AL12+1,""),"")</f>
        <v/>
      </c>
    </row>
    <row r="14">
      <c r="A14" s="236">
        <f>IF(AJ14&lt;&gt;"",D14+D14*(IF(AL14&gt;4,0.1,LOOKUP(Info!$C$10,Rates!$D$2:$D$4,Rates!$C$2:$C$4))+0.85*(Info!$I$22-(IF(AL14&gt;4,0.1,LOOKUP(Info!$C$10,Rates!$D$2:$D$4,Rates!$C$2:$C$4)))))*LOOKUP(Info!$C$8,Rates!$I$2:$I$7,Rates!$G$2:$G$7)+A13*(1+IF(AL14&gt;4,0.1,LOOKUP(Info!$C$10,Rates!$D$2:$D$4,Rates!$C$2:$C$4))+0.85*(Info!$I$22-IF(AL14&gt;4,0.1,LOOKUP(Info!$C$10,Rates!$D$2:$D$4,Rates!$C$2:$C$4)))),"")</f>
        <v/>
      </c>
      <c r="B14" s="236">
        <f>IF(AJ14&lt;&gt;"",IF(AL14&gt;=8,C14,C14*LOOKUP(AL14,Rates!$AG$2:$AG$8,Rates!$AF$2:$AF$8)),"")</f>
        <v/>
      </c>
      <c r="C14" s="236">
        <f>IF(AJ14&lt;&gt;"",D14*(1+IF(AL14&gt;4,0.1,LOOKUP(Info!$C$10,Rates!$D$2:$D$5,Rates!$B$2:$B$5))*LOOKUP(Info!$C$8,Rates!$I$2:$I$7,Rates!$G$2:$G$7))+C13*(1+IF(AL14&gt;4,0.1,LOOKUP(Info!$C$10,Rates!$D$2:$D$5,Rates!$B$2:$B$5))),"")</f>
        <v/>
      </c>
      <c r="D14" s="236">
        <f>IF(AJ14&lt;&gt;"",AI14-(H14+G14+F14+E14+P14+Q14)+IF(Info!$C$20&gt;0,IF(AND(AL14&lt;=Info!$F$20,AL14&gt;=Info!$I$20),Info!$C$20,0),0),"")</f>
        <v/>
      </c>
      <c r="E14" s="236">
        <f>IF(AJ14&lt;&gt;"",(LOOKUP(Info!$C$22,Rates!$AD$2:$AD$4,Rates!$AC$2:$AC$4))*(H14+P14+Q14),"")</f>
        <v/>
      </c>
      <c r="F14" s="236">
        <f>IF(AJ14&lt;&gt;"",(LOOKUP(Info!$C$22,Rates!$AD$2:$AD$4,Rates!$AA$2:$AA$4))*(H14+P14+Q14),"")</f>
        <v/>
      </c>
      <c r="G14" s="236">
        <f>IF(AJ14&lt;&gt;"",(LOOKUP(Info!$C$22,Rates!$AD$2:$AD$4,Rates!$AB$2:$AB$4))*(H14+P14+Q14),"")</f>
        <v/>
      </c>
      <c r="H14" s="236">
        <f>IF(AJ14&lt;&gt;"",I14+J14+AB14,"")</f>
        <v/>
      </c>
      <c r="I14" s="236">
        <f>IF(AJ14&lt;&gt;"",LOOKUP(Info!$C$8,Rates!$I$2:$I$7,Rates!$H$2:$H$7)*(J14+P14+Q14+AB14),"")</f>
        <v/>
      </c>
      <c r="J14" s="244">
        <f>IF(L14="",0,L14)+IF(N14="",0,N14)+IF(O14="",0,O14)</f>
        <v/>
      </c>
      <c r="K14" s="244">
        <f>M14+0.7*M13+0.7*0.5*M12+0.7*0.25*M11+0.7*0.25*M10</f>
        <v/>
      </c>
      <c r="L14" s="244">
        <f>IF(M14&lt;&gt;"",L13+40/100*M13+M14-17.5/100*M9,0)</f>
        <v/>
      </c>
      <c r="M14" s="244">
        <f>IF(AND(AI14&lt;&gt;"",AL14&lt;=10),(1-Info!$C$25)*MIN(30/1000*(AF14-AF13),0.75*(AI14-AI13)),0)</f>
        <v/>
      </c>
      <c r="N14" s="244" t="n">
        <v>0</v>
      </c>
      <c r="O14" s="244">
        <f>IF(AJ14&lt;&gt;"",0.07*AI14*(1-Info!$F$25),0)</f>
        <v/>
      </c>
      <c r="P14" s="238">
        <f>IF(AJ14&lt;&gt;"",Y14+W14+U14+S14+R14,0)</f>
        <v/>
      </c>
      <c r="Q14" s="238">
        <f>IF(AJ14&lt;&gt;"",AA14+Z14+X14+V14+T14,0)</f>
        <v/>
      </c>
      <c r="R14" s="238">
        <f>IF(AJ14&lt;&gt;"",(AB14+AA14+V14+T14)*Info!$L$20,0)</f>
        <v/>
      </c>
      <c r="S14" s="238">
        <f>IF(AJ14&lt;&gt;"",T14*(LOOKUP(Info!$I$18,Rates!$O$2:$O$9,Rates!$L$2:$L$9)/100),0)</f>
        <v/>
      </c>
      <c r="T14" s="238">
        <f>IF(AJ14&lt;&gt;"",IF(Info!$F$14="بله",V14*Rates!$Y$7,0),0)</f>
        <v/>
      </c>
      <c r="U14" s="238">
        <f>IF(AJ14&lt;&gt;"",IF(Info!#REF!="بله",V14*(LOOKUP(Info!$I$18,Rates!$O$2:$O$9,Rates!$L$2:$L$9)/100),V14*(LOOKUP(Info!$F$18,Rates!$O$2:$O$9,Rates!$L$2:$L$9)/100)),0)</f>
        <v/>
      </c>
      <c r="V14" s="239">
        <f>IF(AND(AJ14&lt;&gt;"",AJ14&lt;=Rates!$Y$8,Info!#REF!="بله"),AH14*(LOOKUP(AJ14,Rates!$T$2:$T$108,Rates!#REF!)),IF(AND(AK14&lt;&gt;"",AK14&lt;=Rates!$Y$8,Info!#REF!="خیر"),AH14*(LOOKUP(AK14,Rates!$T$2:$T$108,Rates!#REF!)),0)*(1-Info!$F$29))</f>
        <v/>
      </c>
      <c r="W14" s="239">
        <f>IF(AJ14&lt;&gt;"",X14*LOOKUP(Info!$I$18,Rates!$O$2:$O$9,Rates!$M$2:$M$9)/100,0)</f>
        <v/>
      </c>
      <c r="X14" s="239">
        <f>IF(AJ14&lt;=Rates!$Y$4,0.0008*AF14*Info!$F$12,0)</f>
        <v/>
      </c>
      <c r="Y14" s="239">
        <f>IF(AJ14&lt;&gt;"",Z14*(LOOKUP(Info!$I$18,Rates!$O$2:$O$9,Rates!$N$2:$N$9/100)),0)</f>
        <v/>
      </c>
      <c r="Z14" s="238">
        <f>IF(AND(AJ14&lt;=(Rates!$Y$3),AD14&lt;&gt;""),(1-Info!$I$27)*0.0008*AF14*Info!$I$12,0)</f>
        <v/>
      </c>
      <c r="AA14" s="238">
        <f>IF(AJ14&lt;=60,(LOOKUP(AJ14,Rates!$T$2:$T$108,Rates!#REF!))*AC14/1000000*(1-Info!$I$29),0)</f>
        <v/>
      </c>
      <c r="AB14" s="236">
        <f>IF(AJ14&lt;&gt;"",(AF14*LOOKUP(AJ14,Rates!$T$2:$T$108,Rates!$S$2:$S$108))/SQRT(1+IF(AL14&lt;=10,Rates!$Y$5,Rates!$Y$6)),"")</f>
        <v/>
      </c>
      <c r="AC14" s="240">
        <f>IF(AND(AJ14&lt;&gt;"",AJ14&lt;=Rates!$Y$2),MIN(0.5*AF14,300000000,AC13*(1+Info!$F$10)),"")</f>
        <v/>
      </c>
      <c r="AD14" s="240">
        <f>IF(AND(AJ14&lt;&gt;"",AJ14&lt;=60),AF14*Info!$L$16,"")</f>
        <v/>
      </c>
      <c r="AE14" s="68">
        <f>IF(AND(AJ14&lt;&gt;"",AJ14&lt;=70),AF14*(1+Info!$L$14),"")</f>
        <v/>
      </c>
      <c r="AF14" s="68">
        <f>IF(AJ14&lt;&gt;"",AF13*(1+Info!$F$10),"")</f>
        <v/>
      </c>
      <c r="AG14" s="51">
        <f>IF(AJ14&lt;&gt;"",AI14+AG13,"")</f>
        <v/>
      </c>
      <c r="AH14" s="42">
        <f>IF(AJ14&lt;&gt;"",AI14*Rates!$Y$9,"")</f>
        <v/>
      </c>
      <c r="AI14" s="51">
        <f>IF(AJ14&lt;&gt;"",AI13*(1+Info!$F$8),"")</f>
        <v/>
      </c>
      <c r="AJ14" s="57">
        <f>IF(AL14&lt;&gt;"",Info!$F$6+AL14-1,"")</f>
        <v/>
      </c>
      <c r="AK14" s="66">
        <f>IF(AL14&lt;&gt;"",Info!$C$6+AL14-1,"")</f>
        <v/>
      </c>
      <c r="AL14" s="69">
        <f>IF(AL13&lt;&gt;"",IF(AL13+1&lt;=Info!$I$6,AL13+1,""),"")</f>
        <v/>
      </c>
    </row>
    <row r="15">
      <c r="A15" s="236">
        <f>IF(AJ15&lt;&gt;"",D15+D15*(IF(AL15&gt;4,0.1,LOOKUP(Info!$C$10,Rates!$D$2:$D$4,Rates!$C$2:$C$4))+0.85*(Info!$I$22-(IF(AL15&gt;4,0.1,LOOKUP(Info!$C$10,Rates!$D$2:$D$4,Rates!$C$2:$C$4)))))*LOOKUP(Info!$C$8,Rates!$I$2:$I$7,Rates!$G$2:$G$7)+A14*(1+IF(AL15&gt;4,0.1,LOOKUP(Info!$C$10,Rates!$D$2:$D$4,Rates!$C$2:$C$4))+0.85*(Info!$I$22-IF(AL15&gt;4,0.1,LOOKUP(Info!$C$10,Rates!$D$2:$D$4,Rates!$C$2:$C$4)))),"")</f>
        <v/>
      </c>
      <c r="B15" s="236">
        <f>IF(AJ15&lt;&gt;"",IF(AL15&gt;=8,C15,C15*LOOKUP(AL15,Rates!$AG$2:$AG$8,Rates!$AF$2:$AF$8)),"")</f>
        <v/>
      </c>
      <c r="C15" s="236">
        <f>IF(AJ15&lt;&gt;"",D15*(1+IF(AL15&gt;4,0.1,LOOKUP(Info!$C$10,Rates!$D$2:$D$5,Rates!$B$2:$B$5))*LOOKUP(Info!$C$8,Rates!$I$2:$I$7,Rates!$G$2:$G$7))+C14*(1+IF(AL15&gt;4,0.1,LOOKUP(Info!$C$10,Rates!$D$2:$D$5,Rates!$B$2:$B$5))),"")</f>
        <v/>
      </c>
      <c r="D15" s="236">
        <f>IF(AJ15&lt;&gt;"",AI15-(H15+G15+F15+E15+P15+Q15)+IF(Info!$C$20&gt;0,IF(AND(AL15&lt;=Info!$F$20,AL15&gt;=Info!$I$20),Info!$C$20,0),0),"")</f>
        <v/>
      </c>
      <c r="E15" s="236">
        <f>IF(AJ15&lt;&gt;"",(LOOKUP(Info!$C$22,Rates!$AD$2:$AD$4,Rates!$AC$2:$AC$4))*(H15+P15+Q15),"")</f>
        <v/>
      </c>
      <c r="F15" s="236">
        <f>IF(AJ15&lt;&gt;"",(LOOKUP(Info!$C$22,Rates!$AD$2:$AD$4,Rates!$AA$2:$AA$4))*(H15+P15+Q15),"")</f>
        <v/>
      </c>
      <c r="G15" s="236">
        <f>IF(AJ15&lt;&gt;"",(LOOKUP(Info!$C$22,Rates!$AD$2:$AD$4,Rates!$AB$2:$AB$4))*(H15+P15+Q15),"")</f>
        <v/>
      </c>
      <c r="H15" s="236">
        <f>IF(AJ15&lt;&gt;"",I15+J15+AB15,"")</f>
        <v/>
      </c>
      <c r="I15" s="236">
        <f>IF(AJ15&lt;&gt;"",LOOKUP(Info!$C$8,Rates!$I$2:$I$7,Rates!$H$2:$H$7)*(J15+P15+Q15+AB15),"")</f>
        <v/>
      </c>
      <c r="J15" s="244">
        <f>IF(L15="",0,L15)+IF(N15="",0,N15)+IF(O15="",0,O15)</f>
        <v/>
      </c>
      <c r="K15" s="244">
        <f>M15+0.7*M14+0.7*0.5*M13+0.7*0.25*M12+0.7*0.25*M11</f>
        <v/>
      </c>
      <c r="L15" s="244">
        <f>IF(M15&lt;&gt;"",L14+40/100*M14+M15-17.5/100*M10,0)</f>
        <v/>
      </c>
      <c r="M15" s="244">
        <f>IF(AND(AI15&lt;&gt;"",AL15&lt;=10),(1-Info!$C$25)*MIN(30/1000*(AF15-AF14),0.75*(AI15-AI14)),0)</f>
        <v/>
      </c>
      <c r="N15" s="244" t="n">
        <v>0</v>
      </c>
      <c r="O15" s="244">
        <f>IF(AJ15&lt;&gt;"",0.07*AI15*(1-Info!$F$25),0)</f>
        <v/>
      </c>
      <c r="P15" s="238">
        <f>IF(AJ15&lt;&gt;"",Y15+W15+U15+S15+R15,0)</f>
        <v/>
      </c>
      <c r="Q15" s="238">
        <f>IF(AJ15&lt;&gt;"",AA15+Z15+X15+V15+T15,0)</f>
        <v/>
      </c>
      <c r="R15" s="238">
        <f>IF(AJ15&lt;&gt;"",(AB15+AA15+V15+T15)*Info!$L$20,0)</f>
        <v/>
      </c>
      <c r="S15" s="238">
        <f>IF(AJ15&lt;&gt;"",T15*(LOOKUP(Info!$I$18,Rates!$O$2:$O$9,Rates!$L$2:$L$9)/100),0)</f>
        <v/>
      </c>
      <c r="T15" s="238">
        <f>IF(AJ15&lt;&gt;"",IF(Info!$F$14="بله",V15*Rates!$Y$7,0),0)</f>
        <v/>
      </c>
      <c r="U15" s="238">
        <f>IF(AJ15&lt;&gt;"",IF(Info!#REF!="بله",V15*(LOOKUP(Info!$I$18,Rates!$O$2:$O$9,Rates!$L$2:$L$9)/100),V15*(LOOKUP(Info!$F$18,Rates!$O$2:$O$9,Rates!$L$2:$L$9)/100)),0)</f>
        <v/>
      </c>
      <c r="V15" s="239">
        <f>IF(AND(AJ15&lt;&gt;"",AJ15&lt;=Rates!$Y$8,Info!#REF!="بله"),AH15*(LOOKUP(AJ15,Rates!$T$2:$T$108,Rates!#REF!)),IF(AND(AK15&lt;&gt;"",AK15&lt;=Rates!$Y$8,Info!#REF!="خیر"),AH15*(LOOKUP(AK15,Rates!$T$2:$T$108,Rates!#REF!)),0)*(1-Info!$F$29))</f>
        <v/>
      </c>
      <c r="W15" s="239">
        <f>IF(AJ15&lt;&gt;"",X15*LOOKUP(Info!$I$18,Rates!$O$2:$O$9,Rates!$M$2:$M$9)/100,0)</f>
        <v/>
      </c>
      <c r="X15" s="239">
        <f>IF(AJ15&lt;=Rates!$Y$4,0.0008*AF15*Info!$F$12,0)</f>
        <v/>
      </c>
      <c r="Y15" s="239">
        <f>IF(AJ15&lt;&gt;"",Z15*(LOOKUP(Info!$I$18,Rates!$O$2:$O$9,Rates!$N$2:$N$9/100)),0)</f>
        <v/>
      </c>
      <c r="Z15" s="238">
        <f>IF(AND(AJ15&lt;=(Rates!$Y$3),AD15&lt;&gt;""),(1-Info!$I$27)*0.0008*AF15*Info!$I$12,0)</f>
        <v/>
      </c>
      <c r="AA15" s="238">
        <f>IF(AJ15&lt;=60,(LOOKUP(AJ15,Rates!$T$2:$T$108,Rates!#REF!))*AC15/1000000*(1-Info!$I$29),0)</f>
        <v/>
      </c>
      <c r="AB15" s="236">
        <f>IF(AJ15&lt;&gt;"",(AF15*LOOKUP(AJ15,Rates!$T$2:$T$108,Rates!$S$2:$S$108))/SQRT(1+IF(AL15&lt;=10,Rates!$Y$5,Rates!$Y$6)),"")</f>
        <v/>
      </c>
      <c r="AC15" s="240">
        <f>IF(AND(AJ15&lt;&gt;"",AJ15&lt;=Rates!$Y$2),MIN(0.5*AF15,300000000,AC14*(1+Info!$F$10)),"")</f>
        <v/>
      </c>
      <c r="AD15" s="240">
        <f>IF(AND(AJ15&lt;&gt;"",AJ15&lt;=60),AF15*Info!$L$16,"")</f>
        <v/>
      </c>
      <c r="AE15" s="68">
        <f>IF(AND(AJ15&lt;&gt;"",AJ15&lt;=70),AF15*(1+Info!$L$14),"")</f>
        <v/>
      </c>
      <c r="AF15" s="68">
        <f>IF(AJ15&lt;&gt;"",AF14*(1+Info!$F$10),"")</f>
        <v/>
      </c>
      <c r="AG15" s="51">
        <f>IF(AJ15&lt;&gt;"",AI15+AG14,"")</f>
        <v/>
      </c>
      <c r="AH15" s="42">
        <f>IF(AJ15&lt;&gt;"",AI15*Rates!$Y$9,"")</f>
        <v/>
      </c>
      <c r="AI15" s="51">
        <f>IF(AJ15&lt;&gt;"",AI14*(1+Info!$F$8),"")</f>
        <v/>
      </c>
      <c r="AJ15" s="57">
        <f>IF(AL15&lt;&gt;"",Info!$F$6+AL15-1,"")</f>
        <v/>
      </c>
      <c r="AK15" s="66">
        <f>IF(AL15&lt;&gt;"",Info!$C$6+AL15-1,"")</f>
        <v/>
      </c>
      <c r="AL15" s="69">
        <f>IF(AL14&lt;&gt;"",IF(AL14+1&lt;=Info!$I$6,AL14+1,""),"")</f>
        <v/>
      </c>
    </row>
    <row r="16">
      <c r="A16" s="236">
        <f>IF(AJ16&lt;&gt;"",D16+D16*(IF(AL16&gt;4,0.1,LOOKUP(Info!$C$10,Rates!$D$2:$D$4,Rates!$C$2:$C$4))+0.85*(Info!$I$22-(IF(AL16&gt;4,0.1,LOOKUP(Info!$C$10,Rates!$D$2:$D$4,Rates!$C$2:$C$4)))))*LOOKUP(Info!$C$8,Rates!$I$2:$I$7,Rates!$G$2:$G$7)+A15*(1+IF(AL16&gt;4,0.1,LOOKUP(Info!$C$10,Rates!$D$2:$D$4,Rates!$C$2:$C$4))+0.85*(Info!$I$22-IF(AL16&gt;4,0.1,LOOKUP(Info!$C$10,Rates!$D$2:$D$4,Rates!$C$2:$C$4)))),"")</f>
        <v/>
      </c>
      <c r="B16" s="236">
        <f>IF(AJ16&lt;&gt;"",IF(AL16&gt;=8,C16,C16*LOOKUP(AL16,Rates!$AG$2:$AG$8,Rates!$AF$2:$AF$8)),"")</f>
        <v/>
      </c>
      <c r="C16" s="236">
        <f>IF(AJ16&lt;&gt;"",D16*(1+IF(AL16&gt;4,0.1,LOOKUP(Info!$C$10,Rates!$D$2:$D$5,Rates!$B$2:$B$5))*LOOKUP(Info!$C$8,Rates!$I$2:$I$7,Rates!$G$2:$G$7))+C15*(1+IF(AL16&gt;4,0.1,LOOKUP(Info!$C$10,Rates!$D$2:$D$5,Rates!$B$2:$B$5))),"")</f>
        <v/>
      </c>
      <c r="D16" s="236">
        <f>IF(AJ16&lt;&gt;"",AI16-(H16+G16+F16+E16+P16+Q16)+IF(Info!$C$20&gt;0,IF(AND(AL16&lt;=Info!$F$20,AL16&gt;=Info!$I$20),Info!$C$20,0),0),"")</f>
        <v/>
      </c>
      <c r="E16" s="236">
        <f>IF(AJ16&lt;&gt;"",(LOOKUP(Info!$C$22,Rates!$AD$2:$AD$4,Rates!$AC$2:$AC$4))*(H16+P16+Q16),"")</f>
        <v/>
      </c>
      <c r="F16" s="236">
        <f>IF(AJ16&lt;&gt;"",(LOOKUP(Info!$C$22,Rates!$AD$2:$AD$4,Rates!$AA$2:$AA$4))*(H16+P16+Q16),"")</f>
        <v/>
      </c>
      <c r="G16" s="236">
        <f>IF(AJ16&lt;&gt;"",(LOOKUP(Info!$C$22,Rates!$AD$2:$AD$4,Rates!$AB$2:$AB$4))*(H16+P16+Q16),"")</f>
        <v/>
      </c>
      <c r="H16" s="236">
        <f>IF(AJ16&lt;&gt;"",I16+J16+AB16,"")</f>
        <v/>
      </c>
      <c r="I16" s="236">
        <f>IF(AJ16&lt;&gt;"",LOOKUP(Info!$C$8,Rates!$I$2:$I$7,Rates!$H$2:$H$7)*(J16+P16+Q16+AB16),"")</f>
        <v/>
      </c>
      <c r="J16" s="244">
        <f>IF(L16="",0,L16)+IF(N16="",0,N16)+IF(O16="",0,O16)</f>
        <v/>
      </c>
      <c r="K16" s="244">
        <f>M16+0.7*M15+0.7*0.5*M14+0.7*0.25*M13+0.7*0.25*M12</f>
        <v/>
      </c>
      <c r="L16" s="244">
        <f>IF(M16&lt;&gt;"",L15+40/100*M15+M16-17.5/100*M11,0)</f>
        <v/>
      </c>
      <c r="M16" s="244">
        <f>IF(AND(AI16&lt;&gt;"",AL16&lt;=10),(1-Info!$C$25)*MIN(30/1000*(AF16-AF15),0.75*(AI16-AI15)),0)</f>
        <v/>
      </c>
      <c r="N16" s="244" t="n">
        <v>0</v>
      </c>
      <c r="O16" s="244">
        <f>IF(AJ16&lt;&gt;"",0.07*AI16*(1-Info!$F$25),0)</f>
        <v/>
      </c>
      <c r="P16" s="238">
        <f>IF(AJ16&lt;&gt;"",Y16+W16+U16+S16+R16,0)</f>
        <v/>
      </c>
      <c r="Q16" s="238">
        <f>IF(AJ16&lt;&gt;"",AA16+Z16+X16+V16+T16,0)</f>
        <v/>
      </c>
      <c r="R16" s="238">
        <f>IF(AJ16&lt;&gt;"",(AB16+AA16+V16+T16)*Info!$L$20,0)</f>
        <v/>
      </c>
      <c r="S16" s="238">
        <f>IF(AJ16&lt;&gt;"",T16*(LOOKUP(Info!$I$18,Rates!$O$2:$O$9,Rates!$L$2:$L$9)/100),0)</f>
        <v/>
      </c>
      <c r="T16" s="238">
        <f>IF(AJ16&lt;&gt;"",IF(Info!$F$14="بله",V16*Rates!$Y$7,0),0)</f>
        <v/>
      </c>
      <c r="U16" s="238">
        <f>IF(AJ16&lt;&gt;"",IF(Info!#REF!="بله",V16*(LOOKUP(Info!$I$18,Rates!$O$2:$O$9,Rates!$L$2:$L$9)/100),V16*(LOOKUP(Info!$F$18,Rates!$O$2:$O$9,Rates!$L$2:$L$9)/100)),0)</f>
        <v/>
      </c>
      <c r="V16" s="239">
        <f>IF(AND(AJ16&lt;&gt;"",AJ16&lt;=Rates!$Y$8,Info!#REF!="بله"),AH16*(LOOKUP(AJ16,Rates!$T$2:$T$108,Rates!#REF!)),IF(AND(AK16&lt;&gt;"",AK16&lt;=Rates!$Y$8,Info!#REF!="خیر"),AH16*(LOOKUP(AK16,Rates!$T$2:$T$108,Rates!#REF!)),0)*(1-Info!$F$29))</f>
        <v/>
      </c>
      <c r="W16" s="239">
        <f>IF(AJ16&lt;&gt;"",X16*LOOKUP(Info!$I$18,Rates!$O$2:$O$9,Rates!$M$2:$M$9)/100,0)</f>
        <v/>
      </c>
      <c r="X16" s="239">
        <f>IF(AJ16&lt;=Rates!$Y$4,0.0008*AF16*Info!$F$12,0)</f>
        <v/>
      </c>
      <c r="Y16" s="239">
        <f>IF(AJ16&lt;&gt;"",Z16*(LOOKUP(Info!$I$18,Rates!$O$2:$O$9,Rates!$N$2:$N$9/100)),0)</f>
        <v/>
      </c>
      <c r="Z16" s="238">
        <f>IF(AND(AJ16&lt;=(Rates!$Y$3),AD16&lt;&gt;""),(1-Info!$I$27)*0.0008*AF16*Info!$I$12,0)</f>
        <v/>
      </c>
      <c r="AA16" s="238">
        <f>IF(AJ16&lt;=60,(LOOKUP(AJ16,Rates!$T$2:$T$108,Rates!#REF!))*AC16/1000000*(1-Info!$I$29),0)</f>
        <v/>
      </c>
      <c r="AB16" s="236">
        <f>IF(AJ16&lt;&gt;"",(AF16*LOOKUP(AJ16,Rates!$T$2:$T$108,Rates!$S$2:$S$108))/SQRT(1+IF(AL16&lt;=10,Rates!$Y$5,Rates!$Y$6)),"")</f>
        <v/>
      </c>
      <c r="AC16" s="240">
        <f>IF(AND(AJ16&lt;&gt;"",AJ16&lt;=Rates!$Y$2),MIN(0.5*AF16,300000000,AC15*(1+Info!$F$10)),"")</f>
        <v/>
      </c>
      <c r="AD16" s="240">
        <f>IF(AND(AJ16&lt;&gt;"",AJ16&lt;=60),AF16*Info!$L$16,"")</f>
        <v/>
      </c>
      <c r="AE16" s="68">
        <f>IF(AND(AJ16&lt;&gt;"",AJ16&lt;=70),AF16*(1+Info!$L$14),"")</f>
        <v/>
      </c>
      <c r="AF16" s="68">
        <f>IF(AJ16&lt;&gt;"",AF15*(1+Info!$F$10),"")</f>
        <v/>
      </c>
      <c r="AG16" s="51">
        <f>IF(AJ16&lt;&gt;"",AI16+AG15,"")</f>
        <v/>
      </c>
      <c r="AH16" s="42">
        <f>IF(AJ16&lt;&gt;"",AI16*Rates!$Y$9,"")</f>
        <v/>
      </c>
      <c r="AI16" s="51">
        <f>IF(AJ16&lt;&gt;"",AI15*(1+Info!$F$8),"")</f>
        <v/>
      </c>
      <c r="AJ16" s="57">
        <f>IF(AL16&lt;&gt;"",Info!$F$6+AL16-1,"")</f>
        <v/>
      </c>
      <c r="AK16" s="66">
        <f>IF(AL16&lt;&gt;"",Info!$C$6+AL16-1,"")</f>
        <v/>
      </c>
      <c r="AL16" s="69">
        <f>IF(AL15&lt;&gt;"",IF(AL15+1&lt;=Info!$I$6,AL15+1,""),"")</f>
        <v/>
      </c>
    </row>
    <row r="17">
      <c r="A17" s="236">
        <f>IF(AJ17&lt;&gt;"",D17+D17*(IF(AL17&gt;4,0.1,LOOKUP(Info!$C$10,Rates!$D$2:$D$4,Rates!$C$2:$C$4))+0.85*(Info!$I$22-(IF(AL17&gt;4,0.1,LOOKUP(Info!$C$10,Rates!$D$2:$D$4,Rates!$C$2:$C$4)))))*LOOKUP(Info!$C$8,Rates!$I$2:$I$7,Rates!$G$2:$G$7)+A16*(1+IF(AL17&gt;4,0.1,LOOKUP(Info!$C$10,Rates!$D$2:$D$4,Rates!$C$2:$C$4))+0.85*(Info!$I$22-IF(AL17&gt;4,0.1,LOOKUP(Info!$C$10,Rates!$D$2:$D$4,Rates!$C$2:$C$4)))),"")</f>
        <v/>
      </c>
      <c r="B17" s="236">
        <f>IF(AJ17&lt;&gt;"",IF(AL17&gt;=8,C17,C17*LOOKUP(AL17,Rates!$AG$2:$AG$8,Rates!$AF$2:$AF$8)),"")</f>
        <v/>
      </c>
      <c r="C17" s="236">
        <f>IF(AJ17&lt;&gt;"",D17*(1+IF(AL17&gt;4,0.1,LOOKUP(Info!$C$10,Rates!$D$2:$D$5,Rates!$B$2:$B$5))*LOOKUP(Info!$C$8,Rates!$I$2:$I$7,Rates!$G$2:$G$7))+C16*(1+IF(AL17&gt;4,0.1,LOOKUP(Info!$C$10,Rates!$D$2:$D$5,Rates!$B$2:$B$5))),"")</f>
        <v/>
      </c>
      <c r="D17" s="236">
        <f>IF(AJ17&lt;&gt;"",AI17-(H17+G17+F17+E17+P17+Q17)+IF(Info!$C$20&gt;0,IF(AND(AL17&lt;=Info!$F$20,AL17&gt;=Info!$I$20),Info!$C$20,0),0),"")</f>
        <v/>
      </c>
      <c r="E17" s="236">
        <f>IF(AJ17&lt;&gt;"",(LOOKUP(Info!$C$22,Rates!$AD$2:$AD$4,Rates!$AC$2:$AC$4))*(H17+P17+Q17),"")</f>
        <v/>
      </c>
      <c r="F17" s="236">
        <f>IF(AJ17&lt;&gt;"",(LOOKUP(Info!$C$22,Rates!$AD$2:$AD$4,Rates!$AA$2:$AA$4))*(H17+P17+Q17),"")</f>
        <v/>
      </c>
      <c r="G17" s="236">
        <f>IF(AJ17&lt;&gt;"",(LOOKUP(Info!$C$22,Rates!$AD$2:$AD$4,Rates!$AB$2:$AB$4))*(H17+P17+Q17),"")</f>
        <v/>
      </c>
      <c r="H17" s="236">
        <f>IF(AJ17&lt;&gt;"",I17+J17+AB17,"")</f>
        <v/>
      </c>
      <c r="I17" s="236">
        <f>IF(AJ17&lt;&gt;"",LOOKUP(Info!$C$8,Rates!$I$2:$I$7,Rates!$H$2:$H$7)*(J17+P17+Q17+AB17),"")</f>
        <v/>
      </c>
      <c r="J17" s="244">
        <f>IF(L17="",0,L17)+IF(N17="",0,N17)+IF(O17="",0,O17)</f>
        <v/>
      </c>
      <c r="K17" s="244">
        <f>M17+0.7*M16+0.7*0.5*M15+0.7*0.25*M14+0.7*0.25*M13</f>
        <v/>
      </c>
      <c r="L17" s="244">
        <f>IF(M17&lt;&gt;"",L16+40/100*M16+M17-17.5/100*M12,0)</f>
        <v/>
      </c>
      <c r="M17" s="244">
        <f>IF(AND(AI17&lt;&gt;"",AL17&lt;=10),(1-Info!$C$25)*MIN(30/1000*(AF17-AF16),0.75*(AI17-AI16)),0)</f>
        <v/>
      </c>
      <c r="N17" s="244" t="n">
        <v>0</v>
      </c>
      <c r="O17" s="244">
        <f>IF(AJ17&lt;&gt;"",0.07*AI17*(1-Info!$F$25),0)</f>
        <v/>
      </c>
      <c r="P17" s="238">
        <f>IF(AJ17&lt;&gt;"",Y17+W17+U17+S17+R17,0)</f>
        <v/>
      </c>
      <c r="Q17" s="238">
        <f>IF(AJ17&lt;&gt;"",AA17+Z17+X17+V17+T17,0)</f>
        <v/>
      </c>
      <c r="R17" s="238">
        <f>IF(AJ17&lt;&gt;"",(AB17+AA17+V17+T17)*Info!$L$20,0)</f>
        <v/>
      </c>
      <c r="S17" s="238">
        <f>IF(AJ17&lt;&gt;"",T17*(LOOKUP(Info!$I$18,Rates!$O$2:$O$9,Rates!$L$2:$L$9)/100),0)</f>
        <v/>
      </c>
      <c r="T17" s="238">
        <f>IF(AJ17&lt;&gt;"",IF(Info!$F$14="بله",V17*Rates!$Y$7,0),0)</f>
        <v/>
      </c>
      <c r="U17" s="238">
        <f>IF(AJ17&lt;&gt;"",IF(Info!#REF!="بله",V17*(LOOKUP(Info!$I$18,Rates!$O$2:$O$9,Rates!$L$2:$L$9)/100),V17*(LOOKUP(Info!$F$18,Rates!$O$2:$O$9,Rates!$L$2:$L$9)/100)),0)</f>
        <v/>
      </c>
      <c r="V17" s="239">
        <f>IF(AND(AJ17&lt;&gt;"",AJ17&lt;=Rates!$Y$8,Info!#REF!="بله"),AH17*(LOOKUP(AJ17,Rates!$T$2:$T$108,Rates!#REF!)),IF(AND(AK17&lt;&gt;"",AK17&lt;=Rates!$Y$8,Info!#REF!="خیر"),AH17*(LOOKUP(AK17,Rates!$T$2:$T$108,Rates!#REF!)),0)*(1-Info!$F$29))</f>
        <v/>
      </c>
      <c r="W17" s="239">
        <f>IF(AJ17&lt;&gt;"",X17*LOOKUP(Info!$I$18,Rates!$O$2:$O$9,Rates!$M$2:$M$9)/100,0)</f>
        <v/>
      </c>
      <c r="X17" s="239">
        <f>IF(AJ17&lt;=Rates!$Y$4,0.0008*AF17*Info!$F$12,0)</f>
        <v/>
      </c>
      <c r="Y17" s="239">
        <f>IF(AJ17&lt;&gt;"",Z17*(LOOKUP(Info!$I$18,Rates!$O$2:$O$9,Rates!$N$2:$N$9/100)),0)</f>
        <v/>
      </c>
      <c r="Z17" s="238">
        <f>IF(AND(AJ17&lt;=(Rates!$Y$3),AD17&lt;&gt;""),(1-Info!$I$27)*0.0008*AF17*Info!$I$12,0)</f>
        <v/>
      </c>
      <c r="AA17" s="238">
        <f>IF(AJ17&lt;=60,(LOOKUP(AJ17,Rates!$T$2:$T$108,Rates!#REF!))*AC17/1000000*(1-Info!$I$29),0)</f>
        <v/>
      </c>
      <c r="AB17" s="236">
        <f>IF(AJ17&lt;&gt;"",(AF17*LOOKUP(AJ17,Rates!$T$2:$T$108,Rates!$S$2:$S$108))/SQRT(1+IF(AL17&lt;=10,Rates!$Y$5,Rates!$Y$6)),"")</f>
        <v/>
      </c>
      <c r="AC17" s="240">
        <f>IF(AND(AJ17&lt;&gt;"",AJ17&lt;=Rates!$Y$2),MIN(0.5*AF17,300000000,AC16*(1+Info!$F$10)),"")</f>
        <v/>
      </c>
      <c r="AD17" s="240">
        <f>IF(AND(AJ17&lt;&gt;"",AJ17&lt;=60),AF17*Info!$L$16,"")</f>
        <v/>
      </c>
      <c r="AE17" s="68">
        <f>IF(AND(AJ17&lt;&gt;"",AJ17&lt;=70),AF17*(1+Info!$L$14),"")</f>
        <v/>
      </c>
      <c r="AF17" s="68">
        <f>IF(AJ17&lt;&gt;"",AF16*(1+Info!$F$10),"")</f>
        <v/>
      </c>
      <c r="AG17" s="51">
        <f>IF(AJ17&lt;&gt;"",AI17+AG16,"")</f>
        <v/>
      </c>
      <c r="AH17" s="42">
        <f>IF(AJ17&lt;&gt;"",AI17*Rates!$Y$9,"")</f>
        <v/>
      </c>
      <c r="AI17" s="51">
        <f>IF(AJ17&lt;&gt;"",AI16*(1+Info!$F$8),"")</f>
        <v/>
      </c>
      <c r="AJ17" s="57">
        <f>IF(AL17&lt;&gt;"",Info!$F$6+AL17-1,"")</f>
        <v/>
      </c>
      <c r="AK17" s="66">
        <f>IF(AL17&lt;&gt;"",Info!$C$6+AL17-1,"")</f>
        <v/>
      </c>
      <c r="AL17" s="69">
        <f>IF(AL16&lt;&gt;"",IF(AL16+1&lt;=Info!$I$6,AL16+1,""),"")</f>
        <v/>
      </c>
    </row>
    <row r="18">
      <c r="A18" s="236">
        <f>IF(AJ18&lt;&gt;"",D18+D18*(IF(AL18&gt;4,0.1,LOOKUP(Info!$C$10,Rates!$D$2:$D$4,Rates!$C$2:$C$4))+0.85*(Info!$I$22-(IF(AL18&gt;4,0.1,LOOKUP(Info!$C$10,Rates!$D$2:$D$4,Rates!$C$2:$C$4)))))*LOOKUP(Info!$C$8,Rates!$I$2:$I$7,Rates!$G$2:$G$7)+A17*(1+IF(AL18&gt;4,0.1,LOOKUP(Info!$C$10,Rates!$D$2:$D$4,Rates!$C$2:$C$4))+0.85*(Info!$I$22-IF(AL18&gt;4,0.1,LOOKUP(Info!$C$10,Rates!$D$2:$D$4,Rates!$C$2:$C$4)))),"")</f>
        <v/>
      </c>
      <c r="B18" s="236">
        <f>IF(AJ18&lt;&gt;"",IF(AL18&gt;=8,C18,C18*LOOKUP(AL18,Rates!$AG$2:$AG$8,Rates!$AF$2:$AF$8)),"")</f>
        <v/>
      </c>
      <c r="C18" s="236">
        <f>IF(AJ18&lt;&gt;"",D18*(1+IF(AL18&gt;4,0.1,LOOKUP(Info!$C$10,Rates!$D$2:$D$5,Rates!$B$2:$B$5))*LOOKUP(Info!$C$8,Rates!$I$2:$I$7,Rates!$G$2:$G$7))+C17*(1+IF(AL18&gt;4,0.1,LOOKUP(Info!$C$10,Rates!$D$2:$D$5,Rates!$B$2:$B$5))),"")</f>
        <v/>
      </c>
      <c r="D18" s="236">
        <f>IF(AJ18&lt;&gt;"",AI18-(H18+G18+F18+E18+P18+Q18)+IF(Info!$C$20&gt;0,IF(AND(AL18&lt;=Info!$F$20,AL18&gt;=Info!$I$20),Info!$C$20,0),0),"")</f>
        <v/>
      </c>
      <c r="E18" s="236">
        <f>IF(AJ18&lt;&gt;"",(LOOKUP(Info!$C$22,Rates!$AD$2:$AD$4,Rates!$AC$2:$AC$4))*(H18+P18+Q18),"")</f>
        <v/>
      </c>
      <c r="F18" s="236">
        <f>IF(AJ18&lt;&gt;"",(LOOKUP(Info!$C$22,Rates!$AD$2:$AD$4,Rates!$AA$2:$AA$4))*(H18+P18+Q18),"")</f>
        <v/>
      </c>
      <c r="G18" s="236">
        <f>IF(AJ18&lt;&gt;"",(LOOKUP(Info!$C$22,Rates!$AD$2:$AD$4,Rates!$AB$2:$AB$4))*(H18+P18+Q18),"")</f>
        <v/>
      </c>
      <c r="H18" s="236">
        <f>IF(AJ18&lt;&gt;"",I18+J18+AB18,"")</f>
        <v/>
      </c>
      <c r="I18" s="236">
        <f>IF(AJ18&lt;&gt;"",LOOKUP(Info!$C$8,Rates!$I$2:$I$7,Rates!$H$2:$H$7)*(J18+P18+Q18+AB18),"")</f>
        <v/>
      </c>
      <c r="J18" s="244">
        <f>IF(L18="",0,L18)+IF(N18="",0,N18)+IF(O18="",0,O18)</f>
        <v/>
      </c>
      <c r="K18" s="244">
        <f>M18+0.7*M17+0.7*0.5*M16+0.7*0.25*M15+0.7*0.25*M14</f>
        <v/>
      </c>
      <c r="L18" s="244">
        <f>IF(M18&lt;&gt;"",L17+40/100*M17+M18-17.5/100*M13,0)</f>
        <v/>
      </c>
      <c r="M18" s="244">
        <f>IF(AND(AI18&lt;&gt;"",AL18&lt;=10),(1-Info!$C$25)*MIN(30/1000*(AF18-AF17),0.75*(AI18-AI17)),0)</f>
        <v/>
      </c>
      <c r="N18" s="244" t="n">
        <v>0</v>
      </c>
      <c r="O18" s="244">
        <f>IF(AJ18&lt;&gt;"",0.07*AI18*(1-Info!$F$25),0)</f>
        <v/>
      </c>
      <c r="P18" s="238">
        <f>IF(AJ18&lt;&gt;"",Y18+W18+U18+S18+R18,0)</f>
        <v/>
      </c>
      <c r="Q18" s="238">
        <f>IF(AJ18&lt;&gt;"",AA18+Z18+X18+V18+T18,0)</f>
        <v/>
      </c>
      <c r="R18" s="238">
        <f>IF(AJ18&lt;&gt;"",(AB18+AA18+V18+T18)*Info!$L$20,0)</f>
        <v/>
      </c>
      <c r="S18" s="238">
        <f>IF(AJ18&lt;&gt;"",T18*(LOOKUP(Info!$I$18,Rates!$O$2:$O$9,Rates!$L$2:$L$9)/100),0)</f>
        <v/>
      </c>
      <c r="T18" s="238">
        <f>IF(AJ18&lt;&gt;"",IF(Info!$F$14="بله",V18*Rates!$Y$7,0),0)</f>
        <v/>
      </c>
      <c r="U18" s="238">
        <f>IF(AJ18&lt;&gt;"",IF(Info!#REF!="بله",V18*(LOOKUP(Info!$I$18,Rates!$O$2:$O$9,Rates!$L$2:$L$9)/100),V18*(LOOKUP(Info!$F$18,Rates!$O$2:$O$9,Rates!$L$2:$L$9)/100)),0)</f>
        <v/>
      </c>
      <c r="V18" s="239">
        <f>IF(AND(AJ18&lt;&gt;"",AJ18&lt;=Rates!$Y$8,Info!#REF!="بله"),AH18*(LOOKUP(AJ18,Rates!$T$2:$T$108,Rates!#REF!)),IF(AND(AK18&lt;&gt;"",AK18&lt;=Rates!$Y$8,Info!#REF!="خیر"),AH18*(LOOKUP(AK18,Rates!$T$2:$T$108,Rates!#REF!)),0)*(1-Info!$F$29))</f>
        <v/>
      </c>
      <c r="W18" s="239">
        <f>IF(AJ18&lt;&gt;"",X18*LOOKUP(Info!$I$18,Rates!$O$2:$O$9,Rates!$M$2:$M$9)/100,0)</f>
        <v/>
      </c>
      <c r="X18" s="239">
        <f>IF(AJ18&lt;=Rates!$Y$4,0.0008*AF18*Info!$F$12,0)</f>
        <v/>
      </c>
      <c r="Y18" s="239">
        <f>IF(AJ18&lt;&gt;"",Z18*(LOOKUP(Info!$I$18,Rates!$O$2:$O$9,Rates!$N$2:$N$9/100)),0)</f>
        <v/>
      </c>
      <c r="Z18" s="238">
        <f>IF(AND(AJ18&lt;=(Rates!$Y$3),AD18&lt;&gt;""),(1-Info!$I$27)*0.0008*AF18*Info!$I$12,0)</f>
        <v/>
      </c>
      <c r="AA18" s="238">
        <f>IF(AJ18&lt;=60,(LOOKUP(AJ18,Rates!$T$2:$T$108,Rates!#REF!))*AC18/1000000*(1-Info!$I$29),0)</f>
        <v/>
      </c>
      <c r="AB18" s="236">
        <f>IF(AJ18&lt;&gt;"",(AF18*LOOKUP(AJ18,Rates!$T$2:$T$108,Rates!$S$2:$S$108))/SQRT(1+IF(AL18&lt;=10,Rates!$Y$5,Rates!$Y$6)),"")</f>
        <v/>
      </c>
      <c r="AC18" s="240">
        <f>IF(AND(AJ18&lt;&gt;"",AJ18&lt;=Rates!$Y$2),MIN(0.5*AF18,300000000,AC17*(1+Info!$F$10)),"")</f>
        <v/>
      </c>
      <c r="AD18" s="240">
        <f>IF(AND(AJ18&lt;&gt;"",AJ18&lt;=60),AF18*Info!$L$16,"")</f>
        <v/>
      </c>
      <c r="AE18" s="68">
        <f>IF(AND(AJ18&lt;&gt;"",AJ18&lt;=70),AF18*(1+Info!$L$14),"")</f>
        <v/>
      </c>
      <c r="AF18" s="68">
        <f>IF(AJ18&lt;&gt;"",AF17*(1+Info!$F$10),"")</f>
        <v/>
      </c>
      <c r="AG18" s="51">
        <f>IF(AJ18&lt;&gt;"",AI18+AG17,"")</f>
        <v/>
      </c>
      <c r="AH18" s="42">
        <f>IF(AJ18&lt;&gt;"",AI18*Rates!$Y$9,"")</f>
        <v/>
      </c>
      <c r="AI18" s="51">
        <f>IF(AJ18&lt;&gt;"",AI17*(1+Info!$F$8),"")</f>
        <v/>
      </c>
      <c r="AJ18" s="57">
        <f>IF(AL18&lt;&gt;"",Info!$F$6+AL18-1,"")</f>
        <v/>
      </c>
      <c r="AK18" s="66">
        <f>IF(AL18&lt;&gt;"",Info!$C$6+AL18-1,"")</f>
        <v/>
      </c>
      <c r="AL18" s="69">
        <f>IF(AL17&lt;&gt;"",IF(AL17+1&lt;=Info!$I$6,AL17+1,""),"")</f>
        <v/>
      </c>
    </row>
    <row r="19">
      <c r="A19" s="236">
        <f>IF(AJ19&lt;&gt;"",D19+D19*(IF(AL19&gt;4,0.1,LOOKUP(Info!$C$10,Rates!$D$2:$D$4,Rates!$C$2:$C$4))+0.85*(Info!$I$22-(IF(AL19&gt;4,0.1,LOOKUP(Info!$C$10,Rates!$D$2:$D$4,Rates!$C$2:$C$4)))))*LOOKUP(Info!$C$8,Rates!$I$2:$I$7,Rates!$G$2:$G$7)+A18*(1+IF(AL19&gt;4,0.1,LOOKUP(Info!$C$10,Rates!$D$2:$D$4,Rates!$C$2:$C$4))+0.85*(Info!$I$22-IF(AL19&gt;4,0.1,LOOKUP(Info!$C$10,Rates!$D$2:$D$4,Rates!$C$2:$C$4)))),"")</f>
        <v/>
      </c>
      <c r="B19" s="236">
        <f>IF(AJ19&lt;&gt;"",IF(AL19&gt;=8,C19,C19*LOOKUP(AL19,Rates!$AG$2:$AG$8,Rates!$AF$2:$AF$8)),"")</f>
        <v/>
      </c>
      <c r="C19" s="236">
        <f>IF(AJ19&lt;&gt;"",D19*(1+IF(AL19&gt;4,0.1,LOOKUP(Info!$C$10,Rates!$D$2:$D$5,Rates!$B$2:$B$5))*LOOKUP(Info!$C$8,Rates!$I$2:$I$7,Rates!$G$2:$G$7))+C18*(1+IF(AL19&gt;4,0.1,LOOKUP(Info!$C$10,Rates!$D$2:$D$5,Rates!$B$2:$B$5))),"")</f>
        <v/>
      </c>
      <c r="D19" s="236">
        <f>IF(AJ19&lt;&gt;"",AI19-(H19+G19+F19+E19+P19+Q19)+IF(Info!$C$20&gt;0,IF(AND(AL19&lt;=Info!$F$20,AL19&gt;=Info!$I$20),Info!$C$20,0),0),"")</f>
        <v/>
      </c>
      <c r="E19" s="236">
        <f>IF(AJ19&lt;&gt;"",(LOOKUP(Info!$C$22,Rates!$AD$2:$AD$4,Rates!$AC$2:$AC$4))*(H19+P19+Q19),"")</f>
        <v/>
      </c>
      <c r="F19" s="236">
        <f>IF(AJ19&lt;&gt;"",(LOOKUP(Info!$C$22,Rates!$AD$2:$AD$4,Rates!$AA$2:$AA$4))*(H19+P19+Q19),"")</f>
        <v/>
      </c>
      <c r="G19" s="236">
        <f>IF(AJ19&lt;&gt;"",(LOOKUP(Info!$C$22,Rates!$AD$2:$AD$4,Rates!$AB$2:$AB$4))*(H19+P19+Q19),"")</f>
        <v/>
      </c>
      <c r="H19" s="236">
        <f>IF(AJ19&lt;&gt;"",I19+J19+AB19,"")</f>
        <v/>
      </c>
      <c r="I19" s="236">
        <f>IF(AJ19&lt;&gt;"",LOOKUP(Info!$C$8,Rates!$I$2:$I$7,Rates!$H$2:$H$7)*(J19+P19+Q19+AB19),"")</f>
        <v/>
      </c>
      <c r="J19" s="244">
        <f>IF(L19="",0,L19)+IF(N19="",0,N19)+IF(O19="",0,O19)</f>
        <v/>
      </c>
      <c r="K19" s="244">
        <f>M19+0.7*M18+0.7*0.5*M17+0.7*0.25*M16+0.7*0.25*M15</f>
        <v/>
      </c>
      <c r="L19" s="244">
        <f>IF(M19&lt;&gt;"",L18+40/100*M18+M19-17.5/100*M14,0)</f>
        <v/>
      </c>
      <c r="M19" s="244">
        <f>IF(AND(AI19&lt;&gt;"",AL19&lt;=10),(1-Info!$C$25)*MIN(30/1000*(AF19-AF18),0.75*(AI19-AI18)),0)</f>
        <v/>
      </c>
      <c r="N19" s="244" t="n">
        <v>0</v>
      </c>
      <c r="O19" s="244">
        <f>IF(AJ19&lt;&gt;"",0.07*AI19*(1-Info!$F$25),0)</f>
        <v/>
      </c>
      <c r="P19" s="238">
        <f>IF(AJ19&lt;&gt;"",Y19+W19+U19+S19+R19,0)</f>
        <v/>
      </c>
      <c r="Q19" s="238">
        <f>IF(AJ19&lt;&gt;"",AA19+Z19+X19+V19+T19,0)</f>
        <v/>
      </c>
      <c r="R19" s="238">
        <f>IF(AJ19&lt;&gt;"",(AB19+AA19+V19+T19)*Info!$L$20,0)</f>
        <v/>
      </c>
      <c r="S19" s="238">
        <f>IF(AJ19&lt;&gt;"",T19*(LOOKUP(Info!$I$18,Rates!$O$2:$O$9,Rates!$L$2:$L$9)/100),0)</f>
        <v/>
      </c>
      <c r="T19" s="238">
        <f>IF(AJ19&lt;&gt;"",IF(Info!$F$14="بله",V19*Rates!$Y$7,0),0)</f>
        <v/>
      </c>
      <c r="U19" s="238">
        <f>IF(AJ19&lt;&gt;"",IF(Info!#REF!="بله",V19*(LOOKUP(Info!$I$18,Rates!$O$2:$O$9,Rates!$L$2:$L$9)/100),V19*(LOOKUP(Info!$F$18,Rates!$O$2:$O$9,Rates!$L$2:$L$9)/100)),0)</f>
        <v/>
      </c>
      <c r="V19" s="239">
        <f>IF(AND(AJ19&lt;&gt;"",AJ19&lt;=Rates!$Y$8,Info!#REF!="بله"),AH19*(LOOKUP(AJ19,Rates!$T$2:$T$108,Rates!#REF!)),IF(AND(AK19&lt;&gt;"",AK19&lt;=Rates!$Y$8,Info!#REF!="خیر"),AH19*(LOOKUP(AK19,Rates!$T$2:$T$108,Rates!#REF!)),0)*(1-Info!$F$29))</f>
        <v/>
      </c>
      <c r="W19" s="239">
        <f>IF(AJ19&lt;&gt;"",X19*LOOKUP(Info!$I$18,Rates!$O$2:$O$9,Rates!$M$2:$M$9)/100,0)</f>
        <v/>
      </c>
      <c r="X19" s="239">
        <f>IF(AJ19&lt;=Rates!$Y$4,0.0008*AF19*Info!$F$12,0)</f>
        <v/>
      </c>
      <c r="Y19" s="239">
        <f>IF(AJ19&lt;&gt;"",Z19*(LOOKUP(Info!$I$18,Rates!$O$2:$O$9,Rates!$N$2:$N$9/100)),0)</f>
        <v/>
      </c>
      <c r="Z19" s="238">
        <f>IF(AND(AJ19&lt;=(Rates!$Y$3),AD19&lt;&gt;""),(1-Info!$I$27)*0.0008*AF19*Info!$I$12,0)</f>
        <v/>
      </c>
      <c r="AA19" s="238">
        <f>IF(AJ19&lt;=60,(LOOKUP(AJ19,Rates!$T$2:$T$108,Rates!#REF!))*AC19/1000000*(1-Info!$I$29),0)</f>
        <v/>
      </c>
      <c r="AB19" s="236">
        <f>IF(AJ19&lt;&gt;"",(AF19*LOOKUP(AJ19,Rates!$T$2:$T$108,Rates!$S$2:$S$108))/SQRT(1+IF(AL19&lt;=10,Rates!$Y$5,Rates!$Y$6)),"")</f>
        <v/>
      </c>
      <c r="AC19" s="240">
        <f>IF(AND(AJ19&lt;&gt;"",AJ19&lt;=Rates!$Y$2),MIN(0.5*AF19,300000000,AC18*(1+Info!$F$10)),"")</f>
        <v/>
      </c>
      <c r="AD19" s="240">
        <f>IF(AND(AJ19&lt;&gt;"",AJ19&lt;=60),AF19*Info!$L$16,"")</f>
        <v/>
      </c>
      <c r="AE19" s="68">
        <f>IF(AND(AJ19&lt;&gt;"",AJ19&lt;=70),AF19*(1+Info!$L$14),"")</f>
        <v/>
      </c>
      <c r="AF19" s="68">
        <f>IF(AJ19&lt;&gt;"",AF18*(1+Info!$F$10),"")</f>
        <v/>
      </c>
      <c r="AG19" s="51">
        <f>IF(AJ19&lt;&gt;"",AI19+AG18,"")</f>
        <v/>
      </c>
      <c r="AH19" s="42">
        <f>IF(AJ19&lt;&gt;"",AI19*Rates!$Y$9,"")</f>
        <v/>
      </c>
      <c r="AI19" s="51">
        <f>IF(AJ19&lt;&gt;"",AI18*(1+Info!$F$8),"")</f>
        <v/>
      </c>
      <c r="AJ19" s="57">
        <f>IF(AL19&lt;&gt;"",Info!$F$6+AL19-1,"")</f>
        <v/>
      </c>
      <c r="AK19" s="66">
        <f>IF(AL19&lt;&gt;"",Info!$C$6+AL19-1,"")</f>
        <v/>
      </c>
      <c r="AL19" s="69">
        <f>IF(AL18&lt;&gt;"",IF(AL18+1&lt;=Info!$I$6,AL18+1,""),"")</f>
        <v/>
      </c>
    </row>
    <row r="20">
      <c r="A20" s="236">
        <f>IF(AJ20&lt;&gt;"",D20+D20*(IF(AL20&gt;4,0.1,LOOKUP(Info!$C$10,Rates!$D$2:$D$4,Rates!$C$2:$C$4))+0.85*(Info!$I$22-(IF(AL20&gt;4,0.1,LOOKUP(Info!$C$10,Rates!$D$2:$D$4,Rates!$C$2:$C$4)))))*LOOKUP(Info!$C$8,Rates!$I$2:$I$7,Rates!$G$2:$G$7)+A19*(1+IF(AL20&gt;4,0.1,LOOKUP(Info!$C$10,Rates!$D$2:$D$4,Rates!$C$2:$C$4))+0.85*(Info!$I$22-IF(AL20&gt;4,0.1,LOOKUP(Info!$C$10,Rates!$D$2:$D$4,Rates!$C$2:$C$4)))),"")</f>
        <v/>
      </c>
      <c r="B20" s="236">
        <f>IF(AJ20&lt;&gt;"",IF(AL20&gt;=8,C20,C20*LOOKUP(AL20,Rates!$AG$2:$AG$8,Rates!$AF$2:$AF$8)),"")</f>
        <v/>
      </c>
      <c r="C20" s="236">
        <f>IF(AJ20&lt;&gt;"",D20*(1+IF(AL20&gt;4,0.1,LOOKUP(Info!$C$10,Rates!$D$2:$D$5,Rates!$B$2:$B$5))*LOOKUP(Info!$C$8,Rates!$I$2:$I$7,Rates!$G$2:$G$7))+C19*(1+IF(AL20&gt;4,0.1,LOOKUP(Info!$C$10,Rates!$D$2:$D$5,Rates!$B$2:$B$5))),"")</f>
        <v/>
      </c>
      <c r="D20" s="236">
        <f>IF(AJ20&lt;&gt;"",AI20-(H20+G20+F20+E20+P20+Q20)+IF(Info!$C$20&gt;0,IF(AND(AL20&lt;=Info!$F$20,AL20&gt;=Info!$I$20),Info!$C$20,0),0),"")</f>
        <v/>
      </c>
      <c r="E20" s="236">
        <f>IF(AJ20&lt;&gt;"",(LOOKUP(Info!$C$22,Rates!$AD$2:$AD$4,Rates!$AC$2:$AC$4))*(H20+P20+Q20),"")</f>
        <v/>
      </c>
      <c r="F20" s="236">
        <f>IF(AJ20&lt;&gt;"",(LOOKUP(Info!$C$22,Rates!$AD$2:$AD$4,Rates!$AA$2:$AA$4))*(H20+P20+Q20),"")</f>
        <v/>
      </c>
      <c r="G20" s="236">
        <f>IF(AJ20&lt;&gt;"",(LOOKUP(Info!$C$22,Rates!$AD$2:$AD$4,Rates!$AB$2:$AB$4))*(H20+P20+Q20),"")</f>
        <v/>
      </c>
      <c r="H20" s="236">
        <f>IF(AJ20&lt;&gt;"",I20+J20+AB20,"")</f>
        <v/>
      </c>
      <c r="I20" s="236">
        <f>IF(AJ20&lt;&gt;"",LOOKUP(Info!$C$8,Rates!$I$2:$I$7,Rates!$H$2:$H$7)*(J20+P20+Q20+AB20),"")</f>
        <v/>
      </c>
      <c r="J20" s="244">
        <f>IF(L20="",0,L20)+IF(N20="",0,N20)+IF(O20="",0,O20)</f>
        <v/>
      </c>
      <c r="K20" s="244">
        <f>M20+0.7*M19+0.7*0.5*M18+0.7*0.25*M17+0.7*0.25*M16</f>
        <v/>
      </c>
      <c r="L20" s="244">
        <f>IF(M20&lt;&gt;"",L19+40/100*M19+M20-17.5/100*M15,0)</f>
        <v/>
      </c>
      <c r="M20" s="244">
        <f>IF(AND(AI20&lt;&gt;"",AL20&lt;=10),(1-Info!$C$25)*MIN(30/1000*(AF20-AF19),0.75*(AI20-AI19)),0)</f>
        <v/>
      </c>
      <c r="N20" s="244" t="n">
        <v>0</v>
      </c>
      <c r="O20" s="244">
        <f>IF(AJ20&lt;&gt;"",0.07*AI20*(1-Info!$F$25),0)</f>
        <v/>
      </c>
      <c r="P20" s="238">
        <f>IF(AJ20&lt;&gt;"",Y20+W20+U20+S20+R20,0)</f>
        <v/>
      </c>
      <c r="Q20" s="238">
        <f>IF(AJ20&lt;&gt;"",AA20+Z20+X20+V20+T20,0)</f>
        <v/>
      </c>
      <c r="R20" s="238">
        <f>IF(AJ20&lt;&gt;"",(AB20+AA20+V20+T20)*Info!$L$20,0)</f>
        <v/>
      </c>
      <c r="S20" s="238">
        <f>IF(AJ20&lt;&gt;"",T20*(LOOKUP(Info!$I$18,Rates!$O$2:$O$9,Rates!$L$2:$L$9)/100),0)</f>
        <v/>
      </c>
      <c r="T20" s="238">
        <f>IF(AJ20&lt;&gt;"",IF(Info!$F$14="بله",V20*Rates!$Y$7,0),0)</f>
        <v/>
      </c>
      <c r="U20" s="238">
        <f>IF(AJ20&lt;&gt;"",IF(Info!#REF!="بله",V20*(LOOKUP(Info!$I$18,Rates!$O$2:$O$9,Rates!$L$2:$L$9)/100),V20*(LOOKUP(Info!$F$18,Rates!$O$2:$O$9,Rates!$L$2:$L$9)/100)),0)</f>
        <v/>
      </c>
      <c r="V20" s="239">
        <f>IF(AND(AJ20&lt;&gt;"",AJ20&lt;=Rates!$Y$8,Info!#REF!="بله"),AH20*(LOOKUP(AJ20,Rates!$T$2:$T$108,Rates!#REF!)),IF(AND(AK20&lt;&gt;"",AK20&lt;=Rates!$Y$8,Info!#REF!="خیر"),AH20*(LOOKUP(AK20,Rates!$T$2:$T$108,Rates!#REF!)),0)*(1-Info!$F$29))</f>
        <v/>
      </c>
      <c r="W20" s="239">
        <f>IF(AJ20&lt;&gt;"",X20*LOOKUP(Info!$I$18,Rates!$O$2:$O$9,Rates!$M$2:$M$9)/100,0)</f>
        <v/>
      </c>
      <c r="X20" s="239">
        <f>IF(AJ20&lt;=Rates!$Y$4,0.0008*AF20*Info!$F$12,0)</f>
        <v/>
      </c>
      <c r="Y20" s="239">
        <f>IF(AJ20&lt;&gt;"",Z20*(LOOKUP(Info!$I$18,Rates!$O$2:$O$9,Rates!$N$2:$N$9/100)),0)</f>
        <v/>
      </c>
      <c r="Z20" s="238">
        <f>IF(AND(AJ20&lt;=(Rates!$Y$3),AD20&lt;&gt;""),(1-Info!$I$27)*0.0008*AF20*Info!$I$12,0)</f>
        <v/>
      </c>
      <c r="AA20" s="238">
        <f>IF(AJ20&lt;=60,(LOOKUP(AJ20,Rates!$T$2:$T$108,Rates!#REF!))*AC20/1000000*(1-Info!$I$29),0)</f>
        <v/>
      </c>
      <c r="AB20" s="236">
        <f>IF(AJ20&lt;&gt;"",(AF20*LOOKUP(AJ20,Rates!$T$2:$T$108,Rates!$S$2:$S$108))/SQRT(1+IF(AL20&lt;=10,Rates!$Y$5,Rates!$Y$6)),"")</f>
        <v/>
      </c>
      <c r="AC20" s="240">
        <f>IF(AND(AJ20&lt;&gt;"",AJ20&lt;=Rates!$Y$2),MIN(0.5*AF20,300000000,AC19*(1+Info!$F$10)),"")</f>
        <v/>
      </c>
      <c r="AD20" s="240">
        <f>IF(AND(AJ20&lt;&gt;"",AJ20&lt;=60),AF20*Info!$L$16,"")</f>
        <v/>
      </c>
      <c r="AE20" s="68">
        <f>IF(AND(AJ20&lt;&gt;"",AJ20&lt;=70),AF20*(1+Info!$L$14),"")</f>
        <v/>
      </c>
      <c r="AF20" s="68">
        <f>IF(AJ20&lt;&gt;"",AF19*(1+Info!$F$10),"")</f>
        <v/>
      </c>
      <c r="AG20" s="51">
        <f>IF(AJ20&lt;&gt;"",AI20+AG19,"")</f>
        <v/>
      </c>
      <c r="AH20" s="42">
        <f>IF(AJ20&lt;&gt;"",AI20*Rates!$Y$9,"")</f>
        <v/>
      </c>
      <c r="AI20" s="51">
        <f>IF(AJ20&lt;&gt;"",AI19*(1+Info!$F$8),"")</f>
        <v/>
      </c>
      <c r="AJ20" s="57">
        <f>IF(AL20&lt;&gt;"",Info!$F$6+AL20-1,"")</f>
        <v/>
      </c>
      <c r="AK20" s="66">
        <f>IF(AL20&lt;&gt;"",Info!$C$6+AL20-1,"")</f>
        <v/>
      </c>
      <c r="AL20" s="69">
        <f>IF(AL19&lt;&gt;"",IF(AL19+1&lt;=Info!$I$6,AL19+1,""),"")</f>
        <v/>
      </c>
    </row>
    <row r="21">
      <c r="A21" s="236">
        <f>IF(AJ21&lt;&gt;"",D21+D21*(IF(AL21&gt;4,0.1,LOOKUP(Info!$C$10,Rates!$D$2:$D$4,Rates!$C$2:$C$4))+0.85*(Info!$I$22-(IF(AL21&gt;4,0.1,LOOKUP(Info!$C$10,Rates!$D$2:$D$4,Rates!$C$2:$C$4)))))*LOOKUP(Info!$C$8,Rates!$I$2:$I$7,Rates!$G$2:$G$7)+A20*(1+IF(AL21&gt;4,0.1,LOOKUP(Info!$C$10,Rates!$D$2:$D$4,Rates!$C$2:$C$4))+0.85*(Info!$I$22-IF(AL21&gt;4,0.1,LOOKUP(Info!$C$10,Rates!$D$2:$D$4,Rates!$C$2:$C$4)))),"")</f>
        <v/>
      </c>
      <c r="B21" s="236">
        <f>IF(AJ21&lt;&gt;"",IF(AL21&gt;=8,C21,C21*LOOKUP(AL21,Rates!$AG$2:$AG$8,Rates!$AF$2:$AF$8)),"")</f>
        <v/>
      </c>
      <c r="C21" s="236">
        <f>IF(AJ21&lt;&gt;"",D21*(1+IF(AL21&gt;4,0.1,LOOKUP(Info!$C$10,Rates!$D$2:$D$5,Rates!$B$2:$B$5))*LOOKUP(Info!$C$8,Rates!$I$2:$I$7,Rates!$G$2:$G$7))+C20*(1+IF(AL21&gt;4,0.1,LOOKUP(Info!$C$10,Rates!$D$2:$D$5,Rates!$B$2:$B$5))),"")</f>
        <v/>
      </c>
      <c r="D21" s="236">
        <f>IF(AJ21&lt;&gt;"",AI21-(H21+G21+F21+E21+P21+Q21)+IF(Info!$C$20&gt;0,IF(AND(AL21&lt;=Info!$F$20,AL21&gt;=Info!$I$20),Info!$C$20,0),0),"")</f>
        <v/>
      </c>
      <c r="E21" s="236">
        <f>IF(AJ21&lt;&gt;"",(LOOKUP(Info!$C$22,Rates!$AD$2:$AD$4,Rates!$AC$2:$AC$4))*(H21+P21+Q21),"")</f>
        <v/>
      </c>
      <c r="F21" s="236">
        <f>IF(AJ21&lt;&gt;"",(LOOKUP(Info!$C$22,Rates!$AD$2:$AD$4,Rates!$AA$2:$AA$4))*(H21+P21+Q21),"")</f>
        <v/>
      </c>
      <c r="G21" s="236">
        <f>IF(AJ21&lt;&gt;"",(LOOKUP(Info!$C$22,Rates!$AD$2:$AD$4,Rates!$AB$2:$AB$4))*(H21+P21+Q21),"")</f>
        <v/>
      </c>
      <c r="H21" s="236">
        <f>IF(AJ21&lt;&gt;"",I21+J21+AB21,"")</f>
        <v/>
      </c>
      <c r="I21" s="236">
        <f>IF(AJ21&lt;&gt;"",LOOKUP(Info!$C$8,Rates!$I$2:$I$7,Rates!$H$2:$H$7)*(J21+P21+Q21+AB21),"")</f>
        <v/>
      </c>
      <c r="J21" s="244">
        <f>IF(L21="",0,L21)+IF(N21="",0,N21)+IF(O21="",0,O21)</f>
        <v/>
      </c>
      <c r="K21" s="244">
        <f>M21+0.7*M20+0.7*0.5*M19+0.7*0.25*M18+0.7*0.25*M17</f>
        <v/>
      </c>
      <c r="L21" s="244">
        <f>IF(M21&lt;&gt;"",L20+40/100*M20+M21-17.5/100*M16,0)</f>
        <v/>
      </c>
      <c r="M21" s="244">
        <f>IF(AND(AI21&lt;&gt;"",AL21&lt;=10),(1-Info!$C$25)*MIN(30/1000*(AF21-AF20),0.75*(AI21-AI20)),0)</f>
        <v/>
      </c>
      <c r="N21" s="244" t="n">
        <v>0</v>
      </c>
      <c r="O21" s="244">
        <f>IF(AJ21&lt;&gt;"",0.07*AI21*(1-Info!$F$25),0)</f>
        <v/>
      </c>
      <c r="P21" s="238">
        <f>IF(AJ21&lt;&gt;"",Y21+W21+U21+S21+R21,0)</f>
        <v/>
      </c>
      <c r="Q21" s="238">
        <f>IF(AJ21&lt;&gt;"",AA21+Z21+X21+V21+T21,0)</f>
        <v/>
      </c>
      <c r="R21" s="238">
        <f>IF(AJ21&lt;&gt;"",(AB21+AA21+V21+T21)*Info!$L$20,0)</f>
        <v/>
      </c>
      <c r="S21" s="238">
        <f>IF(AJ21&lt;&gt;"",T21*(LOOKUP(Info!$I$18,Rates!$O$2:$O$9,Rates!$L$2:$L$9)/100),0)</f>
        <v/>
      </c>
      <c r="T21" s="238">
        <f>IF(AJ21&lt;&gt;"",IF(Info!$F$14="بله",V21*Rates!$Y$7,0),0)</f>
        <v/>
      </c>
      <c r="U21" s="238">
        <f>IF(AJ21&lt;&gt;"",IF(Info!#REF!="بله",V21*(LOOKUP(Info!$I$18,Rates!$O$2:$O$9,Rates!$L$2:$L$9)/100),V21*(LOOKUP(Info!$F$18,Rates!$O$2:$O$9,Rates!$L$2:$L$9)/100)),0)</f>
        <v/>
      </c>
      <c r="V21" s="239">
        <f>IF(AND(AJ21&lt;&gt;"",AJ21&lt;=Rates!$Y$8,Info!#REF!="بله"),AH21*(LOOKUP(AJ21,Rates!$T$2:$T$108,Rates!#REF!)),IF(AND(AK21&lt;&gt;"",AK21&lt;=Rates!$Y$8,Info!#REF!="خیر"),AH21*(LOOKUP(AK21,Rates!$T$2:$T$108,Rates!#REF!)),0)*(1-Info!$F$29))</f>
        <v/>
      </c>
      <c r="W21" s="239">
        <f>IF(AJ21&lt;&gt;"",X21*LOOKUP(Info!$I$18,Rates!$O$2:$O$9,Rates!$M$2:$M$9)/100,0)</f>
        <v/>
      </c>
      <c r="X21" s="239">
        <f>IF(AJ21&lt;=Rates!$Y$4,0.0008*AF21*Info!$F$12,0)</f>
        <v/>
      </c>
      <c r="Y21" s="239">
        <f>IF(AJ21&lt;&gt;"",Z21*(LOOKUP(Info!$I$18,Rates!$O$2:$O$9,Rates!$N$2:$N$9/100)),0)</f>
        <v/>
      </c>
      <c r="Z21" s="238">
        <f>IF(AND(AJ21&lt;=(Rates!$Y$3),AD21&lt;&gt;""),(1-Info!$I$27)*0.0008*AF21*Info!$I$12,0)</f>
        <v/>
      </c>
      <c r="AA21" s="238">
        <f>IF(AJ21&lt;=60,(LOOKUP(AJ21,Rates!$T$2:$T$108,Rates!#REF!))*AC21/1000000*(1-Info!$I$29),0)</f>
        <v/>
      </c>
      <c r="AB21" s="236">
        <f>IF(AJ21&lt;&gt;"",(AF21*LOOKUP(AJ21,Rates!$T$2:$T$108,Rates!$S$2:$S$108))/SQRT(1+IF(AL21&lt;=10,Rates!$Y$5,Rates!$Y$6)),"")</f>
        <v/>
      </c>
      <c r="AC21" s="240">
        <f>IF(AND(AJ21&lt;&gt;"",AJ21&lt;=Rates!$Y$2),MIN(0.5*AF21,300000000,AC20*(1+Info!$F$10)),"")</f>
        <v/>
      </c>
      <c r="AD21" s="240">
        <f>IF(AND(AJ21&lt;&gt;"",AJ21&lt;=60),AF21*Info!$L$16,"")</f>
        <v/>
      </c>
      <c r="AE21" s="68">
        <f>IF(AND(AJ21&lt;&gt;"",AJ21&lt;=70),AF21*(1+Info!$L$14),"")</f>
        <v/>
      </c>
      <c r="AF21" s="68">
        <f>IF(AJ21&lt;&gt;"",AF20*(1+Info!$F$10),"")</f>
        <v/>
      </c>
      <c r="AG21" s="51">
        <f>IF(AJ21&lt;&gt;"",AI21+AG20,"")</f>
        <v/>
      </c>
      <c r="AH21" s="42">
        <f>IF(AJ21&lt;&gt;"",AI21*Rates!$Y$9,"")</f>
        <v/>
      </c>
      <c r="AI21" s="51">
        <f>IF(AJ21&lt;&gt;"",AI20*(1+Info!$F$8),"")</f>
        <v/>
      </c>
      <c r="AJ21" s="57">
        <f>IF(AL21&lt;&gt;"",Info!$F$6+AL21-1,"")</f>
        <v/>
      </c>
      <c r="AK21" s="66">
        <f>IF(AL21&lt;&gt;"",Info!$C$6+AL21-1,"")</f>
        <v/>
      </c>
      <c r="AL21" s="69">
        <f>IF(AL20&lt;&gt;"",IF(AL20+1&lt;=Info!$I$6,AL20+1,""),"")</f>
        <v/>
      </c>
    </row>
    <row r="22">
      <c r="A22" s="236">
        <f>IF(AJ22&lt;&gt;"",D22+D22*(IF(AL22&gt;4,0.1,LOOKUP(Info!$C$10,Rates!$D$2:$D$4,Rates!$C$2:$C$4))+0.85*(Info!$I$22-(IF(AL22&gt;4,0.1,LOOKUP(Info!$C$10,Rates!$D$2:$D$4,Rates!$C$2:$C$4)))))*LOOKUP(Info!$C$8,Rates!$I$2:$I$7,Rates!$G$2:$G$7)+A21*(1+IF(AL22&gt;4,0.1,LOOKUP(Info!$C$10,Rates!$D$2:$D$4,Rates!$C$2:$C$4))+0.85*(Info!$I$22-IF(AL22&gt;4,0.1,LOOKUP(Info!$C$10,Rates!$D$2:$D$4,Rates!$C$2:$C$4)))),"")</f>
        <v/>
      </c>
      <c r="B22" s="236">
        <f>IF(AJ22&lt;&gt;"",IF(AL22&gt;=8,C22,C22*LOOKUP(AL22,Rates!$AG$2:$AG$8,Rates!$AF$2:$AF$8)),"")</f>
        <v/>
      </c>
      <c r="C22" s="236">
        <f>IF(AJ22&lt;&gt;"",D22*(1+IF(AL22&gt;4,0.1,LOOKUP(Info!$C$10,Rates!$D$2:$D$5,Rates!$B$2:$B$5))*LOOKUP(Info!$C$8,Rates!$I$2:$I$7,Rates!$G$2:$G$7))+C21*(1+IF(AL22&gt;4,0.1,LOOKUP(Info!$C$10,Rates!$D$2:$D$5,Rates!$B$2:$B$5))),"")</f>
        <v/>
      </c>
      <c r="D22" s="236">
        <f>IF(AJ22&lt;&gt;"",AI22-(H22+G22+F22+E22+P22+Q22)+IF(Info!$C$20&gt;0,IF(AND(AL22&lt;=Info!$F$20,AL22&gt;=Info!$I$20),Info!$C$20,0),0),"")</f>
        <v/>
      </c>
      <c r="E22" s="236">
        <f>IF(AJ22&lt;&gt;"",(LOOKUP(Info!$C$22,Rates!$AD$2:$AD$4,Rates!$AC$2:$AC$4))*(H22+P22+Q22),"")</f>
        <v/>
      </c>
      <c r="F22" s="236">
        <f>IF(AJ22&lt;&gt;"",(LOOKUP(Info!$C$22,Rates!$AD$2:$AD$4,Rates!$AA$2:$AA$4))*(H22+P22+Q22),"")</f>
        <v/>
      </c>
      <c r="G22" s="236">
        <f>IF(AJ22&lt;&gt;"",(LOOKUP(Info!$C$22,Rates!$AD$2:$AD$4,Rates!$AB$2:$AB$4))*(H22+P22+Q22),"")</f>
        <v/>
      </c>
      <c r="H22" s="236">
        <f>IF(AJ22&lt;&gt;"",I22+J22+AB22,"")</f>
        <v/>
      </c>
      <c r="I22" s="236">
        <f>IF(AJ22&lt;&gt;"",LOOKUP(Info!$C$8,Rates!$I$2:$I$7,Rates!$H$2:$H$7)*(J22+P22+Q22+AB22),"")</f>
        <v/>
      </c>
      <c r="J22" s="244">
        <f>IF(L22="",0,L22)+IF(N22="",0,N22)+IF(O22="",0,O22)</f>
        <v/>
      </c>
      <c r="K22" s="244">
        <f>M22+0.7*M21+0.7*0.5*M20+0.7*0.25*M19+0.7*0.25*M18</f>
        <v/>
      </c>
      <c r="L22" s="244">
        <f>IF(M22&lt;&gt;"",L21+40/100*M21+M22-17.5/100*M17,0)</f>
        <v/>
      </c>
      <c r="M22" s="244">
        <f>IF(AND(AI22&lt;&gt;"",AL22&lt;=10),(1-Info!$C$25)*MIN(30/1000*(AF22-AF21),0.75*(AI22-AI21)),0)</f>
        <v/>
      </c>
      <c r="N22" s="244" t="n">
        <v>0</v>
      </c>
      <c r="O22" s="244">
        <f>IF(AJ22&lt;&gt;"",0.07*AI22*(1-Info!$F$25),0)</f>
        <v/>
      </c>
      <c r="P22" s="238">
        <f>IF(AJ22&lt;&gt;"",Y22+W22+U22+S22+R22,0)</f>
        <v/>
      </c>
      <c r="Q22" s="238">
        <f>IF(AJ22&lt;&gt;"",AA22+Z22+X22+V22+T22,0)</f>
        <v/>
      </c>
      <c r="R22" s="238">
        <f>IF(AJ22&lt;&gt;"",(AB22+AA22+V22+T22)*Info!$L$20,0)</f>
        <v/>
      </c>
      <c r="S22" s="238">
        <f>IF(AJ22&lt;&gt;"",T22*(LOOKUP(Info!$I$18,Rates!$O$2:$O$9,Rates!$L$2:$L$9)/100),0)</f>
        <v/>
      </c>
      <c r="T22" s="238">
        <f>IF(AJ22&lt;&gt;"",IF(Info!$F$14="بله",V22*Rates!$Y$7,0),0)</f>
        <v/>
      </c>
      <c r="U22" s="238">
        <f>IF(AJ22&lt;&gt;"",IF(Info!#REF!="بله",V22*(LOOKUP(Info!$I$18,Rates!$O$2:$O$9,Rates!$L$2:$L$9)/100),V22*(LOOKUP(Info!$F$18,Rates!$O$2:$O$9,Rates!$L$2:$L$9)/100)),0)</f>
        <v/>
      </c>
      <c r="V22" s="239">
        <f>IF(AND(AJ22&lt;&gt;"",AJ22&lt;=Rates!$Y$8,Info!#REF!="بله"),AH22*(LOOKUP(AJ22,Rates!$T$2:$T$108,Rates!#REF!)),IF(AND(AK22&lt;&gt;"",AK22&lt;=Rates!$Y$8,Info!#REF!="خیر"),AH22*(LOOKUP(AK22,Rates!$T$2:$T$108,Rates!#REF!)),0)*(1-Info!$F$29))</f>
        <v/>
      </c>
      <c r="W22" s="239">
        <f>IF(AJ22&lt;&gt;"",X22*LOOKUP(Info!$I$18,Rates!$O$2:$O$9,Rates!$M$2:$M$9)/100,0)</f>
        <v/>
      </c>
      <c r="X22" s="239">
        <f>IF(AJ22&lt;=Rates!$Y$4,0.0008*AF22*Info!$F$12,0)</f>
        <v/>
      </c>
      <c r="Y22" s="239">
        <f>IF(AJ22&lt;&gt;"",Z22*(LOOKUP(Info!$I$18,Rates!$O$2:$O$9,Rates!$N$2:$N$9/100)),0)</f>
        <v/>
      </c>
      <c r="Z22" s="238">
        <f>IF(AND(AJ22&lt;=(Rates!$Y$3),AD22&lt;&gt;""),(1-Info!$I$27)*0.0008*AF22*Info!$I$12,0)</f>
        <v/>
      </c>
      <c r="AA22" s="238">
        <f>IF(AJ22&lt;=60,(LOOKUP(AJ22,Rates!$T$2:$T$108,Rates!#REF!))*AC22/1000000*(1-Info!$I$29),0)</f>
        <v/>
      </c>
      <c r="AB22" s="236">
        <f>IF(AJ22&lt;&gt;"",(AF22*LOOKUP(AJ22,Rates!$T$2:$T$108,Rates!$S$2:$S$108))/SQRT(1+IF(AL22&lt;=10,Rates!$Y$5,Rates!$Y$6)),"")</f>
        <v/>
      </c>
      <c r="AC22" s="240">
        <f>IF(AND(AJ22&lt;&gt;"",AJ22&lt;=Rates!$Y$2),MIN(0.5*AF22,300000000,AC21*(1+Info!$F$10)),"")</f>
        <v/>
      </c>
      <c r="AD22" s="240">
        <f>IF(AND(AJ22&lt;&gt;"",AJ22&lt;=60),AF22*Info!$L$16,"")</f>
        <v/>
      </c>
      <c r="AE22" s="68">
        <f>IF(AND(AJ22&lt;&gt;"",AJ22&lt;=70),AF22*(1+Info!$L$14),"")</f>
        <v/>
      </c>
      <c r="AF22" s="68">
        <f>IF(AJ22&lt;&gt;"",AF21*(1+Info!$F$10),"")</f>
        <v/>
      </c>
      <c r="AG22" s="51">
        <f>IF(AJ22&lt;&gt;"",AI22+AG21,"")</f>
        <v/>
      </c>
      <c r="AH22" s="42">
        <f>IF(AJ22&lt;&gt;"",AI22*Rates!$Y$9,"")</f>
        <v/>
      </c>
      <c r="AI22" s="51">
        <f>IF(AJ22&lt;&gt;"",AI21*(1+Info!$F$8),"")</f>
        <v/>
      </c>
      <c r="AJ22" s="57">
        <f>IF(AL22&lt;&gt;"",Info!$F$6+AL22-1,"")</f>
        <v/>
      </c>
      <c r="AK22" s="66">
        <f>IF(AL22&lt;&gt;"",Info!$C$6+AL22-1,"")</f>
        <v/>
      </c>
      <c r="AL22" s="69">
        <f>IF(AL21&lt;&gt;"",IF(AL21+1&lt;=Info!$I$6,AL21+1,""),"")</f>
        <v/>
      </c>
    </row>
    <row r="23">
      <c r="A23" s="236">
        <f>IF(AJ23&lt;&gt;"",D23+D23*(IF(AL23&gt;4,0.1,LOOKUP(Info!$C$10,Rates!$D$2:$D$4,Rates!$C$2:$C$4))+0.85*(Info!$I$22-(IF(AL23&gt;4,0.1,LOOKUP(Info!$C$10,Rates!$D$2:$D$4,Rates!$C$2:$C$4)))))*LOOKUP(Info!$C$8,Rates!$I$2:$I$7,Rates!$G$2:$G$7)+A22*(1+IF(AL23&gt;4,0.1,LOOKUP(Info!$C$10,Rates!$D$2:$D$4,Rates!$C$2:$C$4))+0.85*(Info!$I$22-IF(AL23&gt;4,0.1,LOOKUP(Info!$C$10,Rates!$D$2:$D$4,Rates!$C$2:$C$4)))),"")</f>
        <v/>
      </c>
      <c r="B23" s="236">
        <f>IF(AJ23&lt;&gt;"",IF(AL23&gt;=8,C23,C23*LOOKUP(AL23,Rates!$AG$2:$AG$8,Rates!$AF$2:$AF$8)),"")</f>
        <v/>
      </c>
      <c r="C23" s="236">
        <f>IF(AJ23&lt;&gt;"",D23*(1+IF(AL23&gt;4,0.1,LOOKUP(Info!$C$10,Rates!$D$2:$D$5,Rates!$B$2:$B$5))*LOOKUP(Info!$C$8,Rates!$I$2:$I$7,Rates!$G$2:$G$7))+C22*(1+IF(AL23&gt;4,0.1,LOOKUP(Info!$C$10,Rates!$D$2:$D$5,Rates!$B$2:$B$5))),"")</f>
        <v/>
      </c>
      <c r="D23" s="236">
        <f>IF(AJ23&lt;&gt;"",AI23-(H23+G23+F23+E23+P23+Q23)+IF(Info!$C$20&gt;0,IF(AND(AL23&lt;=Info!$F$20,AL23&gt;=Info!$I$20),Info!$C$20,0),0),"")</f>
        <v/>
      </c>
      <c r="E23" s="236">
        <f>IF(AJ23&lt;&gt;"",(LOOKUP(Info!$C$22,Rates!$AD$2:$AD$4,Rates!$AC$2:$AC$4))*(H23+P23+Q23),"")</f>
        <v/>
      </c>
      <c r="F23" s="236">
        <f>IF(AJ23&lt;&gt;"",(LOOKUP(Info!$C$22,Rates!$AD$2:$AD$4,Rates!$AA$2:$AA$4))*(H23+P23+Q23),"")</f>
        <v/>
      </c>
      <c r="G23" s="236">
        <f>IF(AJ23&lt;&gt;"",(LOOKUP(Info!$C$22,Rates!$AD$2:$AD$4,Rates!$AB$2:$AB$4))*(H23+P23+Q23),"")</f>
        <v/>
      </c>
      <c r="H23" s="236">
        <f>IF(AJ23&lt;&gt;"",I23+J23+AB23,"")</f>
        <v/>
      </c>
      <c r="I23" s="236">
        <f>IF(AJ23&lt;&gt;"",LOOKUP(Info!$C$8,Rates!$I$2:$I$7,Rates!$H$2:$H$7)*(J23+P23+Q23+AB23),"")</f>
        <v/>
      </c>
      <c r="J23" s="244">
        <f>IF(L23="",0,L23)+IF(N23="",0,N23)+IF(O23="",0,O23)</f>
        <v/>
      </c>
      <c r="K23" s="244">
        <f>M23+0.7*M22+0.7*0.5*M21+0.7*0.25*M20+0.7*0.25*M19</f>
        <v/>
      </c>
      <c r="L23" s="244">
        <f>IF(M23&lt;&gt;"",L22+40/100*M22+M23-17.5/100*M18,0)</f>
        <v/>
      </c>
      <c r="M23" s="244">
        <f>IF(AND(AI23&lt;&gt;"",AL23&lt;=10),(1-Info!$C$25)*MIN(30/1000*(AF23-AF22),0.75*(AI23-AI22)),0)</f>
        <v/>
      </c>
      <c r="N23" s="244" t="n">
        <v>0</v>
      </c>
      <c r="O23" s="244">
        <f>IF(AJ23&lt;&gt;"",0.07*AI23*(1-Info!$F$25),0)</f>
        <v/>
      </c>
      <c r="P23" s="238">
        <f>IF(AJ23&lt;&gt;"",Y23+W23+U23+S23+R23,0)</f>
        <v/>
      </c>
      <c r="Q23" s="238">
        <f>IF(AJ23&lt;&gt;"",AA23+Z23+X23+V23+T23,0)</f>
        <v/>
      </c>
      <c r="R23" s="238">
        <f>IF(AJ23&lt;&gt;"",(AB23+AA23+V23+T23)*Info!$L$20,0)</f>
        <v/>
      </c>
      <c r="S23" s="238">
        <f>IF(AJ23&lt;&gt;"",T23*(LOOKUP(Info!$I$18,Rates!$O$2:$O$9,Rates!$L$2:$L$9)/100),0)</f>
        <v/>
      </c>
      <c r="T23" s="238">
        <f>IF(AJ23&lt;&gt;"",IF(Info!$F$14="بله",V23*Rates!$Y$7,0),0)</f>
        <v/>
      </c>
      <c r="U23" s="238">
        <f>IF(AJ23&lt;&gt;"",IF(Info!#REF!="بله",V23*(LOOKUP(Info!$I$18,Rates!$O$2:$O$9,Rates!$L$2:$L$9)/100),V23*(LOOKUP(Info!$F$18,Rates!$O$2:$O$9,Rates!$L$2:$L$9)/100)),0)</f>
        <v/>
      </c>
      <c r="V23" s="239">
        <f>IF(AND(AJ23&lt;&gt;"",AJ23&lt;=Rates!$Y$8,Info!#REF!="بله"),AH23*(LOOKUP(AJ23,Rates!$T$2:$T$108,Rates!#REF!)),IF(AND(AK23&lt;&gt;"",AK23&lt;=Rates!$Y$8,Info!#REF!="خیر"),AH23*(LOOKUP(AK23,Rates!$T$2:$T$108,Rates!#REF!)),0)*(1-Info!$F$29))</f>
        <v/>
      </c>
      <c r="W23" s="239">
        <f>IF(AJ23&lt;&gt;"",X23*LOOKUP(Info!$I$18,Rates!$O$2:$O$9,Rates!$M$2:$M$9)/100,0)</f>
        <v/>
      </c>
      <c r="X23" s="239">
        <f>IF(AJ23&lt;=Rates!$Y$4,0.0008*AF23*Info!$F$12,0)</f>
        <v/>
      </c>
      <c r="Y23" s="239">
        <f>IF(AJ23&lt;&gt;"",Z23*(LOOKUP(Info!$I$18,Rates!$O$2:$O$9,Rates!$N$2:$N$9/100)),0)</f>
        <v/>
      </c>
      <c r="Z23" s="238">
        <f>IF(AND(AJ23&lt;=(Rates!$Y$3),AD23&lt;&gt;""),(1-Info!$I$27)*0.0008*AF23*Info!$I$12,0)</f>
        <v/>
      </c>
      <c r="AA23" s="238">
        <f>IF(AJ23&lt;=60,(LOOKUP(AJ23,Rates!$T$2:$T$108,Rates!#REF!))*AC23/1000000*(1-Info!$I$29),0)</f>
        <v/>
      </c>
      <c r="AB23" s="236">
        <f>IF(AJ23&lt;&gt;"",(AF23*LOOKUP(AJ23,Rates!$T$2:$T$108,Rates!$S$2:$S$108))/SQRT(1+IF(AL23&lt;=10,Rates!$Y$5,Rates!$Y$6)),"")</f>
        <v/>
      </c>
      <c r="AC23" s="240">
        <f>IF(AND(AJ23&lt;&gt;"",AJ23&lt;=Rates!$Y$2),MIN(0.5*AF23,300000000,AC22*(1+Info!$F$10)),"")</f>
        <v/>
      </c>
      <c r="AD23" s="240">
        <f>IF(AND(AJ23&lt;&gt;"",AJ23&lt;=60),AF23*Info!$L$16,"")</f>
        <v/>
      </c>
      <c r="AE23" s="68">
        <f>IF(AND(AJ23&lt;&gt;"",AJ23&lt;=70),AF23*(1+Info!$L$14),"")</f>
        <v/>
      </c>
      <c r="AF23" s="68">
        <f>IF(AJ23&lt;&gt;"",AF22*(1+Info!$F$10),"")</f>
        <v/>
      </c>
      <c r="AG23" s="51">
        <f>IF(AJ23&lt;&gt;"",AI23+AG22,"")</f>
        <v/>
      </c>
      <c r="AH23" s="42">
        <f>IF(AJ23&lt;&gt;"",AI23*Rates!$Y$9,"")</f>
        <v/>
      </c>
      <c r="AI23" s="51">
        <f>IF(AJ23&lt;&gt;"",AI22*(1+Info!$F$8),"")</f>
        <v/>
      </c>
      <c r="AJ23" s="57">
        <f>IF(AL23&lt;&gt;"",Info!$F$6+AL23-1,"")</f>
        <v/>
      </c>
      <c r="AK23" s="66">
        <f>IF(AL23&lt;&gt;"",Info!$C$6+AL23-1,"")</f>
        <v/>
      </c>
      <c r="AL23" s="69">
        <f>IF(AL22&lt;&gt;"",IF(AL22+1&lt;=Info!$I$6,AL22+1,""),"")</f>
        <v/>
      </c>
    </row>
    <row r="24">
      <c r="A24" s="236">
        <f>IF(AJ24&lt;&gt;"",D24+D24*(IF(AL24&gt;4,0.1,LOOKUP(Info!$C$10,Rates!$D$2:$D$4,Rates!$C$2:$C$4))+0.85*(Info!$I$22-(IF(AL24&gt;4,0.1,LOOKUP(Info!$C$10,Rates!$D$2:$D$4,Rates!$C$2:$C$4)))))*LOOKUP(Info!$C$8,Rates!$I$2:$I$7,Rates!$G$2:$G$7)+A23*(1+IF(AL24&gt;4,0.1,LOOKUP(Info!$C$10,Rates!$D$2:$D$4,Rates!$C$2:$C$4))+0.85*(Info!$I$22-IF(AL24&gt;4,0.1,LOOKUP(Info!$C$10,Rates!$D$2:$D$4,Rates!$C$2:$C$4)))),"")</f>
        <v/>
      </c>
      <c r="B24" s="236">
        <f>IF(AJ24&lt;&gt;"",IF(AL24&gt;=8,C24,C24*LOOKUP(AL24,Rates!$AG$2:$AG$8,Rates!$AF$2:$AF$8)),"")</f>
        <v/>
      </c>
      <c r="C24" s="236">
        <f>IF(AJ24&lt;&gt;"",D24*(1+IF(AL24&gt;4,0.1,LOOKUP(Info!$C$10,Rates!$D$2:$D$5,Rates!$B$2:$B$5))*LOOKUP(Info!$C$8,Rates!$I$2:$I$7,Rates!$G$2:$G$7))+C23*(1+IF(AL24&gt;4,0.1,LOOKUP(Info!$C$10,Rates!$D$2:$D$5,Rates!$B$2:$B$5))),"")</f>
        <v/>
      </c>
      <c r="D24" s="236">
        <f>IF(AJ24&lt;&gt;"",AI24-(H24+G24+F24+E24+P24+Q24)+IF(Info!$C$20&gt;0,IF(AND(AL24&lt;=Info!$F$20,AL24&gt;=Info!$I$20),Info!$C$20,0),0),"")</f>
        <v/>
      </c>
      <c r="E24" s="236">
        <f>IF(AJ24&lt;&gt;"",(LOOKUP(Info!$C$22,Rates!$AD$2:$AD$4,Rates!$AC$2:$AC$4))*(H24+P24+Q24),"")</f>
        <v/>
      </c>
      <c r="F24" s="236">
        <f>IF(AJ24&lt;&gt;"",(LOOKUP(Info!$C$22,Rates!$AD$2:$AD$4,Rates!$AA$2:$AA$4))*(H24+P24+Q24),"")</f>
        <v/>
      </c>
      <c r="G24" s="236">
        <f>IF(AJ24&lt;&gt;"",(LOOKUP(Info!$C$22,Rates!$AD$2:$AD$4,Rates!$AB$2:$AB$4))*(H24+P24+Q24),"")</f>
        <v/>
      </c>
      <c r="H24" s="236">
        <f>IF(AJ24&lt;&gt;"",I24+J24+AB24,"")</f>
        <v/>
      </c>
      <c r="I24" s="236">
        <f>IF(AJ24&lt;&gt;"",LOOKUP(Info!$C$8,Rates!$I$2:$I$7,Rates!$H$2:$H$7)*(J24+P24+Q24+AB24),"")</f>
        <v/>
      </c>
      <c r="J24" s="244">
        <f>IF(L24="",0,L24)+IF(N24="",0,N24)+IF(O24="",0,O24)</f>
        <v/>
      </c>
      <c r="K24" s="244">
        <f>M24+0.7*M23+0.7*0.5*M22+0.7*0.25*M21+0.7*0.25*M20</f>
        <v/>
      </c>
      <c r="L24" s="244">
        <f>IF(M24&lt;&gt;"",L23+40/100*M23+M24-17.5/100*M19,0)</f>
        <v/>
      </c>
      <c r="M24" s="244">
        <f>IF(AND(AI24&lt;&gt;"",AL24&lt;=10),(1-Info!$C$25)*MIN(30/1000*(AF24-AF23),0.75*(AI24-AI23)),0)</f>
        <v/>
      </c>
      <c r="N24" s="244" t="n">
        <v>0</v>
      </c>
      <c r="O24" s="244">
        <f>IF(AJ24&lt;&gt;"",0.07*AI24*(1-Info!$F$25),0)</f>
        <v/>
      </c>
      <c r="P24" s="238">
        <f>IF(AJ24&lt;&gt;"",Y24+W24+U24+S24+R24,0)</f>
        <v/>
      </c>
      <c r="Q24" s="238">
        <f>IF(AJ24&lt;&gt;"",AA24+Z24+X24+V24+T24,0)</f>
        <v/>
      </c>
      <c r="R24" s="238">
        <f>IF(AJ24&lt;&gt;"",(AB24+AA24+V24+T24)*Info!$L$20,0)</f>
        <v/>
      </c>
      <c r="S24" s="238">
        <f>IF(AJ24&lt;&gt;"",T24*(LOOKUP(Info!$I$18,Rates!$O$2:$O$9,Rates!$L$2:$L$9)/100),0)</f>
        <v/>
      </c>
      <c r="T24" s="238">
        <f>IF(AJ24&lt;&gt;"",IF(Info!$F$14="بله",V24*Rates!$Y$7,0),0)</f>
        <v/>
      </c>
      <c r="U24" s="238">
        <f>IF(AJ24&lt;&gt;"",IF(Info!#REF!="بله",V24*(LOOKUP(Info!$I$18,Rates!$O$2:$O$9,Rates!$L$2:$L$9)/100),V24*(LOOKUP(Info!$F$18,Rates!$O$2:$O$9,Rates!$L$2:$L$9)/100)),0)</f>
        <v/>
      </c>
      <c r="V24" s="239">
        <f>IF(AND(AJ24&lt;&gt;"",AJ24&lt;=Rates!$Y$8,Info!#REF!="بله"),AH24*(LOOKUP(AJ24,Rates!$T$2:$T$108,Rates!#REF!)),IF(AND(AK24&lt;&gt;"",AK24&lt;=Rates!$Y$8,Info!#REF!="خیر"),AH24*(LOOKUP(AK24,Rates!$T$2:$T$108,Rates!#REF!)),0)*(1-Info!$F$29))</f>
        <v/>
      </c>
      <c r="W24" s="239">
        <f>IF(AJ24&lt;&gt;"",X24*LOOKUP(Info!$I$18,Rates!$O$2:$O$9,Rates!$M$2:$M$9)/100,0)</f>
        <v/>
      </c>
      <c r="X24" s="239">
        <f>IF(AJ24&lt;=Rates!$Y$4,0.0008*AF24*Info!$F$12,0)</f>
        <v/>
      </c>
      <c r="Y24" s="239">
        <f>IF(AJ24&lt;&gt;"",Z24*(LOOKUP(Info!$I$18,Rates!$O$2:$O$9,Rates!$N$2:$N$9/100)),0)</f>
        <v/>
      </c>
      <c r="Z24" s="238">
        <f>IF(AND(AJ24&lt;=(Rates!$Y$3),AD24&lt;&gt;""),(1-Info!$I$27)*0.0008*AF24*Info!$I$12,0)</f>
        <v/>
      </c>
      <c r="AA24" s="238">
        <f>IF(AJ24&lt;=60,(LOOKUP(AJ24,Rates!$T$2:$T$108,Rates!#REF!))*AC24/1000000*(1-Info!$I$29),0)</f>
        <v/>
      </c>
      <c r="AB24" s="236">
        <f>IF(AJ24&lt;&gt;"",(AF24*LOOKUP(AJ24,Rates!$T$2:$T$108,Rates!$S$2:$S$108))/SQRT(1+IF(AL24&lt;=10,Rates!$Y$5,Rates!$Y$6)),"")</f>
        <v/>
      </c>
      <c r="AC24" s="240">
        <f>IF(AND(AJ24&lt;&gt;"",AJ24&lt;=Rates!$Y$2),MIN(0.5*AF24,300000000,AC23*(1+Info!$F$10)),"")</f>
        <v/>
      </c>
      <c r="AD24" s="240">
        <f>IF(AND(AJ24&lt;&gt;"",AJ24&lt;=60),AF24*Info!$L$16,"")</f>
        <v/>
      </c>
      <c r="AE24" s="68">
        <f>IF(AND(AJ24&lt;&gt;"",AJ24&lt;=70),AF24*(1+Info!$L$14),"")</f>
        <v/>
      </c>
      <c r="AF24" s="68">
        <f>IF(AJ24&lt;&gt;"",AF23*(1+Info!$F$10),"")</f>
        <v/>
      </c>
      <c r="AG24" s="51">
        <f>IF(AJ24&lt;&gt;"",AI24+AG23,"")</f>
        <v/>
      </c>
      <c r="AH24" s="42">
        <f>IF(AJ24&lt;&gt;"",AI24*Rates!$Y$9,"")</f>
        <v/>
      </c>
      <c r="AI24" s="51">
        <f>IF(AJ24&lt;&gt;"",AI23*(1+Info!$F$8),"")</f>
        <v/>
      </c>
      <c r="AJ24" s="57">
        <f>IF(AL24&lt;&gt;"",Info!$F$6+AL24-1,"")</f>
        <v/>
      </c>
      <c r="AK24" s="66">
        <f>IF(AL24&lt;&gt;"",Info!$C$6+AL24-1,"")</f>
        <v/>
      </c>
      <c r="AL24" s="69">
        <f>IF(AL23&lt;&gt;"",IF(AL23+1&lt;=Info!$I$6,AL23+1,""),"")</f>
        <v/>
      </c>
    </row>
    <row r="25">
      <c r="A25" s="236">
        <f>IF(AJ25&lt;&gt;"",D25+D25*(IF(AL25&gt;4,0.1,LOOKUP(Info!$C$10,Rates!$D$2:$D$4,Rates!$C$2:$C$4))+0.85*(Info!$I$22-(IF(AL25&gt;4,0.1,LOOKUP(Info!$C$10,Rates!$D$2:$D$4,Rates!$C$2:$C$4)))))*LOOKUP(Info!$C$8,Rates!$I$2:$I$7,Rates!$G$2:$G$7)+A24*(1+IF(AL25&gt;4,0.1,LOOKUP(Info!$C$10,Rates!$D$2:$D$4,Rates!$C$2:$C$4))+0.85*(Info!$I$22-IF(AL25&gt;4,0.1,LOOKUP(Info!$C$10,Rates!$D$2:$D$4,Rates!$C$2:$C$4)))),"")</f>
        <v/>
      </c>
      <c r="B25" s="236">
        <f>IF(AJ25&lt;&gt;"",IF(AL25&gt;=8,C25,C25*LOOKUP(AL25,Rates!$AG$2:$AG$8,Rates!$AF$2:$AF$8)),"")</f>
        <v/>
      </c>
      <c r="C25" s="236">
        <f>IF(AJ25&lt;&gt;"",D25*(1+IF(AL25&gt;4,0.1,LOOKUP(Info!$C$10,Rates!$D$2:$D$5,Rates!$B$2:$B$5))*LOOKUP(Info!$C$8,Rates!$I$2:$I$7,Rates!$G$2:$G$7))+C24*(1+IF(AL25&gt;4,0.1,LOOKUP(Info!$C$10,Rates!$D$2:$D$5,Rates!$B$2:$B$5))),"")</f>
        <v/>
      </c>
      <c r="D25" s="236">
        <f>IF(AJ25&lt;&gt;"",AI25-(H25+G25+F25+E25+P25+Q25)+IF(Info!$C$20&gt;0,IF(AND(AL25&lt;=Info!$F$20,AL25&gt;=Info!$I$20),Info!$C$20,0),0),"")</f>
        <v/>
      </c>
      <c r="E25" s="236">
        <f>IF(AJ25&lt;&gt;"",(LOOKUP(Info!$C$22,Rates!$AD$2:$AD$4,Rates!$AC$2:$AC$4))*(H25+P25+Q25),"")</f>
        <v/>
      </c>
      <c r="F25" s="236">
        <f>IF(AJ25&lt;&gt;"",(LOOKUP(Info!$C$22,Rates!$AD$2:$AD$4,Rates!$AA$2:$AA$4))*(H25+P25+Q25),"")</f>
        <v/>
      </c>
      <c r="G25" s="236">
        <f>IF(AJ25&lt;&gt;"",(LOOKUP(Info!$C$22,Rates!$AD$2:$AD$4,Rates!$AB$2:$AB$4))*(H25+P25+Q25),"")</f>
        <v/>
      </c>
      <c r="H25" s="236">
        <f>IF(AJ25&lt;&gt;"",I25+J25+AB25,"")</f>
        <v/>
      </c>
      <c r="I25" s="236">
        <f>IF(AJ25&lt;&gt;"",LOOKUP(Info!$C$8,Rates!$I$2:$I$7,Rates!$H$2:$H$7)*(J25+P25+Q25+AB25),"")</f>
        <v/>
      </c>
      <c r="J25" s="244">
        <f>IF(L25="",0,L25)+IF(N25="",0,N25)+IF(O25="",0,O25)</f>
        <v/>
      </c>
      <c r="K25" s="244">
        <f>M25+0.7*M24+0.7*0.5*M23+0.7*0.25*M22+0.7*0.25*M21</f>
        <v/>
      </c>
      <c r="L25" s="244">
        <f>IF(M25&lt;&gt;"",L24+40/100*M24+M25-17.5/100*M20,0)</f>
        <v/>
      </c>
      <c r="M25" s="244">
        <f>IF(AND(AI25&lt;&gt;"",AL25&lt;=10),(1-Info!$C$25)*MIN(30/1000*(AF25-AF24),0.75*(AI25-AI24)),0)</f>
        <v/>
      </c>
      <c r="N25" s="244" t="n">
        <v>0</v>
      </c>
      <c r="O25" s="244">
        <f>IF(AJ25&lt;&gt;"",0.07*AI25*(1-Info!$F$25),0)</f>
        <v/>
      </c>
      <c r="P25" s="238">
        <f>IF(AJ25&lt;&gt;"",Y25+W25+U25+S25+R25,0)</f>
        <v/>
      </c>
      <c r="Q25" s="238">
        <f>IF(AJ25&lt;&gt;"",AA25+Z25+X25+V25+T25,0)</f>
        <v/>
      </c>
      <c r="R25" s="238">
        <f>IF(AJ25&lt;&gt;"",(AB25+AA25+V25+T25)*Info!$L$20,0)</f>
        <v/>
      </c>
      <c r="S25" s="238">
        <f>IF(AJ25&lt;&gt;"",T25*(LOOKUP(Info!$I$18,Rates!$O$2:$O$9,Rates!$L$2:$L$9)/100),0)</f>
        <v/>
      </c>
      <c r="T25" s="238">
        <f>IF(AJ25&lt;&gt;"",IF(Info!$F$14="بله",V25*Rates!$Y$7,0),0)</f>
        <v/>
      </c>
      <c r="U25" s="238">
        <f>IF(AJ25&lt;&gt;"",IF(Info!#REF!="بله",V25*(LOOKUP(Info!$I$18,Rates!$O$2:$O$9,Rates!$L$2:$L$9)/100),V25*(LOOKUP(Info!$F$18,Rates!$O$2:$O$9,Rates!$L$2:$L$9)/100)),0)</f>
        <v/>
      </c>
      <c r="V25" s="239">
        <f>IF(AND(AJ25&lt;&gt;"",AJ25&lt;=Rates!$Y$8,Info!#REF!="بله"),AH25*(LOOKUP(AJ25,Rates!$T$2:$T$108,Rates!#REF!)),IF(AND(AK25&lt;&gt;"",AK25&lt;=Rates!$Y$8,Info!#REF!="خیر"),AH25*(LOOKUP(AK25,Rates!$T$2:$T$108,Rates!#REF!)),0)*(1-Info!$F$29))</f>
        <v/>
      </c>
      <c r="W25" s="239">
        <f>IF(AJ25&lt;&gt;"",X25*LOOKUP(Info!$I$18,Rates!$O$2:$O$9,Rates!$M$2:$M$9)/100,0)</f>
        <v/>
      </c>
      <c r="X25" s="239">
        <f>IF(AJ25&lt;=Rates!$Y$4,0.0008*AF25*Info!$F$12,0)</f>
        <v/>
      </c>
      <c r="Y25" s="239">
        <f>IF(AJ25&lt;&gt;"",Z25*(LOOKUP(Info!$I$18,Rates!$O$2:$O$9,Rates!$N$2:$N$9/100)),0)</f>
        <v/>
      </c>
      <c r="Z25" s="238">
        <f>IF(AND(AJ25&lt;=(Rates!$Y$3),AD25&lt;&gt;""),(1-Info!$I$27)*0.0008*AF25*Info!$I$12,0)</f>
        <v/>
      </c>
      <c r="AA25" s="238">
        <f>IF(AJ25&lt;=60,(LOOKUP(AJ25,Rates!$T$2:$T$108,Rates!#REF!))*AC25/1000000*(1-Info!$I$29),0)</f>
        <v/>
      </c>
      <c r="AB25" s="236">
        <f>IF(AJ25&lt;&gt;"",(AF25*LOOKUP(AJ25,Rates!$T$2:$T$108,Rates!$S$2:$S$108))/SQRT(1+IF(AL25&lt;=10,Rates!$Y$5,Rates!$Y$6)),"")</f>
        <v/>
      </c>
      <c r="AC25" s="240">
        <f>IF(AND(AJ25&lt;&gt;"",AJ25&lt;=Rates!$Y$2),MIN(0.5*AF25,300000000,AC24*(1+Info!$F$10)),"")</f>
        <v/>
      </c>
      <c r="AD25" s="240">
        <f>IF(AND(AJ25&lt;&gt;"",AJ25&lt;=60),AF25*Info!$L$16,"")</f>
        <v/>
      </c>
      <c r="AE25" s="68">
        <f>IF(AND(AJ25&lt;&gt;"",AJ25&lt;=70),AF25*(1+Info!$L$14),"")</f>
        <v/>
      </c>
      <c r="AF25" s="68">
        <f>IF(AJ25&lt;&gt;"",AF24*(1+Info!$F$10),"")</f>
        <v/>
      </c>
      <c r="AG25" s="51">
        <f>IF(AJ25&lt;&gt;"",AI25+AG24,"")</f>
        <v/>
      </c>
      <c r="AH25" s="42">
        <f>IF(AJ25&lt;&gt;"",AI25*Rates!$Y$9,"")</f>
        <v/>
      </c>
      <c r="AI25" s="51">
        <f>IF(AJ25&lt;&gt;"",AI24*(1+Info!$F$8),"")</f>
        <v/>
      </c>
      <c r="AJ25" s="57">
        <f>IF(AL25&lt;&gt;"",Info!$F$6+AL25-1,"")</f>
        <v/>
      </c>
      <c r="AK25" s="66">
        <f>IF(AL25&lt;&gt;"",Info!$C$6+AL25-1,"")</f>
        <v/>
      </c>
      <c r="AL25" s="69">
        <f>IF(AL24&lt;&gt;"",IF(AL24+1&lt;=Info!$I$6,AL24+1,""),"")</f>
        <v/>
      </c>
    </row>
    <row r="26">
      <c r="A26" s="236">
        <f>IF(AJ26&lt;&gt;"",D26+D26*(IF(AL26&gt;4,0.1,LOOKUP(Info!$C$10,Rates!$D$2:$D$4,Rates!$C$2:$C$4))+0.85*(Info!$I$22-(IF(AL26&gt;4,0.1,LOOKUP(Info!$C$10,Rates!$D$2:$D$4,Rates!$C$2:$C$4)))))*LOOKUP(Info!$C$8,Rates!$I$2:$I$7,Rates!$G$2:$G$7)+A25*(1+IF(AL26&gt;4,0.1,LOOKUP(Info!$C$10,Rates!$D$2:$D$4,Rates!$C$2:$C$4))+0.85*(Info!$I$22-IF(AL26&gt;4,0.1,LOOKUP(Info!$C$10,Rates!$D$2:$D$4,Rates!$C$2:$C$4)))),"")</f>
        <v/>
      </c>
      <c r="B26" s="236">
        <f>IF(AJ26&lt;&gt;"",IF(AL26&gt;=8,C26,C26*LOOKUP(AL26,Rates!$AG$2:$AG$8,Rates!$AF$2:$AF$8)),"")</f>
        <v/>
      </c>
      <c r="C26" s="236">
        <f>IF(AJ26&lt;&gt;"",D26*(1+IF(AL26&gt;4,0.1,LOOKUP(Info!$C$10,Rates!$D$2:$D$5,Rates!$B$2:$B$5))*LOOKUP(Info!$C$8,Rates!$I$2:$I$7,Rates!$G$2:$G$7))+C25*(1+IF(AL26&gt;4,0.1,LOOKUP(Info!$C$10,Rates!$D$2:$D$5,Rates!$B$2:$B$5))),"")</f>
        <v/>
      </c>
      <c r="D26" s="236">
        <f>IF(AJ26&lt;&gt;"",AI26-(H26+G26+F26+E26+P26+Q26)+IF(Info!$C$20&gt;0,IF(AND(AL26&lt;=Info!$F$20,AL26&gt;=Info!$I$20),Info!$C$20,0),0),"")</f>
        <v/>
      </c>
      <c r="E26" s="236">
        <f>IF(AJ26&lt;&gt;"",(LOOKUP(Info!$C$22,Rates!$AD$2:$AD$4,Rates!$AC$2:$AC$4))*(H26+P26+Q26),"")</f>
        <v/>
      </c>
      <c r="F26" s="236">
        <f>IF(AJ26&lt;&gt;"",(LOOKUP(Info!$C$22,Rates!$AD$2:$AD$4,Rates!$AA$2:$AA$4))*(H26+P26+Q26),"")</f>
        <v/>
      </c>
      <c r="G26" s="236">
        <f>IF(AJ26&lt;&gt;"",(LOOKUP(Info!$C$22,Rates!$AD$2:$AD$4,Rates!$AB$2:$AB$4))*(H26+P26+Q26),"")</f>
        <v/>
      </c>
      <c r="H26" s="236">
        <f>IF(AJ26&lt;&gt;"",I26+J26+AB26,"")</f>
        <v/>
      </c>
      <c r="I26" s="236">
        <f>IF(AJ26&lt;&gt;"",LOOKUP(Info!$C$8,Rates!$I$2:$I$7,Rates!$H$2:$H$7)*(J26+P26+Q26+AB26),"")</f>
        <v/>
      </c>
      <c r="J26" s="244">
        <f>IF(L26="",0,L26)+IF(N26="",0,N26)+IF(O26="",0,O26)</f>
        <v/>
      </c>
      <c r="K26" s="244">
        <f>M26+0.7*M25+0.7*0.5*M24+0.7*0.25*M23+0.7*0.25*M22</f>
        <v/>
      </c>
      <c r="L26" s="244">
        <f>IF(M26&lt;&gt;"",L25+40/100*M25+M26-17.5/100*M21,0)</f>
        <v/>
      </c>
      <c r="M26" s="244">
        <f>IF(AND(AI26&lt;&gt;"",AL26&lt;=10),(1-Info!$C$25)*MIN(30/1000*(AF26-AF25),0.75*(AI26-AI25)),0)</f>
        <v/>
      </c>
      <c r="N26" s="244" t="n">
        <v>0</v>
      </c>
      <c r="O26" s="244">
        <f>IF(AJ26&lt;&gt;"",0.07*AI26*(1-Info!$F$25),0)</f>
        <v/>
      </c>
      <c r="P26" s="238">
        <f>IF(AJ26&lt;&gt;"",Y26+W26+U26+S26+R26,0)</f>
        <v/>
      </c>
      <c r="Q26" s="238">
        <f>IF(AJ26&lt;&gt;"",AA26+Z26+X26+V26+T26,0)</f>
        <v/>
      </c>
      <c r="R26" s="238">
        <f>IF(AJ26&lt;&gt;"",(AB26+AA26+V26+T26)*Info!$L$20,0)</f>
        <v/>
      </c>
      <c r="S26" s="238">
        <f>IF(AJ26&lt;&gt;"",T26*(LOOKUP(Info!$I$18,Rates!$O$2:$O$9,Rates!$L$2:$L$9)/100),0)</f>
        <v/>
      </c>
      <c r="T26" s="238">
        <f>IF(AJ26&lt;&gt;"",IF(Info!$F$14="بله",V26*Rates!$Y$7,0),0)</f>
        <v/>
      </c>
      <c r="U26" s="238">
        <f>IF(AJ26&lt;&gt;"",IF(Info!#REF!="بله",V26*(LOOKUP(Info!$I$18,Rates!$O$2:$O$9,Rates!$L$2:$L$9)/100),V26*(LOOKUP(Info!$F$18,Rates!$O$2:$O$9,Rates!$L$2:$L$9)/100)),0)</f>
        <v/>
      </c>
      <c r="V26" s="239">
        <f>IF(AND(AJ26&lt;&gt;"",AJ26&lt;=Rates!$Y$8,Info!#REF!="بله"),AH26*(LOOKUP(AJ26,Rates!$T$2:$T$108,Rates!#REF!)),IF(AND(AK26&lt;&gt;"",AK26&lt;=Rates!$Y$8,Info!#REF!="خیر"),AH26*(LOOKUP(AK26,Rates!$T$2:$T$108,Rates!#REF!)),0)*(1-Info!$F$29))</f>
        <v/>
      </c>
      <c r="W26" s="239">
        <f>IF(AJ26&lt;&gt;"",X26*LOOKUP(Info!$I$18,Rates!$O$2:$O$9,Rates!$M$2:$M$9)/100,0)</f>
        <v/>
      </c>
      <c r="X26" s="239">
        <f>IF(AJ26&lt;=Rates!$Y$4,0.0008*AF26*Info!$F$12,0)</f>
        <v/>
      </c>
      <c r="Y26" s="239">
        <f>IF(AJ26&lt;&gt;"",Z26*(LOOKUP(Info!$I$18,Rates!$O$2:$O$9,Rates!$N$2:$N$9/100)),0)</f>
        <v/>
      </c>
      <c r="Z26" s="238">
        <f>IF(AND(AJ26&lt;=(Rates!$Y$3),AD26&lt;&gt;""),(1-Info!$I$27)*0.0008*AF26*Info!$I$12,0)</f>
        <v/>
      </c>
      <c r="AA26" s="238">
        <f>IF(AJ26&lt;=60,(LOOKUP(AJ26,Rates!$T$2:$T$108,Rates!#REF!))*AC26/1000000*(1-Info!$I$29),0)</f>
        <v/>
      </c>
      <c r="AB26" s="236">
        <f>IF(AJ26&lt;&gt;"",(AF26*LOOKUP(AJ26,Rates!$T$2:$T$108,Rates!$S$2:$S$108))/SQRT(1+IF(AL26&lt;=10,Rates!$Y$5,Rates!$Y$6)),"")</f>
        <v/>
      </c>
      <c r="AC26" s="240">
        <f>IF(AND(AJ26&lt;&gt;"",AJ26&lt;=Rates!$Y$2),MIN(0.5*AF26,300000000,AC25*(1+Info!$F$10)),"")</f>
        <v/>
      </c>
      <c r="AD26" s="240">
        <f>IF(AND(AJ26&lt;&gt;"",AJ26&lt;=60),AF26*Info!$L$16,"")</f>
        <v/>
      </c>
      <c r="AE26" s="68">
        <f>IF(AND(AJ26&lt;&gt;"",AJ26&lt;=70),AF26*(1+Info!$L$14),"")</f>
        <v/>
      </c>
      <c r="AF26" s="68">
        <f>IF(AJ26&lt;&gt;"",AF25*(1+Info!$F$10),"")</f>
        <v/>
      </c>
      <c r="AG26" s="51">
        <f>IF(AJ26&lt;&gt;"",AI26+AG25,"")</f>
        <v/>
      </c>
      <c r="AH26" s="42">
        <f>IF(AJ26&lt;&gt;"",AI26*Rates!$Y$9,"")</f>
        <v/>
      </c>
      <c r="AI26" s="51">
        <f>IF(AJ26&lt;&gt;"",AI25*(1+Info!$F$8),"")</f>
        <v/>
      </c>
      <c r="AJ26" s="57">
        <f>IF(AL26&lt;&gt;"",Info!$F$6+AL26-1,"")</f>
        <v/>
      </c>
      <c r="AK26" s="66">
        <f>IF(AL26&lt;&gt;"",Info!$C$6+AL26-1,"")</f>
        <v/>
      </c>
      <c r="AL26" s="69">
        <f>IF(AL25&lt;&gt;"",IF(AL25+1&lt;=Info!$I$6,AL25+1,""),"")</f>
        <v/>
      </c>
    </row>
    <row r="27">
      <c r="A27" s="236">
        <f>IF(AJ27&lt;&gt;"",D27+D27*(IF(AL27&gt;4,0.1,LOOKUP(Info!$C$10,Rates!$D$2:$D$4,Rates!$C$2:$C$4))+0.85*(Info!$I$22-(IF(AL27&gt;4,0.1,LOOKUP(Info!$C$10,Rates!$D$2:$D$4,Rates!$C$2:$C$4)))))*LOOKUP(Info!$C$8,Rates!$I$2:$I$7,Rates!$G$2:$G$7)+A26*(1+IF(AL27&gt;4,0.1,LOOKUP(Info!$C$10,Rates!$D$2:$D$4,Rates!$C$2:$C$4))+0.85*(Info!$I$22-IF(AL27&gt;4,0.1,LOOKUP(Info!$C$10,Rates!$D$2:$D$4,Rates!$C$2:$C$4)))),"")</f>
        <v/>
      </c>
      <c r="B27" s="236">
        <f>IF(AJ27&lt;&gt;"",IF(AL27&gt;=8,C27,C27*LOOKUP(AL27,Rates!$AG$2:$AG$8,Rates!$AF$2:$AF$8)),"")</f>
        <v/>
      </c>
      <c r="C27" s="236">
        <f>IF(AJ27&lt;&gt;"",D27*(1+IF(AL27&gt;4,0.1,LOOKUP(Info!$C$10,Rates!$D$2:$D$5,Rates!$B$2:$B$5))*LOOKUP(Info!$C$8,Rates!$I$2:$I$7,Rates!$G$2:$G$7))+C26*(1+IF(AL27&gt;4,0.1,LOOKUP(Info!$C$10,Rates!$D$2:$D$5,Rates!$B$2:$B$5))),"")</f>
        <v/>
      </c>
      <c r="D27" s="236">
        <f>IF(AJ27&lt;&gt;"",AI27-(H27+G27+F27+E27+P27+Q27)+IF(Info!$C$20&gt;0,IF(AND(AL27&lt;=Info!$F$20,AL27&gt;=Info!$I$20),Info!$C$20,0),0),"")</f>
        <v/>
      </c>
      <c r="E27" s="236">
        <f>IF(AJ27&lt;&gt;"",(LOOKUP(Info!$C$22,Rates!$AD$2:$AD$4,Rates!$AC$2:$AC$4))*(H27+P27+Q27),"")</f>
        <v/>
      </c>
      <c r="F27" s="236">
        <f>IF(AJ27&lt;&gt;"",(LOOKUP(Info!$C$22,Rates!$AD$2:$AD$4,Rates!$AA$2:$AA$4))*(H27+P27+Q27),"")</f>
        <v/>
      </c>
      <c r="G27" s="236">
        <f>IF(AJ27&lt;&gt;"",(LOOKUP(Info!$C$22,Rates!$AD$2:$AD$4,Rates!$AB$2:$AB$4))*(H27+P27+Q27),"")</f>
        <v/>
      </c>
      <c r="H27" s="236">
        <f>IF(AJ27&lt;&gt;"",I27+J27+AB27,"")</f>
        <v/>
      </c>
      <c r="I27" s="236">
        <f>IF(AJ27&lt;&gt;"",LOOKUP(Info!$C$8,Rates!$I$2:$I$7,Rates!$H$2:$H$7)*(J27+P27+Q27+AB27),"")</f>
        <v/>
      </c>
      <c r="J27" s="244">
        <f>IF(L27="",0,L27)+IF(N27="",0,N27)+IF(O27="",0,O27)</f>
        <v/>
      </c>
      <c r="K27" s="244">
        <f>M27+0.7*M26+0.7*0.5*M25+0.7*0.25*M24+0.7*0.25*M23</f>
        <v/>
      </c>
      <c r="L27" s="244">
        <f>IF(M27&lt;&gt;"",L26+40/100*M26+M27-17.5/100*M22,0)</f>
        <v/>
      </c>
      <c r="M27" s="244">
        <f>IF(AND(AI27&lt;&gt;"",AL27&lt;=10),(1-Info!$C$25)*MIN(30/1000*(AF27-AF26),0.75*(AI27-AI26)),0)</f>
        <v/>
      </c>
      <c r="N27" s="244" t="n">
        <v>0</v>
      </c>
      <c r="O27" s="244">
        <f>IF(AJ27&lt;&gt;"",0.07*AI27*(1-Info!$F$25),0)</f>
        <v/>
      </c>
      <c r="P27" s="238">
        <f>IF(AJ27&lt;&gt;"",Y27+W27+U27+S27+R27,0)</f>
        <v/>
      </c>
      <c r="Q27" s="238">
        <f>IF(AJ27&lt;&gt;"",AA27+Z27+X27+V27+T27,0)</f>
        <v/>
      </c>
      <c r="R27" s="238">
        <f>IF(AJ27&lt;&gt;"",(AB27+AA27+V27+T27)*Info!$L$20,0)</f>
        <v/>
      </c>
      <c r="S27" s="238">
        <f>IF(AJ27&lt;&gt;"",T27*(LOOKUP(Info!$I$18,Rates!$O$2:$O$9,Rates!$L$2:$L$9)/100),0)</f>
        <v/>
      </c>
      <c r="T27" s="238">
        <f>IF(AJ27&lt;&gt;"",IF(Info!$F$14="بله",V27*Rates!$Y$7,0),0)</f>
        <v/>
      </c>
      <c r="U27" s="238">
        <f>IF(AJ27&lt;&gt;"",IF(Info!#REF!="بله",V27*(LOOKUP(Info!$I$18,Rates!$O$2:$O$9,Rates!$L$2:$L$9)/100),V27*(LOOKUP(Info!$F$18,Rates!$O$2:$O$9,Rates!$L$2:$L$9)/100)),0)</f>
        <v/>
      </c>
      <c r="V27" s="239">
        <f>IF(AND(AJ27&lt;&gt;"",AJ27&lt;=Rates!$Y$8,Info!#REF!="بله"),AH27*(LOOKUP(AJ27,Rates!$T$2:$T$108,Rates!#REF!)),IF(AND(AK27&lt;&gt;"",AK27&lt;=Rates!$Y$8,Info!#REF!="خیر"),AH27*(LOOKUP(AK27,Rates!$T$2:$T$108,Rates!#REF!)),0)*(1-Info!$F$29))</f>
        <v/>
      </c>
      <c r="W27" s="239">
        <f>IF(AJ27&lt;&gt;"",X27*LOOKUP(Info!$I$18,Rates!$O$2:$O$9,Rates!$M$2:$M$9)/100,0)</f>
        <v/>
      </c>
      <c r="X27" s="239">
        <f>IF(AJ27&lt;=Rates!$Y$4,0.0008*AF27*Info!$F$12,0)</f>
        <v/>
      </c>
      <c r="Y27" s="239">
        <f>IF(AJ27&lt;&gt;"",Z27*(LOOKUP(Info!$I$18,Rates!$O$2:$O$9,Rates!$N$2:$N$9/100)),0)</f>
        <v/>
      </c>
      <c r="Z27" s="238">
        <f>IF(AND(AJ27&lt;=(Rates!$Y$3),AD27&lt;&gt;""),(1-Info!$I$27)*0.0008*AF27*Info!$I$12,0)</f>
        <v/>
      </c>
      <c r="AA27" s="238">
        <f>IF(AJ27&lt;=60,(LOOKUP(AJ27,Rates!$T$2:$T$108,Rates!#REF!))*AC27/1000000*(1-Info!$I$29),0)</f>
        <v/>
      </c>
      <c r="AB27" s="236">
        <f>IF(AJ27&lt;&gt;"",(AF27*LOOKUP(AJ27,Rates!$T$2:$T$108,Rates!$S$2:$S$108))/SQRT(1+IF(AL27&lt;=10,Rates!$Y$5,Rates!$Y$6)),"")</f>
        <v/>
      </c>
      <c r="AC27" s="240">
        <f>IF(AND(AJ27&lt;&gt;"",AJ27&lt;=Rates!$Y$2),MIN(0.5*AF27,300000000,AC26*(1+Info!$F$10)),"")</f>
        <v/>
      </c>
      <c r="AD27" s="240">
        <f>IF(AND(AJ27&lt;&gt;"",AJ27&lt;=60),AF27*Info!$L$16,"")</f>
        <v/>
      </c>
      <c r="AE27" s="68">
        <f>IF(AND(AJ27&lt;&gt;"",AJ27&lt;=70),AF27*(1+Info!$L$14),"")</f>
        <v/>
      </c>
      <c r="AF27" s="68">
        <f>IF(AJ27&lt;&gt;"",AF26*(1+Info!$F$10),"")</f>
        <v/>
      </c>
      <c r="AG27" s="51">
        <f>IF(AJ27&lt;&gt;"",AI27+AG26,"")</f>
        <v/>
      </c>
      <c r="AH27" s="42">
        <f>IF(AJ27&lt;&gt;"",AI27*Rates!$Y$9,"")</f>
        <v/>
      </c>
      <c r="AI27" s="51">
        <f>IF(AJ27&lt;&gt;"",AI26*(1+Info!$F$8),"")</f>
        <v/>
      </c>
      <c r="AJ27" s="57">
        <f>IF(AL27&lt;&gt;"",Info!$F$6+AL27-1,"")</f>
        <v/>
      </c>
      <c r="AK27" s="66">
        <f>IF(AL27&lt;&gt;"",Info!$C$6+AL27-1,"")</f>
        <v/>
      </c>
      <c r="AL27" s="69">
        <f>IF(AL26&lt;&gt;"",IF(AL26+1&lt;=Info!$I$6,AL26+1,""),"")</f>
        <v/>
      </c>
    </row>
    <row r="28">
      <c r="A28" s="236">
        <f>IF(AJ28&lt;&gt;"",D28+D28*(IF(AL28&gt;4,0.1,LOOKUP(Info!$C$10,Rates!$D$2:$D$4,Rates!$C$2:$C$4))+0.85*(Info!$I$22-(IF(AL28&gt;4,0.1,LOOKUP(Info!$C$10,Rates!$D$2:$D$4,Rates!$C$2:$C$4)))))*LOOKUP(Info!$C$8,Rates!$I$2:$I$7,Rates!$G$2:$G$7)+A27*(1+IF(AL28&gt;4,0.1,LOOKUP(Info!$C$10,Rates!$D$2:$D$4,Rates!$C$2:$C$4))+0.85*(Info!$I$22-IF(AL28&gt;4,0.1,LOOKUP(Info!$C$10,Rates!$D$2:$D$4,Rates!$C$2:$C$4)))),"")</f>
        <v/>
      </c>
      <c r="B28" s="236">
        <f>IF(AJ28&lt;&gt;"",IF(AL28&gt;=8,C28,C28*LOOKUP(AL28,Rates!$AG$2:$AG$8,Rates!$AF$2:$AF$8)),"")</f>
        <v/>
      </c>
      <c r="C28" s="236">
        <f>IF(AJ28&lt;&gt;"",D28*(1+IF(AL28&gt;4,0.1,LOOKUP(Info!$C$10,Rates!$D$2:$D$5,Rates!$B$2:$B$5))*LOOKUP(Info!$C$8,Rates!$I$2:$I$7,Rates!$G$2:$G$7))+C27*(1+IF(AL28&gt;4,0.1,LOOKUP(Info!$C$10,Rates!$D$2:$D$5,Rates!$B$2:$B$5))),"")</f>
        <v/>
      </c>
      <c r="D28" s="236">
        <f>IF(AJ28&lt;&gt;"",AI28-(H28+G28+F28+E28+P28+Q28)+IF(Info!$C$20&gt;0,IF(AND(AL28&lt;=Info!$F$20,AL28&gt;=Info!$I$20),Info!$C$20,0),0),"")</f>
        <v/>
      </c>
      <c r="E28" s="236">
        <f>IF(AJ28&lt;&gt;"",(LOOKUP(Info!$C$22,Rates!$AD$2:$AD$4,Rates!$AC$2:$AC$4))*(H28+P28+Q28),"")</f>
        <v/>
      </c>
      <c r="F28" s="236">
        <f>IF(AJ28&lt;&gt;"",(LOOKUP(Info!$C$22,Rates!$AD$2:$AD$4,Rates!$AA$2:$AA$4))*(H28+P28+Q28),"")</f>
        <v/>
      </c>
      <c r="G28" s="236">
        <f>IF(AJ28&lt;&gt;"",(LOOKUP(Info!$C$22,Rates!$AD$2:$AD$4,Rates!$AB$2:$AB$4))*(H28+P28+Q28),"")</f>
        <v/>
      </c>
      <c r="H28" s="236">
        <f>IF(AJ28&lt;&gt;"",I28+J28+AB28,"")</f>
        <v/>
      </c>
      <c r="I28" s="236">
        <f>IF(AJ28&lt;&gt;"",LOOKUP(Info!$C$8,Rates!$I$2:$I$7,Rates!$H$2:$H$7)*(J28+P28+Q28+AB28),"")</f>
        <v/>
      </c>
      <c r="J28" s="244">
        <f>IF(L28="",0,L28)+IF(N28="",0,N28)+IF(O28="",0,O28)</f>
        <v/>
      </c>
      <c r="K28" s="244">
        <f>M28+0.7*M27+0.7*0.5*M26+0.7*0.25*M25+0.7*0.25*M24</f>
        <v/>
      </c>
      <c r="L28" s="244">
        <f>IF(M28&lt;&gt;"",L27+40/100*M27+M28-17.5/100*M23,0)</f>
        <v/>
      </c>
      <c r="M28" s="244">
        <f>IF(AND(AI28&lt;&gt;"",AL28&lt;=10),(1-Info!$C$25)*MIN(30/1000*(AF28-AF27),0.75*(AI28-AI27)),0)</f>
        <v/>
      </c>
      <c r="N28" s="244" t="n">
        <v>0</v>
      </c>
      <c r="O28" s="244">
        <f>IF(AJ28&lt;&gt;"",0.07*AI28*(1-Info!$F$25),0)</f>
        <v/>
      </c>
      <c r="P28" s="238">
        <f>IF(AJ28&lt;&gt;"",Y28+W28+U28+S28+R28,0)</f>
        <v/>
      </c>
      <c r="Q28" s="238">
        <f>IF(AJ28&lt;&gt;"",AA28+Z28+X28+V28+T28,0)</f>
        <v/>
      </c>
      <c r="R28" s="238">
        <f>IF(AJ28&lt;&gt;"",(AB28+AA28+V28+T28)*Info!$L$20,0)</f>
        <v/>
      </c>
      <c r="S28" s="238">
        <f>IF(AJ28&lt;&gt;"",T28*(LOOKUP(Info!$I$18,Rates!$O$2:$O$9,Rates!$L$2:$L$9)/100),0)</f>
        <v/>
      </c>
      <c r="T28" s="238">
        <f>IF(AJ28&lt;&gt;"",IF(Info!$F$14="بله",V28*Rates!$Y$7,0),0)</f>
        <v/>
      </c>
      <c r="U28" s="238">
        <f>IF(AJ28&lt;&gt;"",IF(Info!#REF!="بله",V28*(LOOKUP(Info!$I$18,Rates!$O$2:$O$9,Rates!$L$2:$L$9)/100),V28*(LOOKUP(Info!$F$18,Rates!$O$2:$O$9,Rates!$L$2:$L$9)/100)),0)</f>
        <v/>
      </c>
      <c r="V28" s="239">
        <f>IF(AND(AJ28&lt;&gt;"",AJ28&lt;=Rates!$Y$8,Info!#REF!="بله"),AH28*(LOOKUP(AJ28,Rates!$T$2:$T$108,Rates!#REF!)),IF(AND(AK28&lt;&gt;"",AK28&lt;=Rates!$Y$8,Info!#REF!="خیر"),AH28*(LOOKUP(AK28,Rates!$T$2:$T$108,Rates!#REF!)),0)*(1-Info!$F$29))</f>
        <v/>
      </c>
      <c r="W28" s="239">
        <f>IF(AJ28&lt;&gt;"",X28*LOOKUP(Info!$I$18,Rates!$O$2:$O$9,Rates!$M$2:$M$9)/100,0)</f>
        <v/>
      </c>
      <c r="X28" s="239">
        <f>IF(AJ28&lt;=Rates!$Y$4,0.0008*AF28*Info!$F$12,0)</f>
        <v/>
      </c>
      <c r="Y28" s="239">
        <f>IF(AJ28&lt;&gt;"",Z28*(LOOKUP(Info!$I$18,Rates!$O$2:$O$9,Rates!$N$2:$N$9/100)),0)</f>
        <v/>
      </c>
      <c r="Z28" s="238">
        <f>IF(AND(AJ28&lt;=(Rates!$Y$3),AD28&lt;&gt;""),(1-Info!$I$27)*0.0008*AF28*Info!$I$12,0)</f>
        <v/>
      </c>
      <c r="AA28" s="238">
        <f>IF(AJ28&lt;=60,(LOOKUP(AJ28,Rates!$T$2:$T$108,Rates!#REF!))*AC28/1000000*(1-Info!$I$29),0)</f>
        <v/>
      </c>
      <c r="AB28" s="236">
        <f>IF(AJ28&lt;&gt;"",(AF28*LOOKUP(AJ28,Rates!$T$2:$T$108,Rates!$S$2:$S$108))/SQRT(1+IF(AL28&lt;=10,Rates!$Y$5,Rates!$Y$6)),"")</f>
        <v/>
      </c>
      <c r="AC28" s="240">
        <f>IF(AND(AJ28&lt;&gt;"",AJ28&lt;=Rates!$Y$2),MIN(0.5*AF28,300000000,AC27*(1+Info!$F$10)),"")</f>
        <v/>
      </c>
      <c r="AD28" s="240">
        <f>IF(AND(AJ28&lt;&gt;"",AJ28&lt;=60),AF28*Info!$L$16,"")</f>
        <v/>
      </c>
      <c r="AE28" s="68">
        <f>IF(AND(AJ28&lt;&gt;"",AJ28&lt;=70),AF28*(1+Info!$L$14),"")</f>
        <v/>
      </c>
      <c r="AF28" s="68">
        <f>IF(AJ28&lt;&gt;"",AF27*(1+Info!$F$10),"")</f>
        <v/>
      </c>
      <c r="AG28" s="51">
        <f>IF(AJ28&lt;&gt;"",AI28+AG27,"")</f>
        <v/>
      </c>
      <c r="AH28" s="42">
        <f>IF(AJ28&lt;&gt;"",AI28*Rates!$Y$9,"")</f>
        <v/>
      </c>
      <c r="AI28" s="51">
        <f>IF(AJ28&lt;&gt;"",AI27*(1+Info!$F$8),"")</f>
        <v/>
      </c>
      <c r="AJ28" s="57">
        <f>IF(AL28&lt;&gt;"",Info!$F$6+AL28-1,"")</f>
        <v/>
      </c>
      <c r="AK28" s="66">
        <f>IF(AL28&lt;&gt;"",Info!$C$6+AL28-1,"")</f>
        <v/>
      </c>
      <c r="AL28" s="69">
        <f>IF(AL27&lt;&gt;"",IF(AL27+1&lt;=Info!$I$6,AL27+1,""),"")</f>
        <v/>
      </c>
    </row>
    <row r="29">
      <c r="A29" s="236">
        <f>IF(AJ29&lt;&gt;"",D29+D29*(IF(AL29&gt;4,0.1,LOOKUP(Info!$C$10,Rates!$D$2:$D$4,Rates!$C$2:$C$4))+0.85*(Info!$I$22-(IF(AL29&gt;4,0.1,LOOKUP(Info!$C$10,Rates!$D$2:$D$4,Rates!$C$2:$C$4)))))*LOOKUP(Info!$C$8,Rates!$I$2:$I$7,Rates!$G$2:$G$7)+A28*(1+IF(AL29&gt;4,0.1,LOOKUP(Info!$C$10,Rates!$D$2:$D$4,Rates!$C$2:$C$4))+0.85*(Info!$I$22-IF(AL29&gt;4,0.1,LOOKUP(Info!$C$10,Rates!$D$2:$D$4,Rates!$C$2:$C$4)))),"")</f>
        <v/>
      </c>
      <c r="B29" s="236">
        <f>IF(AJ29&lt;&gt;"",IF(AL29&gt;=8,C29,C29*LOOKUP(AL29,Rates!$AG$2:$AG$8,Rates!$AF$2:$AF$8)),"")</f>
        <v/>
      </c>
      <c r="C29" s="236">
        <f>IF(AJ29&lt;&gt;"",D29*(1+IF(AL29&gt;4,0.1,LOOKUP(Info!$C$10,Rates!$D$2:$D$5,Rates!$B$2:$B$5))*LOOKUP(Info!$C$8,Rates!$I$2:$I$7,Rates!$G$2:$G$7))+C28*(1+IF(AL29&gt;4,0.1,LOOKUP(Info!$C$10,Rates!$D$2:$D$5,Rates!$B$2:$B$5))),"")</f>
        <v/>
      </c>
      <c r="D29" s="236">
        <f>IF(AJ29&lt;&gt;"",AI29-(H29+G29+F29+E29+P29+Q29)+IF(Info!$C$20&gt;0,IF(AND(AL29&lt;=Info!$F$20,AL29&gt;=Info!$I$20),Info!$C$20,0),0),"")</f>
        <v/>
      </c>
      <c r="E29" s="236">
        <f>IF(AJ29&lt;&gt;"",(LOOKUP(Info!$C$22,Rates!$AD$2:$AD$4,Rates!$AC$2:$AC$4))*(H29+P29+Q29),"")</f>
        <v/>
      </c>
      <c r="F29" s="236">
        <f>IF(AJ29&lt;&gt;"",(LOOKUP(Info!$C$22,Rates!$AD$2:$AD$4,Rates!$AA$2:$AA$4))*(H29+P29+Q29),"")</f>
        <v/>
      </c>
      <c r="G29" s="236">
        <f>IF(AJ29&lt;&gt;"",(LOOKUP(Info!$C$22,Rates!$AD$2:$AD$4,Rates!$AB$2:$AB$4))*(H29+P29+Q29),"")</f>
        <v/>
      </c>
      <c r="H29" s="236">
        <f>IF(AJ29&lt;&gt;"",I29+J29+AB29,"")</f>
        <v/>
      </c>
      <c r="I29" s="236">
        <f>IF(AJ29&lt;&gt;"",LOOKUP(Info!$C$8,Rates!$I$2:$I$7,Rates!$H$2:$H$7)*(J29+P29+Q29+AB29),"")</f>
        <v/>
      </c>
      <c r="J29" s="244">
        <f>IF(L29="",0,L29)+IF(N29="",0,N29)+IF(O29="",0,O29)</f>
        <v/>
      </c>
      <c r="K29" s="244">
        <f>M29+0.7*M28+0.7*0.5*M27+0.7*0.25*M26+0.7*0.25*M25</f>
        <v/>
      </c>
      <c r="L29" s="244">
        <f>IF(M29&lt;&gt;"",L28+40/100*M28+M29-17.5/100*M24,0)</f>
        <v/>
      </c>
      <c r="M29" s="244">
        <f>IF(AND(AI29&lt;&gt;"",AL29&lt;=10),(1-Info!$C$25)*MIN(30/1000*(AF29-AF28),0.75*(AI29-AI28)),0)</f>
        <v/>
      </c>
      <c r="N29" s="244" t="n">
        <v>0</v>
      </c>
      <c r="O29" s="244">
        <f>IF(AJ29&lt;&gt;"",0.07*AI29*(1-Info!$F$25),0)</f>
        <v/>
      </c>
      <c r="P29" s="238">
        <f>IF(AJ29&lt;&gt;"",Y29+W29+U29+S29+R29,0)</f>
        <v/>
      </c>
      <c r="Q29" s="238">
        <f>IF(AJ29&lt;&gt;"",AA29+Z29+X29+V29+T29,0)</f>
        <v/>
      </c>
      <c r="R29" s="238">
        <f>IF(AJ29&lt;&gt;"",(AB29+AA29+V29+T29)*Info!$L$20,0)</f>
        <v/>
      </c>
      <c r="S29" s="238">
        <f>IF(AJ29&lt;&gt;"",T29*(LOOKUP(Info!$I$18,Rates!$O$2:$O$9,Rates!$L$2:$L$9)/100),0)</f>
        <v/>
      </c>
      <c r="T29" s="238">
        <f>IF(AJ29&lt;&gt;"",IF(Info!$F$14="بله",V29*Rates!$Y$7,0),0)</f>
        <v/>
      </c>
      <c r="U29" s="238">
        <f>IF(AJ29&lt;&gt;"",IF(Info!#REF!="بله",V29*(LOOKUP(Info!$I$18,Rates!$O$2:$O$9,Rates!$L$2:$L$9)/100),V29*(LOOKUP(Info!$F$18,Rates!$O$2:$O$9,Rates!$L$2:$L$9)/100)),0)</f>
        <v/>
      </c>
      <c r="V29" s="239">
        <f>IF(AND(AJ29&lt;&gt;"",AJ29&lt;=Rates!$Y$8,Info!#REF!="بله"),AH29*(LOOKUP(AJ29,Rates!$T$2:$T$108,Rates!#REF!)),IF(AND(AK29&lt;&gt;"",AK29&lt;=Rates!$Y$8,Info!#REF!="خیر"),AH29*(LOOKUP(AK29,Rates!$T$2:$T$108,Rates!#REF!)),0)*(1-Info!$F$29))</f>
        <v/>
      </c>
      <c r="W29" s="239">
        <f>IF(AJ29&lt;&gt;"",X29*LOOKUP(Info!$I$18,Rates!$O$2:$O$9,Rates!$M$2:$M$9)/100,0)</f>
        <v/>
      </c>
      <c r="X29" s="239">
        <f>IF(AJ29&lt;=Rates!$Y$4,0.0008*AF29*Info!$F$12,0)</f>
        <v/>
      </c>
      <c r="Y29" s="239">
        <f>IF(AJ29&lt;&gt;"",Z29*(LOOKUP(Info!$I$18,Rates!$O$2:$O$9,Rates!$N$2:$N$9/100)),0)</f>
        <v/>
      </c>
      <c r="Z29" s="238">
        <f>IF(AND(AJ29&lt;=(Rates!$Y$3),AD29&lt;&gt;""),(1-Info!$I$27)*0.0008*AF29*Info!$I$12,0)</f>
        <v/>
      </c>
      <c r="AA29" s="238">
        <f>IF(AJ29&lt;=60,(LOOKUP(AJ29,Rates!$T$2:$T$108,Rates!#REF!))*AC29/1000000*(1-Info!$I$29),0)</f>
        <v/>
      </c>
      <c r="AB29" s="236">
        <f>IF(AJ29&lt;&gt;"",(AF29*LOOKUP(AJ29,Rates!$T$2:$T$108,Rates!$S$2:$S$108))/SQRT(1+IF(AL29&lt;=10,Rates!$Y$5,Rates!$Y$6)),"")</f>
        <v/>
      </c>
      <c r="AC29" s="240">
        <f>IF(AND(AJ29&lt;&gt;"",AJ29&lt;=Rates!$Y$2),MIN(0.5*AF29,300000000,AC28*(1+Info!$F$10)),"")</f>
        <v/>
      </c>
      <c r="AD29" s="240">
        <f>IF(AND(AJ29&lt;&gt;"",AJ29&lt;=60),AF29*Info!$L$16,"")</f>
        <v/>
      </c>
      <c r="AE29" s="68">
        <f>IF(AND(AJ29&lt;&gt;"",AJ29&lt;=70),AF29*(1+Info!$L$14),"")</f>
        <v/>
      </c>
      <c r="AF29" s="68">
        <f>IF(AJ29&lt;&gt;"",AF28*(1+Info!$F$10),"")</f>
        <v/>
      </c>
      <c r="AG29" s="51">
        <f>IF(AJ29&lt;&gt;"",AI29+AG28,"")</f>
        <v/>
      </c>
      <c r="AH29" s="42">
        <f>IF(AJ29&lt;&gt;"",AI29*Rates!$Y$9,"")</f>
        <v/>
      </c>
      <c r="AI29" s="51">
        <f>IF(AJ29&lt;&gt;"",AI28*(1+Info!$F$8),"")</f>
        <v/>
      </c>
      <c r="AJ29" s="57">
        <f>IF(AL29&lt;&gt;"",Info!$F$6+AL29-1,"")</f>
        <v/>
      </c>
      <c r="AK29" s="66">
        <f>IF(AL29&lt;&gt;"",Info!$C$6+AL29-1,"")</f>
        <v/>
      </c>
      <c r="AL29" s="69">
        <f>IF(AL28&lt;&gt;"",IF(AL28+1&lt;=Info!$I$6,AL28+1,""),"")</f>
        <v/>
      </c>
    </row>
    <row r="30">
      <c r="A30" s="236">
        <f>IF(AJ30&lt;&gt;"",D30+D30*(IF(AL30&gt;4,0.1,LOOKUP(Info!$C$10,Rates!$D$2:$D$4,Rates!$C$2:$C$4))+0.85*(Info!$I$22-(IF(AL30&gt;4,0.1,LOOKUP(Info!$C$10,Rates!$D$2:$D$4,Rates!$C$2:$C$4)))))*LOOKUP(Info!$C$8,Rates!$I$2:$I$7,Rates!$G$2:$G$7)+A29*(1+IF(AL30&gt;4,0.1,LOOKUP(Info!$C$10,Rates!$D$2:$D$4,Rates!$C$2:$C$4))+0.85*(Info!$I$22-IF(AL30&gt;4,0.1,LOOKUP(Info!$C$10,Rates!$D$2:$D$4,Rates!$C$2:$C$4)))),"")</f>
        <v/>
      </c>
      <c r="B30" s="236">
        <f>IF(AJ30&lt;&gt;"",IF(AL30&gt;=8,C30,C30*LOOKUP(AL30,Rates!$AG$2:$AG$8,Rates!$AF$2:$AF$8)),"")</f>
        <v/>
      </c>
      <c r="C30" s="236">
        <f>IF(AJ30&lt;&gt;"",D30*(1+IF(AL30&gt;4,0.1,LOOKUP(Info!$C$10,Rates!$D$2:$D$5,Rates!$B$2:$B$5))*LOOKUP(Info!$C$8,Rates!$I$2:$I$7,Rates!$G$2:$G$7))+C29*(1+IF(AL30&gt;4,0.1,LOOKUP(Info!$C$10,Rates!$D$2:$D$5,Rates!$B$2:$B$5))),"")</f>
        <v/>
      </c>
      <c r="D30" s="236">
        <f>IF(AJ30&lt;&gt;"",AI30-(H30+G30+F30+E30+P30+Q30)+IF(Info!$C$20&gt;0,IF(AND(AL30&lt;=Info!$F$20,AL30&gt;=Info!$I$20),Info!$C$20,0),0),"")</f>
        <v/>
      </c>
      <c r="E30" s="236">
        <f>IF(AJ30&lt;&gt;"",(LOOKUP(Info!$C$22,Rates!$AD$2:$AD$4,Rates!$AC$2:$AC$4))*(H30+P30+Q30),"")</f>
        <v/>
      </c>
      <c r="F30" s="236">
        <f>IF(AJ30&lt;&gt;"",(LOOKUP(Info!$C$22,Rates!$AD$2:$AD$4,Rates!$AA$2:$AA$4))*(H30+P30+Q30),"")</f>
        <v/>
      </c>
      <c r="G30" s="236">
        <f>IF(AJ30&lt;&gt;"",(LOOKUP(Info!$C$22,Rates!$AD$2:$AD$4,Rates!$AB$2:$AB$4))*(H30+P30+Q30),"")</f>
        <v/>
      </c>
      <c r="H30" s="236">
        <f>IF(AJ30&lt;&gt;"",I30+J30+AB30,"")</f>
        <v/>
      </c>
      <c r="I30" s="236">
        <f>IF(AJ30&lt;&gt;"",LOOKUP(Info!$C$8,Rates!$I$2:$I$7,Rates!$H$2:$H$7)*(J30+P30+Q30+AB30),"")</f>
        <v/>
      </c>
      <c r="J30" s="244">
        <f>IF(L30="",0,L30)+IF(N30="",0,N30)+IF(O30="",0,O30)</f>
        <v/>
      </c>
      <c r="K30" s="244">
        <f>M30+0.7*M29+0.7*0.5*M28+0.7*0.25*M27+0.7*0.25*M26</f>
        <v/>
      </c>
      <c r="L30" s="244">
        <f>IF(M30&lt;&gt;"",L29+40/100*M29+M30-17.5/100*M25,0)</f>
        <v/>
      </c>
      <c r="M30" s="244">
        <f>IF(AND(AI30&lt;&gt;"",AL30&lt;=10),(1-Info!$C$25)*MIN(30/1000*(AF30-AF29),0.75*(AI30-AI29)),0)</f>
        <v/>
      </c>
      <c r="N30" s="244" t="n">
        <v>0</v>
      </c>
      <c r="O30" s="244">
        <f>IF(AJ30&lt;&gt;"",0.07*AI30*(1-Info!$F$25),0)</f>
        <v/>
      </c>
      <c r="P30" s="238">
        <f>IF(AJ30&lt;&gt;"",Y30+W30+U30+S30+R30,0)</f>
        <v/>
      </c>
      <c r="Q30" s="238">
        <f>IF(AJ30&lt;&gt;"",AA30+Z30+X30+V30+T30,0)</f>
        <v/>
      </c>
      <c r="R30" s="238">
        <f>IF(AJ30&lt;&gt;"",(AB30+AA30+V30+T30)*Info!$L$20,0)</f>
        <v/>
      </c>
      <c r="S30" s="238">
        <f>IF(AJ30&lt;&gt;"",T30*(LOOKUP(Info!$I$18,Rates!$O$2:$O$9,Rates!$L$2:$L$9)/100),0)</f>
        <v/>
      </c>
      <c r="T30" s="238">
        <f>IF(AJ30&lt;&gt;"",IF(Info!$F$14="بله",V30*Rates!$Y$7,0),0)</f>
        <v/>
      </c>
      <c r="U30" s="238">
        <f>IF(AJ30&lt;&gt;"",IF(Info!#REF!="بله",V30*(LOOKUP(Info!$I$18,Rates!$O$2:$O$9,Rates!$L$2:$L$9)/100),V30*(LOOKUP(Info!$F$18,Rates!$O$2:$O$9,Rates!$L$2:$L$9)/100)),0)</f>
        <v/>
      </c>
      <c r="V30" s="239">
        <f>IF(AND(AJ30&lt;&gt;"",AJ30&lt;=Rates!$Y$8,Info!#REF!="بله"),AH30*(LOOKUP(AJ30,Rates!$T$2:$T$108,Rates!#REF!)),IF(AND(AK30&lt;&gt;"",AK30&lt;=Rates!$Y$8,Info!#REF!="خیر"),AH30*(LOOKUP(AK30,Rates!$T$2:$T$108,Rates!#REF!)),0)*(1-Info!$F$29))</f>
        <v/>
      </c>
      <c r="W30" s="239">
        <f>IF(AJ30&lt;&gt;"",X30*LOOKUP(Info!$I$18,Rates!$O$2:$O$9,Rates!$M$2:$M$9)/100,0)</f>
        <v/>
      </c>
      <c r="X30" s="239">
        <f>IF(AJ30&lt;=Rates!$Y$4,0.0008*AF30*Info!$F$12,0)</f>
        <v/>
      </c>
      <c r="Y30" s="239">
        <f>IF(AJ30&lt;&gt;"",Z30*(LOOKUP(Info!$I$18,Rates!$O$2:$O$9,Rates!$N$2:$N$9/100)),0)</f>
        <v/>
      </c>
      <c r="Z30" s="238">
        <f>IF(AND(AJ30&lt;=(Rates!$Y$3),AD30&lt;&gt;""),(1-Info!$I$27)*0.0008*AF30*Info!$I$12,0)</f>
        <v/>
      </c>
      <c r="AA30" s="238">
        <f>IF(AJ30&lt;=60,(LOOKUP(AJ30,Rates!$T$2:$T$108,Rates!#REF!))*AC30/1000000*(1-Info!$I$29),0)</f>
        <v/>
      </c>
      <c r="AB30" s="236">
        <f>IF(AJ30&lt;&gt;"",(AF30*LOOKUP(AJ30,Rates!$T$2:$T$108,Rates!$S$2:$S$108))/SQRT(1+IF(AL30&lt;=10,Rates!$Y$5,Rates!$Y$6)),"")</f>
        <v/>
      </c>
      <c r="AC30" s="240">
        <f>IF(AND(AJ30&lt;&gt;"",AJ30&lt;=Rates!$Y$2),MIN(0.5*AF30,300000000,AC29*(1+Info!$F$10)),"")</f>
        <v/>
      </c>
      <c r="AD30" s="240">
        <f>IF(AND(AJ30&lt;&gt;"",AJ30&lt;=60),AF30*Info!$L$16,"")</f>
        <v/>
      </c>
      <c r="AE30" s="68">
        <f>IF(AND(AJ30&lt;&gt;"",AJ30&lt;=70),AF30*(1+Info!$L$14),"")</f>
        <v/>
      </c>
      <c r="AF30" s="68">
        <f>IF(AJ30&lt;&gt;"",AF29*(1+Info!$F$10),"")</f>
        <v/>
      </c>
      <c r="AG30" s="51">
        <f>IF(AJ30&lt;&gt;"",AI30+AG29,"")</f>
        <v/>
      </c>
      <c r="AH30" s="42">
        <f>IF(AJ30&lt;&gt;"",AI30*Rates!$Y$9,"")</f>
        <v/>
      </c>
      <c r="AI30" s="51">
        <f>IF(AJ30&lt;&gt;"",AI29*(1+Info!$F$8),"")</f>
        <v/>
      </c>
      <c r="AJ30" s="57">
        <f>IF(AL30&lt;&gt;"",Info!$F$6+AL30-1,"")</f>
        <v/>
      </c>
      <c r="AK30" s="66">
        <f>IF(AL30&lt;&gt;"",Info!$C$6+AL30-1,"")</f>
        <v/>
      </c>
      <c r="AL30" s="69">
        <f>IF(AL29&lt;&gt;"",IF(AL29+1&lt;=Info!$I$6,AL29+1,""),"")</f>
        <v/>
      </c>
    </row>
    <row r="31">
      <c r="A31" s="236">
        <f>IF(AJ31&lt;&gt;"",D31+D31*(IF(AL31&gt;4,0.1,LOOKUP(Info!$C$10,Rates!$D$2:$D$4,Rates!$C$2:$C$4))+0.85*(Info!$I$22-(IF(AL31&gt;4,0.1,LOOKUP(Info!$C$10,Rates!$D$2:$D$4,Rates!$C$2:$C$4)))))*LOOKUP(Info!$C$8,Rates!$I$2:$I$7,Rates!$G$2:$G$7)+A30*(1+IF(AL31&gt;4,0.1,LOOKUP(Info!$C$10,Rates!$D$2:$D$4,Rates!$C$2:$C$4))+0.85*(Info!$I$22-IF(AL31&gt;4,0.1,LOOKUP(Info!$C$10,Rates!$D$2:$D$4,Rates!$C$2:$C$4)))),"")</f>
        <v/>
      </c>
      <c r="B31" s="236">
        <f>IF(AJ31&lt;&gt;"",IF(AL31&gt;=8,C31,C31*LOOKUP(AL31,Rates!$AG$2:$AG$8,Rates!$AF$2:$AF$8)),"")</f>
        <v/>
      </c>
      <c r="C31" s="236">
        <f>IF(AJ31&lt;&gt;"",D31*(1+IF(AL31&gt;4,0.1,LOOKUP(Info!$C$10,Rates!$D$2:$D$5,Rates!$B$2:$B$5))*LOOKUP(Info!$C$8,Rates!$I$2:$I$7,Rates!$G$2:$G$7))+C30*(1+IF(AL31&gt;4,0.1,LOOKUP(Info!$C$10,Rates!$D$2:$D$5,Rates!$B$2:$B$5))),"")</f>
        <v/>
      </c>
      <c r="D31" s="236">
        <f>IF(AJ31&lt;&gt;"",AI31-(H31+G31+F31+E31+P31+Q31)+IF(Info!$C$20&gt;0,IF(AND(AL31&lt;=Info!$F$20,AL31&gt;=Info!$I$20),Info!$C$20,0),0),"")</f>
        <v/>
      </c>
      <c r="E31" s="236">
        <f>IF(AJ31&lt;&gt;"",(LOOKUP(Info!$C$22,Rates!$AD$2:$AD$4,Rates!$AC$2:$AC$4))*(H31+P31+Q31),"")</f>
        <v/>
      </c>
      <c r="F31" s="236">
        <f>IF(AJ31&lt;&gt;"",(LOOKUP(Info!$C$22,Rates!$AD$2:$AD$4,Rates!$AA$2:$AA$4))*(H31+P31+Q31),"")</f>
        <v/>
      </c>
      <c r="G31" s="236">
        <f>IF(AJ31&lt;&gt;"",(LOOKUP(Info!$C$22,Rates!$AD$2:$AD$4,Rates!$AB$2:$AB$4))*(H31+P31+Q31),"")</f>
        <v/>
      </c>
      <c r="H31" s="236">
        <f>IF(AJ31&lt;&gt;"",I31+J31+AB31,"")</f>
        <v/>
      </c>
      <c r="I31" s="236">
        <f>IF(AJ31&lt;&gt;"",LOOKUP(Info!$C$8,Rates!$I$2:$I$7,Rates!$H$2:$H$7)*(J31+P31+Q31+AB31),"")</f>
        <v/>
      </c>
      <c r="J31" s="244">
        <f>IF(L31="",0,L31)+IF(N31="",0,N31)+IF(O31="",0,O31)</f>
        <v/>
      </c>
      <c r="K31" s="244">
        <f>M31+0.7*M30+0.7*0.5*M29+0.7*0.25*M28+0.7*0.25*M27</f>
        <v/>
      </c>
      <c r="L31" s="244">
        <f>IF(M31&lt;&gt;"",L30+40/100*M30+M31-17.5/100*M26,0)</f>
        <v/>
      </c>
      <c r="M31" s="244">
        <f>IF(AND(AI31&lt;&gt;"",AL31&lt;=10),(1-Info!$C$25)*MIN(30/1000*(AF31-AF30),0.75*(AI31-AI30)),0)</f>
        <v/>
      </c>
      <c r="N31" s="244" t="n">
        <v>0</v>
      </c>
      <c r="O31" s="244">
        <f>IF(AJ31&lt;&gt;"",0.07*AI31*(1-Info!$F$25),0)</f>
        <v/>
      </c>
      <c r="P31" s="238">
        <f>IF(AJ31&lt;&gt;"",Y31+W31+U31+S31+R31,0)</f>
        <v/>
      </c>
      <c r="Q31" s="238">
        <f>IF(AJ31&lt;&gt;"",AA31+Z31+X31+V31+T31,0)</f>
        <v/>
      </c>
      <c r="R31" s="238">
        <f>IF(AJ31&lt;&gt;"",(AB31+AA31+V31+T31)*Info!$L$20,0)</f>
        <v/>
      </c>
      <c r="S31" s="238">
        <f>IF(AJ31&lt;&gt;"",T31*(LOOKUP(Info!$I$18,Rates!$O$2:$O$9,Rates!$L$2:$L$9)/100),0)</f>
        <v/>
      </c>
      <c r="T31" s="238">
        <f>IF(AJ31&lt;&gt;"",IF(Info!$F$14="بله",V31*Rates!$Y$7,0),0)</f>
        <v/>
      </c>
      <c r="U31" s="238">
        <f>IF(AJ31&lt;&gt;"",IF(Info!#REF!="بله",V31*(LOOKUP(Info!$I$18,Rates!$O$2:$O$9,Rates!$L$2:$L$9)/100),V31*(LOOKUP(Info!$F$18,Rates!$O$2:$O$9,Rates!$L$2:$L$9)/100)),0)</f>
        <v/>
      </c>
      <c r="V31" s="239">
        <f>IF(AND(AJ31&lt;&gt;"",AJ31&lt;=Rates!$Y$8,Info!#REF!="بله"),AH31*(LOOKUP(AJ31,Rates!$T$2:$T$108,Rates!#REF!)),IF(AND(AK31&lt;&gt;"",AK31&lt;=Rates!$Y$8,Info!#REF!="خیر"),AH31*(LOOKUP(AK31,Rates!$T$2:$T$108,Rates!#REF!)),0)*(1-Info!$F$29))</f>
        <v/>
      </c>
      <c r="W31" s="239">
        <f>IF(AJ31&lt;&gt;"",X31*LOOKUP(Info!$I$18,Rates!$O$2:$O$9,Rates!$M$2:$M$9)/100,0)</f>
        <v/>
      </c>
      <c r="X31" s="239">
        <f>IF(AJ31&lt;=Rates!$Y$4,0.0008*AF31*Info!$F$12,0)</f>
        <v/>
      </c>
      <c r="Y31" s="239">
        <f>IF(AJ31&lt;&gt;"",Z31*(LOOKUP(Info!$I$18,Rates!$O$2:$O$9,Rates!$N$2:$N$9/100)),0)</f>
        <v/>
      </c>
      <c r="Z31" s="238">
        <f>IF(AND(AJ31&lt;=(Rates!$Y$3),AD31&lt;&gt;""),(1-Info!$I$27)*0.0008*AF31*Info!$I$12,0)</f>
        <v/>
      </c>
      <c r="AA31" s="238">
        <f>IF(AJ31&lt;=60,(LOOKUP(AJ31,Rates!$T$2:$T$108,Rates!#REF!))*AC31/1000000*(1-Info!$I$29),0)</f>
        <v/>
      </c>
      <c r="AB31" s="236">
        <f>IF(AJ31&lt;&gt;"",(AF31*LOOKUP(AJ31,Rates!$T$2:$T$108,Rates!$S$2:$S$108))/SQRT(1+IF(AL31&lt;=10,Rates!$Y$5,Rates!$Y$6)),"")</f>
        <v/>
      </c>
      <c r="AC31" s="240">
        <f>IF(AND(AJ31&lt;&gt;"",AJ31&lt;=Rates!$Y$2),MIN(0.5*AF31,300000000,AC30*(1+Info!$F$10)),"")</f>
        <v/>
      </c>
      <c r="AD31" s="240">
        <f>IF(AND(AJ31&lt;&gt;"",AJ31&lt;=60),AF31*Info!$L$16,"")</f>
        <v/>
      </c>
      <c r="AE31" s="68">
        <f>IF(AND(AJ31&lt;&gt;"",AJ31&lt;=70),AF31*(1+Info!$L$14),"")</f>
        <v/>
      </c>
      <c r="AF31" s="68">
        <f>IF(AJ31&lt;&gt;"",AF30*(1+Info!$F$10),"")</f>
        <v/>
      </c>
      <c r="AG31" s="51">
        <f>IF(AJ31&lt;&gt;"",AI31+AG30,"")</f>
        <v/>
      </c>
      <c r="AH31" s="42">
        <f>IF(AJ31&lt;&gt;"",AI31*Rates!$Y$9,"")</f>
        <v/>
      </c>
      <c r="AI31" s="51">
        <f>IF(AJ31&lt;&gt;"",AI30*(1+Info!$F$8),"")</f>
        <v/>
      </c>
      <c r="AJ31" s="57">
        <f>IF(AL31&lt;&gt;"",Info!$F$6+AL31-1,"")</f>
        <v/>
      </c>
      <c r="AK31" s="66">
        <f>IF(AL31&lt;&gt;"",Info!$C$6+AL31-1,"")</f>
        <v/>
      </c>
      <c r="AL31" s="69">
        <f>IF(AL30&lt;&gt;"",IF(AL30+1&lt;=Info!$I$6,AL30+1,""),"")</f>
        <v/>
      </c>
    </row>
    <row r="32">
      <c r="A32" s="236">
        <f>IF(AJ32&lt;&gt;"",D32+D32*(IF(AL32&gt;4,0.1,LOOKUP(Info!$C$10,Rates!$D$2:$D$4,Rates!$C$2:$C$4))+0.85*(Info!$I$22-(IF(AL32&gt;4,0.1,LOOKUP(Info!$C$10,Rates!$D$2:$D$4,Rates!$C$2:$C$4)))))*LOOKUP(Info!$C$8,Rates!$I$2:$I$7,Rates!$G$2:$G$7)+A31*(1+IF(AL32&gt;4,0.1,LOOKUP(Info!$C$10,Rates!$D$2:$D$4,Rates!$C$2:$C$4))+0.85*(Info!$I$22-IF(AL32&gt;4,0.1,LOOKUP(Info!$C$10,Rates!$D$2:$D$4,Rates!$C$2:$C$4)))),"")</f>
        <v/>
      </c>
      <c r="B32" s="236">
        <f>IF(AJ32&lt;&gt;"",IF(AL32&gt;=8,C32,C32*LOOKUP(AL32,Rates!$AG$2:$AG$8,Rates!$AF$2:$AF$8)),"")</f>
        <v/>
      </c>
      <c r="C32" s="236">
        <f>IF(AJ32&lt;&gt;"",D32*(1+IF(AL32&gt;4,0.1,LOOKUP(Info!$C$10,Rates!$D$2:$D$5,Rates!$B$2:$B$5))*LOOKUP(Info!$C$8,Rates!$I$2:$I$7,Rates!$G$2:$G$7))+C31*(1+IF(AL32&gt;4,0.1,LOOKUP(Info!$C$10,Rates!$D$2:$D$5,Rates!$B$2:$B$5))),"")</f>
        <v/>
      </c>
      <c r="D32" s="236">
        <f>IF(AJ32&lt;&gt;"",AI32-(H32+G32+F32+E32+P32+Q32)+IF(Info!$C$20&gt;0,IF(AND(AL32&lt;=Info!$F$20,AL32&gt;=Info!$I$20),Info!$C$20,0),0),"")</f>
        <v/>
      </c>
      <c r="E32" s="236">
        <f>IF(AJ32&lt;&gt;"",(LOOKUP(Info!$C$22,Rates!$AD$2:$AD$4,Rates!$AC$2:$AC$4))*(H32+P32+Q32),"")</f>
        <v/>
      </c>
      <c r="F32" s="236">
        <f>IF(AJ32&lt;&gt;"",(LOOKUP(Info!$C$22,Rates!$AD$2:$AD$4,Rates!$AA$2:$AA$4))*(H32+P32+Q32),"")</f>
        <v/>
      </c>
      <c r="G32" s="236">
        <f>IF(AJ32&lt;&gt;"",(LOOKUP(Info!$C$22,Rates!$AD$2:$AD$4,Rates!$AB$2:$AB$4))*(H32+P32+Q32),"")</f>
        <v/>
      </c>
      <c r="H32" s="236">
        <f>IF(AJ32&lt;&gt;"",I32+J32+AB32,"")</f>
        <v/>
      </c>
      <c r="I32" s="236">
        <f>IF(AJ32&lt;&gt;"",LOOKUP(Info!$C$8,Rates!$I$2:$I$7,Rates!$H$2:$H$7)*(J32+P32+Q32+AB32),"")</f>
        <v/>
      </c>
      <c r="J32" s="244">
        <f>IF(L32="",0,L32)+IF(N32="",0,N32)+IF(O32="",0,O32)</f>
        <v/>
      </c>
      <c r="K32" s="244">
        <f>M32+0.7*M31+0.7*0.5*M30+0.7*0.25*M29+0.7*0.25*M28</f>
        <v/>
      </c>
      <c r="L32" s="244">
        <f>IF(M32&lt;&gt;"",L31+40/100*M31+M32-17.5/100*M27,0)</f>
        <v/>
      </c>
      <c r="M32" s="244">
        <f>IF(AND(AI32&lt;&gt;"",AL32&lt;=10),(1-Info!$C$25)*MIN(30/1000*(AF32-AF31),0.75*(AI32-AI31)),0)</f>
        <v/>
      </c>
      <c r="N32" s="244" t="n">
        <v>0</v>
      </c>
      <c r="O32" s="244">
        <f>IF(AJ32&lt;&gt;"",0.07*AI32*(1-Info!$F$25),0)</f>
        <v/>
      </c>
      <c r="P32" s="238">
        <f>IF(AJ32&lt;&gt;"",Y32+W32+U32+S32+R32,0)</f>
        <v/>
      </c>
      <c r="Q32" s="238">
        <f>IF(AJ32&lt;&gt;"",AA32+Z32+X32+V32+T32,0)</f>
        <v/>
      </c>
      <c r="R32" s="238">
        <f>IF(AJ32&lt;&gt;"",(AB32+AA32+V32+T32)*Info!$L$20,0)</f>
        <v/>
      </c>
      <c r="S32" s="238">
        <f>IF(AJ32&lt;&gt;"",T32*(LOOKUP(Info!$I$18,Rates!$O$2:$O$9,Rates!$L$2:$L$9)/100),0)</f>
        <v/>
      </c>
      <c r="T32" s="238">
        <f>IF(AJ32&lt;&gt;"",IF(Info!$F$14="بله",V32*Rates!$Y$7,0),0)</f>
        <v/>
      </c>
      <c r="U32" s="238">
        <f>IF(AJ32&lt;&gt;"",IF(Info!#REF!="بله",V32*(LOOKUP(Info!$I$18,Rates!$O$2:$O$9,Rates!$L$2:$L$9)/100),V32*(LOOKUP(Info!$F$18,Rates!$O$2:$O$9,Rates!$L$2:$L$9)/100)),0)</f>
        <v/>
      </c>
      <c r="V32" s="239">
        <f>IF(AND(AJ32&lt;&gt;"",AJ32&lt;=Rates!$Y$8,Info!#REF!="بله"),AH32*(LOOKUP(AJ32,Rates!$T$2:$T$108,Rates!#REF!)),IF(AND(AK32&lt;&gt;"",AK32&lt;=Rates!$Y$8,Info!#REF!="خیر"),AH32*(LOOKUP(AK32,Rates!$T$2:$T$108,Rates!#REF!)),0)*(1-Info!$F$29))</f>
        <v/>
      </c>
      <c r="W32" s="239">
        <f>IF(AJ32&lt;&gt;"",X32*LOOKUP(Info!$I$18,Rates!$O$2:$O$9,Rates!$M$2:$M$9)/100,0)</f>
        <v/>
      </c>
      <c r="X32" s="239">
        <f>IF(AJ32&lt;=Rates!$Y$4,0.0008*AF32*Info!$F$12,0)</f>
        <v/>
      </c>
      <c r="Y32" s="239">
        <f>IF(AJ32&lt;&gt;"",Z32*(LOOKUP(Info!$I$18,Rates!$O$2:$O$9,Rates!$N$2:$N$9/100)),0)</f>
        <v/>
      </c>
      <c r="Z32" s="238">
        <f>IF(AND(AJ32&lt;=(Rates!$Y$3),AD32&lt;&gt;""),(1-Info!$I$27)*0.0008*AF32*Info!$I$12,0)</f>
        <v/>
      </c>
      <c r="AA32" s="238">
        <f>IF(AJ32&lt;=60,(LOOKUP(AJ32,Rates!$T$2:$T$108,Rates!#REF!))*AC32/1000000*(1-Info!$I$29),0)</f>
        <v/>
      </c>
      <c r="AB32" s="236">
        <f>IF(AJ32&lt;&gt;"",(AF32*LOOKUP(AJ32,Rates!$T$2:$T$108,Rates!$S$2:$S$108))/SQRT(1+IF(AL32&lt;=10,Rates!$Y$5,Rates!$Y$6)),"")</f>
        <v/>
      </c>
      <c r="AC32" s="240">
        <f>IF(AND(AJ32&lt;&gt;"",AJ32&lt;=Rates!$Y$2),MIN(0.5*AF32,300000000,AC31*(1+Info!$F$10)),"")</f>
        <v/>
      </c>
      <c r="AD32" s="240">
        <f>IF(AND(AJ32&lt;&gt;"",AJ32&lt;=60),AF32*Info!$L$16,"")</f>
        <v/>
      </c>
      <c r="AE32" s="68">
        <f>IF(AND(AJ32&lt;&gt;"",AJ32&lt;=70),AF32*(1+Info!$L$14),"")</f>
        <v/>
      </c>
      <c r="AF32" s="68">
        <f>IF(AJ32&lt;&gt;"",AF31*(1+Info!$F$10),"")</f>
        <v/>
      </c>
      <c r="AG32" s="51">
        <f>IF(AJ32&lt;&gt;"",AI32+AG31,"")</f>
        <v/>
      </c>
      <c r="AH32" s="42">
        <f>IF(AJ32&lt;&gt;"",AI32*Rates!$Y$9,"")</f>
        <v/>
      </c>
      <c r="AI32" s="51">
        <f>IF(AJ32&lt;&gt;"",AI31*(1+Info!$F$8),"")</f>
        <v/>
      </c>
      <c r="AJ32" s="57">
        <f>IF(AL32&lt;&gt;"",Info!$F$6+AL32-1,"")</f>
        <v/>
      </c>
      <c r="AK32" s="66">
        <f>IF(AL32&lt;&gt;"",Info!$C$6+AL32-1,"")</f>
        <v/>
      </c>
      <c r="AL32" s="69">
        <f>IF(AL31&lt;&gt;"",IF(AL31+1&lt;=Info!$I$6,AL31+1,""),"")</f>
        <v/>
      </c>
    </row>
    <row r="33">
      <c r="A33" s="236">
        <f>IF(AJ33&lt;&gt;"",D33+D33*(IF(AL33&gt;4,0.1,LOOKUP(Info!$C$10,Rates!$D$2:$D$4,Rates!$C$2:$C$4))+0.85*(Info!$I$22-(IF(AL33&gt;4,0.1,LOOKUP(Info!$C$10,Rates!$D$2:$D$4,Rates!$C$2:$C$4)))))*LOOKUP(Info!$C$8,Rates!$I$2:$I$7,Rates!$G$2:$G$7)+A32*(1+IF(AL33&gt;4,0.1,LOOKUP(Info!$C$10,Rates!$D$2:$D$4,Rates!$C$2:$C$4))+0.85*(Info!$I$22-IF(AL33&gt;4,0.1,LOOKUP(Info!$C$10,Rates!$D$2:$D$4,Rates!$C$2:$C$4)))),"")</f>
        <v/>
      </c>
      <c r="B33" s="236">
        <f>IF(AJ33&lt;&gt;"",IF(AL33&gt;=8,C33,C33*LOOKUP(AL33,Rates!$AG$2:$AG$8,Rates!$AF$2:$AF$8)),"")</f>
        <v/>
      </c>
      <c r="C33" s="236">
        <f>IF(AJ33&lt;&gt;"",D33*(1+IF(AL33&gt;4,0.1,LOOKUP(Info!$C$10,Rates!$D$2:$D$5,Rates!$B$2:$B$5))*LOOKUP(Info!$C$8,Rates!$I$2:$I$7,Rates!$G$2:$G$7))+C32*(1+IF(AL33&gt;4,0.1,LOOKUP(Info!$C$10,Rates!$D$2:$D$5,Rates!$B$2:$B$5))),"")</f>
        <v/>
      </c>
      <c r="D33" s="236">
        <f>IF(AJ33&lt;&gt;"",AI33-(H33+G33+F33+E33+P33+Q33)+IF(Info!$C$20&gt;0,IF(AND(AL33&lt;=Info!$F$20,AL33&gt;=Info!$I$20),Info!$C$20,0),0),"")</f>
        <v/>
      </c>
      <c r="E33" s="236">
        <f>IF(AJ33&lt;&gt;"",(LOOKUP(Info!$C$22,Rates!$AD$2:$AD$4,Rates!$AC$2:$AC$4))*(H33+P33+Q33),"")</f>
        <v/>
      </c>
      <c r="F33" s="236">
        <f>IF(AJ33&lt;&gt;"",(LOOKUP(Info!$C$22,Rates!$AD$2:$AD$4,Rates!$AA$2:$AA$4))*(H33+P33+Q33),"")</f>
        <v/>
      </c>
      <c r="G33" s="236">
        <f>IF(AJ33&lt;&gt;"",(LOOKUP(Info!$C$22,Rates!$AD$2:$AD$4,Rates!$AB$2:$AB$4))*(H33+P33+Q33),"")</f>
        <v/>
      </c>
      <c r="H33" s="236">
        <f>IF(AJ33&lt;&gt;"",I33+J33+AB33,"")</f>
        <v/>
      </c>
      <c r="I33" s="236">
        <f>IF(AJ33&lt;&gt;"",LOOKUP(Info!$C$8,Rates!$I$2:$I$7,Rates!$H$2:$H$7)*(J33+P33+Q33+AB33),"")</f>
        <v/>
      </c>
      <c r="J33" s="244">
        <f>IF(L33="",0,L33)+IF(N33="",0,N33)+IF(O33="",0,O33)</f>
        <v/>
      </c>
      <c r="K33" s="244">
        <f>M33+0.7*M32+0.7*0.5*M31+0.7*0.25*M30+0.7*0.25*M29</f>
        <v/>
      </c>
      <c r="L33" s="244">
        <f>IF(M33&lt;&gt;"",L32+40/100*M32+M33-17.5/100*M28,0)</f>
        <v/>
      </c>
      <c r="M33" s="244">
        <f>IF(AND(AI33&lt;&gt;"",AL33&lt;=10),(1-Info!$C$25)*MIN(30/1000*(AF33-AF32),0.75*(AI33-AI32)),0)</f>
        <v/>
      </c>
      <c r="N33" s="244" t="n">
        <v>0</v>
      </c>
      <c r="O33" s="244">
        <f>IF(AJ33&lt;&gt;"",0.07*AI33*(1-Info!$F$25),0)</f>
        <v/>
      </c>
      <c r="P33" s="238">
        <f>IF(AJ33&lt;&gt;"",Y33+W33+U33+S33+R33,0)</f>
        <v/>
      </c>
      <c r="Q33" s="238">
        <f>IF(AJ33&lt;&gt;"",AA33+Z33+X33+V33+T33,0)</f>
        <v/>
      </c>
      <c r="R33" s="238">
        <f>IF(AJ33&lt;&gt;"",(AB33+AA33+V33+T33)*Info!$L$20,0)</f>
        <v/>
      </c>
      <c r="S33" s="238">
        <f>IF(AJ33&lt;&gt;"",T33*(LOOKUP(Info!$I$18,Rates!$O$2:$O$9,Rates!$L$2:$L$9)/100),0)</f>
        <v/>
      </c>
      <c r="T33" s="238">
        <f>IF(AJ33&lt;&gt;"",IF(Info!$F$14="بله",V33*Rates!$Y$7,0),0)</f>
        <v/>
      </c>
      <c r="U33" s="238">
        <f>IF(AJ33&lt;&gt;"",IF(Info!#REF!="بله",V33*(LOOKUP(Info!$I$18,Rates!$O$2:$O$9,Rates!$L$2:$L$9)/100),V33*(LOOKUP(Info!$F$18,Rates!$O$2:$O$9,Rates!$L$2:$L$9)/100)),0)</f>
        <v/>
      </c>
      <c r="V33" s="239">
        <f>IF(AND(AJ33&lt;&gt;"",AJ33&lt;=Rates!$Y$8,Info!#REF!="بله"),AH33*(LOOKUP(AJ33,Rates!$T$2:$T$108,Rates!#REF!)),IF(AND(AK33&lt;&gt;"",AK33&lt;=Rates!$Y$8,Info!#REF!="خیر"),AH33*(LOOKUP(AK33,Rates!$T$2:$T$108,Rates!#REF!)),0)*(1-Info!$F$29))</f>
        <v/>
      </c>
      <c r="W33" s="239">
        <f>IF(AJ33&lt;&gt;"",X33*LOOKUP(Info!$I$18,Rates!$O$2:$O$9,Rates!$M$2:$M$9)/100,0)</f>
        <v/>
      </c>
      <c r="X33" s="239">
        <f>IF(AJ33&lt;=Rates!$Y$4,0.0008*AF33*Info!$F$12,0)</f>
        <v/>
      </c>
      <c r="Y33" s="239">
        <f>IF(AJ33&lt;&gt;"",Z33*(LOOKUP(Info!$I$18,Rates!$O$2:$O$9,Rates!$N$2:$N$9/100)),0)</f>
        <v/>
      </c>
      <c r="Z33" s="238">
        <f>IF(AND(AJ33&lt;=(Rates!$Y$3),AD33&lt;&gt;""),(1-Info!$I$27)*0.0008*AF33*Info!$I$12,0)</f>
        <v/>
      </c>
      <c r="AA33" s="238">
        <f>IF(AJ33&lt;=60,(LOOKUP(AJ33,Rates!$T$2:$T$108,Rates!#REF!))*AC33/1000000*(1-Info!$I$29),0)</f>
        <v/>
      </c>
      <c r="AB33" s="236">
        <f>IF(AJ33&lt;&gt;"",(AF33*LOOKUP(AJ33,Rates!$T$2:$T$108,Rates!$S$2:$S$108))/SQRT(1+IF(AL33&lt;=10,Rates!$Y$5,Rates!$Y$6)),"")</f>
        <v/>
      </c>
      <c r="AC33" s="240">
        <f>IF(AND(AJ33&lt;&gt;"",AJ33&lt;=Rates!$Y$2),MIN(0.5*AF33,300000000,AC32*(1+Info!$F$10)),"")</f>
        <v/>
      </c>
      <c r="AD33" s="240">
        <f>IF(AND(AJ33&lt;&gt;"",AJ33&lt;=60),AF33*Info!$L$16,"")</f>
        <v/>
      </c>
      <c r="AE33" s="68">
        <f>IF(AND(AJ33&lt;&gt;"",AJ33&lt;=70),AF33*(1+Info!$L$14),"")</f>
        <v/>
      </c>
      <c r="AF33" s="68">
        <f>IF(AJ33&lt;&gt;"",AF32*(1+Info!$F$10),"")</f>
        <v/>
      </c>
      <c r="AG33" s="51">
        <f>IF(AJ33&lt;&gt;"",AI33+AG32,"")</f>
        <v/>
      </c>
      <c r="AH33" s="42">
        <f>IF(AJ33&lt;&gt;"",AI33*Rates!$Y$9,"")</f>
        <v/>
      </c>
      <c r="AI33" s="51">
        <f>IF(AJ33&lt;&gt;"",AI32*(1+Info!$F$8),"")</f>
        <v/>
      </c>
      <c r="AJ33" s="57">
        <f>IF(AL33&lt;&gt;"",Info!$F$6+AL33-1,"")</f>
        <v/>
      </c>
      <c r="AK33" s="66">
        <f>IF(AL33&lt;&gt;"",Info!$C$6+AL33-1,"")</f>
        <v/>
      </c>
      <c r="AL33" s="69">
        <f>IF(AL32&lt;&gt;"",IF(AL32+1&lt;=Info!$I$6,AL32+1,""),"")</f>
        <v/>
      </c>
    </row>
    <row r="34">
      <c r="A34" s="236">
        <f>IF(AJ34&lt;&gt;"",D34+D34*(IF(AL34&gt;4,0.1,LOOKUP(Info!$C$10,Rates!$D$2:$D$4,Rates!$C$2:$C$4))+0.85*(Info!$I$22-(IF(AL34&gt;4,0.1,LOOKUP(Info!$C$10,Rates!$D$2:$D$4,Rates!$C$2:$C$4)))))*LOOKUP(Info!$C$8,Rates!$I$2:$I$7,Rates!$G$2:$G$7)+A33*(1+IF(AL34&gt;4,0.1,LOOKUP(Info!$C$10,Rates!$D$2:$D$4,Rates!$C$2:$C$4))+0.85*(Info!$I$22-IF(AL34&gt;4,0.1,LOOKUP(Info!$C$10,Rates!$D$2:$D$4,Rates!$C$2:$C$4)))),"")</f>
        <v/>
      </c>
      <c r="B34" s="236">
        <f>IF(AJ34&lt;&gt;"",IF(AL34&gt;=8,C34,C34*LOOKUP(AL34,Rates!$AG$2:$AG$8,Rates!$AF$2:$AF$8)),"")</f>
        <v/>
      </c>
      <c r="C34" s="236">
        <f>IF(AJ34&lt;&gt;"",D34*(1+IF(AL34&gt;4,0.1,LOOKUP(Info!$C$10,Rates!$D$2:$D$5,Rates!$B$2:$B$5))*LOOKUP(Info!$C$8,Rates!$I$2:$I$7,Rates!$G$2:$G$7))+C33*(1+IF(AL34&gt;4,0.1,LOOKUP(Info!$C$10,Rates!$D$2:$D$5,Rates!$B$2:$B$5))),"")</f>
        <v/>
      </c>
      <c r="D34" s="236">
        <f>IF(AJ34&lt;&gt;"",AI34-(H34+G34+F34+E34+P34+Q34)+IF(Info!$C$20&gt;0,IF(AND(AL34&lt;=Info!$F$20,AL34&gt;=Info!$I$20),Info!$C$20,0),0),"")</f>
        <v/>
      </c>
      <c r="E34" s="236">
        <f>IF(AJ34&lt;&gt;"",(LOOKUP(Info!$C$22,Rates!$AD$2:$AD$4,Rates!$AC$2:$AC$4))*(H34+P34+Q34),"")</f>
        <v/>
      </c>
      <c r="F34" s="236">
        <f>IF(AJ34&lt;&gt;"",(LOOKUP(Info!$C$22,Rates!$AD$2:$AD$4,Rates!$AA$2:$AA$4))*(H34+P34+Q34),"")</f>
        <v/>
      </c>
      <c r="G34" s="236">
        <f>IF(AJ34&lt;&gt;"",(LOOKUP(Info!$C$22,Rates!$AD$2:$AD$4,Rates!$AB$2:$AB$4))*(H34+P34+Q34),"")</f>
        <v/>
      </c>
      <c r="H34" s="236">
        <f>IF(AJ34&lt;&gt;"",I34+J34+AB34,"")</f>
        <v/>
      </c>
      <c r="I34" s="236">
        <f>IF(AJ34&lt;&gt;"",LOOKUP(Info!$C$8,Rates!$I$2:$I$7,Rates!$H$2:$H$7)*(J34+P34+Q34+AB34),"")</f>
        <v/>
      </c>
      <c r="J34" s="244">
        <f>IF(L34="",0,L34)+IF(N34="",0,N34)+IF(O34="",0,O34)</f>
        <v/>
      </c>
      <c r="K34" s="244">
        <f>M34+0.7*M33+0.7*0.5*M32+0.7*0.25*M31+0.7*0.25*M30</f>
        <v/>
      </c>
      <c r="L34" s="244">
        <f>IF(M34&lt;&gt;"",L33+40/100*M33+M34-17.5/100*M29,0)</f>
        <v/>
      </c>
      <c r="M34" s="244">
        <f>IF(AND(AI34&lt;&gt;"",AL34&lt;=10),(1-Info!$C$25)*MIN(30/1000*(AF34-AF33),0.75*(AI34-AI33)),0)</f>
        <v/>
      </c>
      <c r="N34" s="244" t="n">
        <v>0</v>
      </c>
      <c r="O34" s="244">
        <f>IF(AJ34&lt;&gt;"",0.07*AI34*(1-Info!$F$25),0)</f>
        <v/>
      </c>
      <c r="P34" s="238">
        <f>IF(AJ34&lt;&gt;"",Y34+W34+U34+S34+R34,0)</f>
        <v/>
      </c>
      <c r="Q34" s="238">
        <f>IF(AJ34&lt;&gt;"",AA34+Z34+X34+V34+T34,0)</f>
        <v/>
      </c>
      <c r="R34" s="238">
        <f>IF(AJ34&lt;&gt;"",(AB34+AA34+V34+T34)*Info!$L$20,0)</f>
        <v/>
      </c>
      <c r="S34" s="238">
        <f>IF(AJ34&lt;&gt;"",T34*(LOOKUP(Info!$I$18,Rates!$O$2:$O$9,Rates!$L$2:$L$9)/100),0)</f>
        <v/>
      </c>
      <c r="T34" s="238">
        <f>IF(AJ34&lt;&gt;"",IF(Info!$F$14="بله",V34*Rates!$Y$7,0),0)</f>
        <v/>
      </c>
      <c r="U34" s="238">
        <f>IF(AJ34&lt;&gt;"",IF(Info!#REF!="بله",V34*(LOOKUP(Info!$I$18,Rates!$O$2:$O$9,Rates!$L$2:$L$9)/100),V34*(LOOKUP(Info!$F$18,Rates!$O$2:$O$9,Rates!$L$2:$L$9)/100)),0)</f>
        <v/>
      </c>
      <c r="V34" s="239">
        <f>IF(AND(AJ34&lt;&gt;"",AJ34&lt;=Rates!$Y$8,Info!#REF!="بله"),AH34*(LOOKUP(AJ34,Rates!$T$2:$T$108,Rates!#REF!)),IF(AND(AK34&lt;&gt;"",AK34&lt;=Rates!$Y$8,Info!#REF!="خیر"),AH34*(LOOKUP(AK34,Rates!$T$2:$T$108,Rates!#REF!)),0)*(1-Info!$F$29))</f>
        <v/>
      </c>
      <c r="W34" s="239">
        <f>IF(AJ34&lt;&gt;"",X34*LOOKUP(Info!$I$18,Rates!$O$2:$O$9,Rates!$M$2:$M$9)/100,0)</f>
        <v/>
      </c>
      <c r="X34" s="239">
        <f>IF(AJ34&lt;=Rates!$Y$4,0.0008*AF34*Info!$F$12,0)</f>
        <v/>
      </c>
      <c r="Y34" s="239">
        <f>IF(AJ34&lt;&gt;"",Z34*(LOOKUP(Info!$I$18,Rates!$O$2:$O$9,Rates!$N$2:$N$9/100)),0)</f>
        <v/>
      </c>
      <c r="Z34" s="238">
        <f>IF(AND(AJ34&lt;=(Rates!$Y$3),AD34&lt;&gt;""),(1-Info!$I$27)*0.0008*AF34*Info!$I$12,0)</f>
        <v/>
      </c>
      <c r="AA34" s="238">
        <f>IF(AJ34&lt;=60,(LOOKUP(AJ34,Rates!$T$2:$T$108,Rates!#REF!))*AC34/1000000*(1-Info!$I$29),0)</f>
        <v/>
      </c>
      <c r="AB34" s="236">
        <f>IF(AJ34&lt;&gt;"",(AF34*LOOKUP(AJ34,Rates!$T$2:$T$108,Rates!$S$2:$S$108))/SQRT(1+IF(AL34&lt;=10,Rates!$Y$5,Rates!$Y$6)),"")</f>
        <v/>
      </c>
      <c r="AC34" s="240">
        <f>IF(AND(AJ34&lt;&gt;"",AJ34&lt;=Rates!$Y$2),MIN(0.5*AF34,300000000,AC33*(1+Info!$F$10)),"")</f>
        <v/>
      </c>
      <c r="AD34" s="240">
        <f>IF(AND(AJ34&lt;&gt;"",AJ34&lt;=60),AF34*Info!$L$16,"")</f>
        <v/>
      </c>
      <c r="AE34" s="68">
        <f>IF(AND(AJ34&lt;&gt;"",AJ34&lt;=70),AF34*(1+Info!$L$14),"")</f>
        <v/>
      </c>
      <c r="AF34" s="68">
        <f>IF(AJ34&lt;&gt;"",AF33*(1+Info!$F$10),"")</f>
        <v/>
      </c>
      <c r="AG34" s="51">
        <f>IF(AJ34&lt;&gt;"",AI34+AG33,"")</f>
        <v/>
      </c>
      <c r="AH34" s="42">
        <f>IF(AJ34&lt;&gt;"",AI34*Rates!$Y$9,"")</f>
        <v/>
      </c>
      <c r="AI34" s="51">
        <f>IF(AJ34&lt;&gt;"",AI33*(1+Info!$F$8),"")</f>
        <v/>
      </c>
      <c r="AJ34" s="57">
        <f>IF(AL34&lt;&gt;"",Info!$F$6+AL34-1,"")</f>
        <v/>
      </c>
      <c r="AK34" s="66">
        <f>IF(AL34&lt;&gt;"",Info!$C$6+AL34-1,"")</f>
        <v/>
      </c>
      <c r="AL34" s="69">
        <f>IF(AL33&lt;&gt;"",IF(AL33+1&lt;=Info!$I$6,AL33+1,""),"")</f>
        <v/>
      </c>
    </row>
    <row r="35">
      <c r="A35" s="236">
        <f>IF(AJ35&lt;&gt;"",D35+D35*(IF(AL35&gt;4,0.1,LOOKUP(Info!$C$10,Rates!$D$2:$D$4,Rates!$C$2:$C$4))+0.85*(Info!$I$22-(IF(AL35&gt;4,0.1,LOOKUP(Info!$C$10,Rates!$D$2:$D$4,Rates!$C$2:$C$4)))))*LOOKUP(Info!$C$8,Rates!$I$2:$I$7,Rates!$G$2:$G$7)+A34*(1+IF(AL35&gt;4,0.1,LOOKUP(Info!$C$10,Rates!$D$2:$D$4,Rates!$C$2:$C$4))+0.85*(Info!$I$22-IF(AL35&gt;4,0.1,LOOKUP(Info!$C$10,Rates!$D$2:$D$4,Rates!$C$2:$C$4)))),"")</f>
        <v/>
      </c>
      <c r="B35" s="236">
        <f>IF(AJ35&lt;&gt;"",IF(AL35&gt;=8,C35,C35*LOOKUP(AL35,Rates!$AG$2:$AG$8,Rates!$AF$2:$AF$8)),"")</f>
        <v/>
      </c>
      <c r="C35" s="236">
        <f>IF(AJ35&lt;&gt;"",D35*(1+IF(AL35&gt;4,0.1,LOOKUP(Info!$C$10,Rates!$D$2:$D$5,Rates!$B$2:$B$5))*LOOKUP(Info!$C$8,Rates!$I$2:$I$7,Rates!$G$2:$G$7))+C34*(1+IF(AL35&gt;4,0.1,LOOKUP(Info!$C$10,Rates!$D$2:$D$5,Rates!$B$2:$B$5))),"")</f>
        <v/>
      </c>
      <c r="D35" s="236">
        <f>IF(AJ35&lt;&gt;"",AI35-(H35+G35+F35+E35+P35+Q35)+IF(Info!$C$20&gt;0,IF(AND(AL35&lt;=Info!$F$20,AL35&gt;=Info!$I$20),Info!$C$20,0),0),"")</f>
        <v/>
      </c>
      <c r="E35" s="236">
        <f>IF(AJ35&lt;&gt;"",(LOOKUP(Info!$C$22,Rates!$AD$2:$AD$4,Rates!$AC$2:$AC$4))*(H35+P35+Q35),"")</f>
        <v/>
      </c>
      <c r="F35" s="236">
        <f>IF(AJ35&lt;&gt;"",(LOOKUP(Info!$C$22,Rates!$AD$2:$AD$4,Rates!$AA$2:$AA$4))*(H35+P35+Q35),"")</f>
        <v/>
      </c>
      <c r="G35" s="236">
        <f>IF(AJ35&lt;&gt;"",(LOOKUP(Info!$C$22,Rates!$AD$2:$AD$4,Rates!$AB$2:$AB$4))*(H35+P35+Q35),"")</f>
        <v/>
      </c>
      <c r="H35" s="236">
        <f>IF(AJ35&lt;&gt;"",I35+J35+AB35,"")</f>
        <v/>
      </c>
      <c r="I35" s="236">
        <f>IF(AJ35&lt;&gt;"",LOOKUP(Info!$C$8,Rates!$I$2:$I$7,Rates!$H$2:$H$7)*(J35+P35+Q35+AB35),"")</f>
        <v/>
      </c>
      <c r="J35" s="244">
        <f>IF(L35="",0,L35)+IF(N35="",0,N35)+IF(O35="",0,O35)</f>
        <v/>
      </c>
      <c r="K35" s="244">
        <f>M35+0.7*M34+0.7*0.5*M33+0.7*0.25*M32+0.7*0.25*M31</f>
        <v/>
      </c>
      <c r="L35" s="244">
        <f>IF(M35&lt;&gt;"",L34+40/100*M34+M35-17.5/100*M30,0)</f>
        <v/>
      </c>
      <c r="M35" s="244">
        <f>IF(AND(AI35&lt;&gt;"",AL35&lt;=10),(1-Info!$C$25)*MIN(30/1000*(AF35-AF34),0.75*(AI35-AI34)),0)</f>
        <v/>
      </c>
      <c r="N35" s="244" t="n">
        <v>0</v>
      </c>
      <c r="O35" s="244">
        <f>IF(AJ35&lt;&gt;"",0.07*AI35*(1-Info!$F$25),0)</f>
        <v/>
      </c>
      <c r="P35" s="238">
        <f>IF(AJ35&lt;&gt;"",Y35+W35+U35+S35+R35,0)</f>
        <v/>
      </c>
      <c r="Q35" s="238">
        <f>IF(AJ35&lt;&gt;"",AA35+Z35+X35+V35+T35,0)</f>
        <v/>
      </c>
      <c r="R35" s="238">
        <f>IF(AJ35&lt;&gt;"",(AB35+AA35+V35+T35)*Info!$L$20,0)</f>
        <v/>
      </c>
      <c r="S35" s="238">
        <f>IF(AJ35&lt;&gt;"",T35*(LOOKUP(Info!$I$18,Rates!$O$2:$O$9,Rates!$L$2:$L$9)/100),0)</f>
        <v/>
      </c>
      <c r="T35" s="238">
        <f>IF(AJ35&lt;&gt;"",IF(Info!$F$14="بله",V35*Rates!$Y$7,0),0)</f>
        <v/>
      </c>
      <c r="U35" s="238">
        <f>IF(AJ35&lt;&gt;"",IF(Info!#REF!="بله",V35*(LOOKUP(Info!$I$18,Rates!$O$2:$O$9,Rates!$L$2:$L$9)/100),V35*(LOOKUP(Info!$F$18,Rates!$O$2:$O$9,Rates!$L$2:$L$9)/100)),0)</f>
        <v/>
      </c>
      <c r="V35" s="239">
        <f>IF(AND(AJ35&lt;&gt;"",AJ35&lt;=Rates!$Y$8,Info!#REF!="بله"),AH35*(LOOKUP(AJ35,Rates!$T$2:$T$108,Rates!#REF!)),IF(AND(AK35&lt;&gt;"",AK35&lt;=Rates!$Y$8,Info!#REF!="خیر"),AH35*(LOOKUP(AK35,Rates!$T$2:$T$108,Rates!#REF!)),0)*(1-Info!$F$29))</f>
        <v/>
      </c>
      <c r="W35" s="239">
        <f>IF(AJ35&lt;&gt;"",X35*LOOKUP(Info!$I$18,Rates!$O$2:$O$9,Rates!$M$2:$M$9)/100,0)</f>
        <v/>
      </c>
      <c r="X35" s="239">
        <f>IF(AJ35&lt;=Rates!$Y$4,0.0008*AF35*Info!$F$12,0)</f>
        <v/>
      </c>
      <c r="Y35" s="239">
        <f>IF(AJ35&lt;&gt;"",Z35*(LOOKUP(Info!$I$18,Rates!$O$2:$O$9,Rates!$N$2:$N$9/100)),0)</f>
        <v/>
      </c>
      <c r="Z35" s="238">
        <f>IF(AND(AJ35&lt;=(Rates!$Y$3),AD35&lt;&gt;""),(1-Info!$I$27)*0.0008*AF35*Info!$I$12,0)</f>
        <v/>
      </c>
      <c r="AA35" s="238">
        <f>IF(AJ35&lt;=60,(LOOKUP(AJ35,Rates!$T$2:$T$108,Rates!#REF!))*AC35/1000000*(1-Info!$I$29),0)</f>
        <v/>
      </c>
      <c r="AB35" s="236">
        <f>IF(AJ35&lt;&gt;"",(AF35*LOOKUP(AJ35,Rates!$T$2:$T$108,Rates!$S$2:$S$108))/SQRT(1+IF(AL35&lt;=10,Rates!$Y$5,Rates!$Y$6)),"")</f>
        <v/>
      </c>
      <c r="AC35" s="240">
        <f>IF(AND(AJ35&lt;&gt;"",AJ35&lt;=Rates!$Y$2),MIN(0.5*AF35,300000000,AC34*(1+Info!$F$10)),"")</f>
        <v/>
      </c>
      <c r="AD35" s="240">
        <f>IF(AND(AJ35&lt;&gt;"",AJ35&lt;=60),AF35*Info!$L$16,"")</f>
        <v/>
      </c>
      <c r="AE35" s="68">
        <f>IF(AND(AJ35&lt;&gt;"",AJ35&lt;=70),AF35*(1+Info!$L$14),"")</f>
        <v/>
      </c>
      <c r="AF35" s="68">
        <f>IF(AJ35&lt;&gt;"",AF34*(1+Info!$F$10),"")</f>
        <v/>
      </c>
      <c r="AG35" s="51">
        <f>IF(AJ35&lt;&gt;"",AI35+AG34,"")</f>
        <v/>
      </c>
      <c r="AH35" s="42">
        <f>IF(AJ35&lt;&gt;"",AI35*Rates!$Y$9,"")</f>
        <v/>
      </c>
      <c r="AI35" s="51">
        <f>IF(AJ35&lt;&gt;"",AI34*(1+Info!$F$8),"")</f>
        <v/>
      </c>
      <c r="AJ35" s="57">
        <f>IF(AL35&lt;&gt;"",Info!$F$6+AL35-1,"")</f>
        <v/>
      </c>
      <c r="AK35" s="66">
        <f>IF(AL35&lt;&gt;"",Info!$C$6+AL35-1,"")</f>
        <v/>
      </c>
      <c r="AL35" s="69">
        <f>IF(AL34&lt;&gt;"",IF(AL34+1&lt;=Info!$I$6,AL34+1,""),"")</f>
        <v/>
      </c>
    </row>
    <row r="36">
      <c r="A36" s="236">
        <f>IF(AJ36&lt;&gt;"",D36+D36*(IF(AL36&gt;4,0.1,LOOKUP(Info!$C$10,Rates!$D$2:$D$4,Rates!$C$2:$C$4))+0.85*(Info!$I$22-(IF(AL36&gt;4,0.1,LOOKUP(Info!$C$10,Rates!$D$2:$D$4,Rates!$C$2:$C$4)))))*LOOKUP(Info!$C$8,Rates!$I$2:$I$7,Rates!$G$2:$G$7)+A35*(1+IF(AL36&gt;4,0.1,LOOKUP(Info!$C$10,Rates!$D$2:$D$4,Rates!$C$2:$C$4))+0.85*(Info!$I$22-IF(AL36&gt;4,0.1,LOOKUP(Info!$C$10,Rates!$D$2:$D$4,Rates!$C$2:$C$4)))),"")</f>
        <v/>
      </c>
      <c r="B36" s="236">
        <f>IF(AJ36&lt;&gt;"",IF(AL36&gt;=8,C36,C36*LOOKUP(AL36,Rates!$AG$2:$AG$8,Rates!$AF$2:$AF$8)),"")</f>
        <v/>
      </c>
      <c r="C36" s="236">
        <f>IF(AJ36&lt;&gt;"",D36*(1+IF(AL36&gt;4,0.1,LOOKUP(Info!$C$10,Rates!$D$2:$D$5,Rates!$B$2:$B$5))*LOOKUP(Info!$C$8,Rates!$I$2:$I$7,Rates!$G$2:$G$7))+C35*(1+IF(AL36&gt;4,0.1,LOOKUP(Info!$C$10,Rates!$D$2:$D$5,Rates!$B$2:$B$5))),"")</f>
        <v/>
      </c>
      <c r="D36" s="236">
        <f>IF(AJ36&lt;&gt;"",AI36-(H36+G36+F36+E36+P36+Q36)+IF(Info!$C$20&gt;0,IF(AND(AL36&lt;=Info!$F$20,AL36&gt;=Info!$I$20),Info!$C$20,0),0),"")</f>
        <v/>
      </c>
      <c r="E36" s="236">
        <f>IF(AJ36&lt;&gt;"",(LOOKUP(Info!$C$22,Rates!$AD$2:$AD$4,Rates!$AC$2:$AC$4))*(H36+P36+Q36),"")</f>
        <v/>
      </c>
      <c r="F36" s="236">
        <f>IF(AJ36&lt;&gt;"",(LOOKUP(Info!$C$22,Rates!$AD$2:$AD$4,Rates!$AA$2:$AA$4))*(H36+P36+Q36),"")</f>
        <v/>
      </c>
      <c r="G36" s="236">
        <f>IF(AJ36&lt;&gt;"",(LOOKUP(Info!$C$22,Rates!$AD$2:$AD$4,Rates!$AB$2:$AB$4))*(H36+P36+Q36),"")</f>
        <v/>
      </c>
      <c r="H36" s="236">
        <f>IF(AJ36&lt;&gt;"",I36+J36+AB36,"")</f>
        <v/>
      </c>
      <c r="I36" s="236">
        <f>IF(AJ36&lt;&gt;"",LOOKUP(Info!$C$8,Rates!$I$2:$I$7,Rates!$H$2:$H$7)*(J36+P36+Q36+AB36),"")</f>
        <v/>
      </c>
      <c r="J36" s="244">
        <f>IF(L36="",0,L36)+IF(N36="",0,N36)+IF(O36="",0,O36)</f>
        <v/>
      </c>
      <c r="K36" s="244">
        <f>M36+0.7*M35+0.7*0.5*M34+0.7*0.25*M33+0.7*0.25*M32</f>
        <v/>
      </c>
      <c r="L36" s="244">
        <f>IF(M36&lt;&gt;"",L35+40/100*M35+M36-17.5/100*M31,0)</f>
        <v/>
      </c>
      <c r="M36" s="244">
        <f>IF(AND(AI36&lt;&gt;"",AL36&lt;=10),(1-Info!$C$25)*MIN(30/1000*(AF36-AF35),0.75*(AI36-AI35)),0)</f>
        <v/>
      </c>
      <c r="N36" s="244" t="n">
        <v>0</v>
      </c>
      <c r="O36" s="244">
        <f>IF(AJ36&lt;&gt;"",0.07*AI36*(1-Info!$F$25),0)</f>
        <v/>
      </c>
      <c r="P36" s="238">
        <f>IF(AJ36&lt;&gt;"",Y36+W36+U36+S36+R36,0)</f>
        <v/>
      </c>
      <c r="Q36" s="238">
        <f>IF(AJ36&lt;&gt;"",AA36+Z36+X36+V36+T36,0)</f>
        <v/>
      </c>
      <c r="R36" s="238">
        <f>IF(AJ36&lt;&gt;"",(AB36+AA36+V36+T36)*Info!$L$20,0)</f>
        <v/>
      </c>
      <c r="S36" s="238">
        <f>IF(AJ36&lt;&gt;"",T36*(LOOKUP(Info!$I$18,Rates!$O$2:$O$9,Rates!$L$2:$L$9)/100),0)</f>
        <v/>
      </c>
      <c r="T36" s="238">
        <f>IF(AJ36&lt;&gt;"",IF(Info!$F$14="بله",V36*Rates!$Y$7,0),0)</f>
        <v/>
      </c>
      <c r="U36" s="238">
        <f>IF(AJ36&lt;&gt;"",IF(Info!#REF!="بله",V36*(LOOKUP(Info!$I$18,Rates!$O$2:$O$9,Rates!$L$2:$L$9)/100),V36*(LOOKUP(Info!$F$18,Rates!$O$2:$O$9,Rates!$L$2:$L$9)/100)),0)</f>
        <v/>
      </c>
      <c r="V36" s="239">
        <f>IF(AND(AJ36&lt;&gt;"",AJ36&lt;=Rates!$Y$8,Info!#REF!="بله"),AH36*(LOOKUP(AJ36,Rates!$T$2:$T$108,Rates!#REF!)),IF(AND(AK36&lt;&gt;"",AK36&lt;=Rates!$Y$8,Info!#REF!="خیر"),AH36*(LOOKUP(AK36,Rates!$T$2:$T$108,Rates!#REF!)),0)*(1-Info!$F$29))</f>
        <v/>
      </c>
      <c r="W36" s="239">
        <f>IF(AJ36&lt;&gt;"",X36*LOOKUP(Info!$I$18,Rates!$O$2:$O$9,Rates!$M$2:$M$9)/100,0)</f>
        <v/>
      </c>
      <c r="X36" s="239">
        <f>IF(AJ36&lt;=Rates!$Y$4,0.0008*AF36*Info!$F$12,0)</f>
        <v/>
      </c>
      <c r="Y36" s="239">
        <f>IF(AJ36&lt;&gt;"",Z36*(LOOKUP(Info!$I$18,Rates!$O$2:$O$9,Rates!$N$2:$N$9/100)),0)</f>
        <v/>
      </c>
      <c r="Z36" s="238">
        <f>IF(AND(AJ36&lt;=(Rates!$Y$3),AD36&lt;&gt;""),(1-Info!$I$27)*0.0008*AF36*Info!$I$12,0)</f>
        <v/>
      </c>
      <c r="AA36" s="238">
        <f>IF(AJ36&lt;=60,(LOOKUP(AJ36,Rates!$T$2:$T$108,Rates!#REF!))*AC36/1000000*(1-Info!$I$29),0)</f>
        <v/>
      </c>
      <c r="AB36" s="236">
        <f>IF(AJ36&lt;&gt;"",(AF36*LOOKUP(AJ36,Rates!$T$2:$T$108,Rates!$S$2:$S$108))/SQRT(1+IF(AL36&lt;=10,Rates!$Y$5,Rates!$Y$6)),"")</f>
        <v/>
      </c>
      <c r="AC36" s="240">
        <f>IF(AND(AJ36&lt;&gt;"",AJ36&lt;=Rates!$Y$2),MIN(0.5*AF36,300000000,AC35*(1+Info!$F$10)),"")</f>
        <v/>
      </c>
      <c r="AD36" s="240">
        <f>IF(AND(AJ36&lt;&gt;"",AJ36&lt;=60),AF36*Info!$L$16,"")</f>
        <v/>
      </c>
      <c r="AE36" s="68">
        <f>IF(AND(AJ36&lt;&gt;"",AJ36&lt;=70),AF36*(1+Info!$L$14),"")</f>
        <v/>
      </c>
      <c r="AF36" s="68">
        <f>IF(AJ36&lt;&gt;"",AF35*(1+Info!$F$10),"")</f>
        <v/>
      </c>
      <c r="AG36" s="51">
        <f>IF(AJ36&lt;&gt;"",AI36+AG35,"")</f>
        <v/>
      </c>
      <c r="AH36" s="42">
        <f>IF(AJ36&lt;&gt;"",AI36*Rates!$Y$9,"")</f>
        <v/>
      </c>
      <c r="AI36" s="51">
        <f>IF(AJ36&lt;&gt;"",AI35*(1+Info!$F$8),"")</f>
        <v/>
      </c>
      <c r="AJ36" s="57">
        <f>IF(AL36&lt;&gt;"",Info!$F$6+AL36-1,"")</f>
        <v/>
      </c>
      <c r="AK36" s="66">
        <f>IF(AL36&lt;&gt;"",Info!$C$6+AL36-1,"")</f>
        <v/>
      </c>
      <c r="AL36" s="69">
        <f>IF(AL35&lt;&gt;"",IF(AL35+1&lt;=Info!$I$6,AL35+1,""),"")</f>
        <v/>
      </c>
    </row>
    <row r="37">
      <c r="A37" s="236">
        <f>IF(AJ37&lt;&gt;"",D37+D37*(IF(AL37&gt;4,0.1,LOOKUP(Info!$C$10,Rates!$D$2:$D$4,Rates!$C$2:$C$4))+0.85*(Info!$I$22-(IF(AL37&gt;4,0.1,LOOKUP(Info!$C$10,Rates!$D$2:$D$4,Rates!$C$2:$C$4)))))*LOOKUP(Info!$C$8,Rates!$I$2:$I$7,Rates!$G$2:$G$7)+A36*(1+IF(AL37&gt;4,0.1,LOOKUP(Info!$C$10,Rates!$D$2:$D$4,Rates!$C$2:$C$4))+0.85*(Info!$I$22-IF(AL37&gt;4,0.1,LOOKUP(Info!$C$10,Rates!$D$2:$D$4,Rates!$C$2:$C$4)))),"")</f>
        <v/>
      </c>
      <c r="B37" s="236">
        <f>IF(AJ37&lt;&gt;"",IF(AL37&gt;=8,C37,C37*LOOKUP(AL37,Rates!$AG$2:$AG$8,Rates!$AF$2:$AF$8)),"")</f>
        <v/>
      </c>
      <c r="C37" s="236">
        <f>IF(AJ37&lt;&gt;"",D37*(1+IF(AL37&gt;4,0.1,LOOKUP(Info!$C$10,Rates!$D$2:$D$5,Rates!$B$2:$B$5))*LOOKUP(Info!$C$8,Rates!$I$2:$I$7,Rates!$G$2:$G$7))+C36*(1+IF(AL37&gt;4,0.1,LOOKUP(Info!$C$10,Rates!$D$2:$D$5,Rates!$B$2:$B$5))),"")</f>
        <v/>
      </c>
      <c r="D37" s="236">
        <f>IF(AJ37&lt;&gt;"",AI37-(H37+G37+F37+E37+P37+Q37)+IF(Info!$C$20&gt;0,IF(AND(AL37&lt;=Info!$F$20,AL37&gt;=Info!$I$20),Info!$C$20,0),0),"")</f>
        <v/>
      </c>
      <c r="E37" s="236">
        <f>IF(AJ37&lt;&gt;"",(LOOKUP(Info!$C$22,Rates!$AD$2:$AD$4,Rates!$AC$2:$AC$4))*(H37+P37+Q37),"")</f>
        <v/>
      </c>
      <c r="F37" s="236">
        <f>IF(AJ37&lt;&gt;"",(LOOKUP(Info!$C$22,Rates!$AD$2:$AD$4,Rates!$AA$2:$AA$4))*(H37+P37+Q37),"")</f>
        <v/>
      </c>
      <c r="G37" s="236">
        <f>IF(AJ37&lt;&gt;"",(LOOKUP(Info!$C$22,Rates!$AD$2:$AD$4,Rates!$AB$2:$AB$4))*(H37+P37+Q37),"")</f>
        <v/>
      </c>
      <c r="H37" s="236">
        <f>IF(AJ37&lt;&gt;"",I37+J37+AB37,"")</f>
        <v/>
      </c>
      <c r="I37" s="236">
        <f>IF(AJ37&lt;&gt;"",LOOKUP(Info!$C$8,Rates!$I$2:$I$7,Rates!$H$2:$H$7)*(J37+P37+Q37+AB37),"")</f>
        <v/>
      </c>
      <c r="J37" s="244">
        <f>IF(L37="",0,L37)+IF(N37="",0,N37)+IF(O37="",0,O37)</f>
        <v/>
      </c>
      <c r="K37" s="244">
        <f>M37+0.7*M36+0.7*0.5*M35+0.7*0.25*M34+0.7*0.25*M33</f>
        <v/>
      </c>
      <c r="L37" s="244">
        <f>IF(M37&lt;&gt;"",L36+40/100*M36+M37-17.5/100*M32,0)</f>
        <v/>
      </c>
      <c r="M37" s="244">
        <f>IF(AND(AI37&lt;&gt;"",AL37&lt;=10),(1-Info!$C$25)*MIN(30/1000*(AF37-AF36),0.75*(AI37-AI36)),0)</f>
        <v/>
      </c>
      <c r="N37" s="244" t="n">
        <v>0</v>
      </c>
      <c r="O37" s="244">
        <f>IF(AJ37&lt;&gt;"",0.07*AI37*(1-Info!$F$25),0)</f>
        <v/>
      </c>
      <c r="P37" s="238">
        <f>IF(AJ37&lt;&gt;"",Y37+W37+U37+S37+R37,0)</f>
        <v/>
      </c>
      <c r="Q37" s="238">
        <f>IF(AJ37&lt;&gt;"",AA37+Z37+X37+V37+T37,0)</f>
        <v/>
      </c>
      <c r="R37" s="238">
        <f>IF(AJ37&lt;&gt;"",(AB37+AA37+V37+T37)*Info!$L$20,0)</f>
        <v/>
      </c>
      <c r="S37" s="238">
        <f>IF(AJ37&lt;&gt;"",T37*(LOOKUP(Info!$I$18,Rates!$O$2:$O$9,Rates!$L$2:$L$9)/100),0)</f>
        <v/>
      </c>
      <c r="T37" s="238">
        <f>IF(AJ37&lt;&gt;"",IF(Info!$F$14="بله",V37*Rates!$Y$7,0),0)</f>
        <v/>
      </c>
      <c r="U37" s="238">
        <f>IF(AJ37&lt;&gt;"",IF(Info!#REF!="بله",V37*(LOOKUP(Info!$I$18,Rates!$O$2:$O$9,Rates!$L$2:$L$9)/100),V37*(LOOKUP(Info!$F$18,Rates!$O$2:$O$9,Rates!$L$2:$L$9)/100)),0)</f>
        <v/>
      </c>
      <c r="V37" s="239">
        <f>IF(AND(AJ37&lt;&gt;"",AJ37&lt;=Rates!$Y$8,Info!#REF!="بله"),AH37*(LOOKUP(AJ37,Rates!$T$2:$T$108,Rates!#REF!)),IF(AND(AK37&lt;&gt;"",AK37&lt;=Rates!$Y$8,Info!#REF!="خیر"),AH37*(LOOKUP(AK37,Rates!$T$2:$T$108,Rates!#REF!)),0)*(1-Info!$F$29))</f>
        <v/>
      </c>
      <c r="W37" s="239">
        <f>IF(AJ37&lt;&gt;"",X37*LOOKUP(Info!$I$18,Rates!$O$2:$O$9,Rates!$M$2:$M$9)/100,0)</f>
        <v/>
      </c>
      <c r="X37" s="239">
        <f>IF(AJ37&lt;=Rates!$Y$4,0.0008*AF37*Info!$F$12,0)</f>
        <v/>
      </c>
      <c r="Y37" s="239">
        <f>IF(AJ37&lt;&gt;"",Z37*(LOOKUP(Info!$I$18,Rates!$O$2:$O$9,Rates!$N$2:$N$9/100)),0)</f>
        <v/>
      </c>
      <c r="Z37" s="238">
        <f>IF(AND(AJ37&lt;=(Rates!$Y$3),AD37&lt;&gt;""),(1-Info!$I$27)*0.0008*AF37*Info!$I$12,0)</f>
        <v/>
      </c>
      <c r="AA37" s="238">
        <f>IF(AJ37&lt;=60,(LOOKUP(AJ37,Rates!$T$2:$T$108,Rates!#REF!))*AC37/1000000*(1-Info!$I$29),0)</f>
        <v/>
      </c>
      <c r="AB37" s="236">
        <f>IF(AJ37&lt;&gt;"",(AF37*LOOKUP(AJ37,Rates!$T$2:$T$108,Rates!$S$2:$S$108))/SQRT(1+IF(AL37&lt;=10,Rates!$Y$5,Rates!$Y$6)),"")</f>
        <v/>
      </c>
      <c r="AC37" s="240">
        <f>IF(AND(AJ37&lt;&gt;"",AJ37&lt;=Rates!$Y$2),MIN(0.5*AF37,300000000,AC36*(1+Info!$F$10)),"")</f>
        <v/>
      </c>
      <c r="AD37" s="240">
        <f>IF(AND(AJ37&lt;&gt;"",AJ37&lt;=60),AF37*Info!$L$16,"")</f>
        <v/>
      </c>
      <c r="AE37" s="68">
        <f>IF(AND(AJ37&lt;&gt;"",AJ37&lt;=70),AF37*(1+Info!$L$14),"")</f>
        <v/>
      </c>
      <c r="AF37" s="68">
        <f>IF(AJ37&lt;&gt;"",AF36*(1+Info!$F$10),"")</f>
        <v/>
      </c>
      <c r="AG37" s="51">
        <f>IF(AJ37&lt;&gt;"",AI37+AG36,"")</f>
        <v/>
      </c>
      <c r="AH37" s="42">
        <f>IF(AJ37&lt;&gt;"",AI37*Rates!$Y$9,"")</f>
        <v/>
      </c>
      <c r="AI37" s="51">
        <f>IF(AJ37&lt;&gt;"",AI36*(1+Info!$F$8),"")</f>
        <v/>
      </c>
      <c r="AJ37" s="57">
        <f>IF(AL37&lt;&gt;"",Info!$F$6+AL37-1,"")</f>
        <v/>
      </c>
      <c r="AK37" s="66">
        <f>IF(AL37&lt;&gt;"",Info!$C$6+AL37-1,"")</f>
        <v/>
      </c>
      <c r="AL37" s="69">
        <f>IF(AL36&lt;&gt;"",IF(AL36+1&lt;=Info!$I$6,AL36+1,""),"")</f>
        <v/>
      </c>
    </row>
    <row r="38">
      <c r="A38" s="236">
        <f>IF(AJ38&lt;&gt;"",D38+D38*(IF(AL38&gt;4,0.1,LOOKUP(Info!$C$10,Rates!$D$2:$D$4,Rates!$C$2:$C$4))+0.85*(Info!$I$22-(IF(AL38&gt;4,0.1,LOOKUP(Info!$C$10,Rates!$D$2:$D$4,Rates!$C$2:$C$4)))))*LOOKUP(Info!$C$8,Rates!$I$2:$I$7,Rates!$G$2:$G$7)+A37*(1+IF(AL38&gt;4,0.1,LOOKUP(Info!$C$10,Rates!$D$2:$D$4,Rates!$C$2:$C$4))+0.85*(Info!$I$22-IF(AL38&gt;4,0.1,LOOKUP(Info!$C$10,Rates!$D$2:$D$4,Rates!$C$2:$C$4)))),"")</f>
        <v/>
      </c>
      <c r="B38" s="236">
        <f>IF(AJ38&lt;&gt;"",IF(AL38&gt;=8,C38,C38*LOOKUP(AL38,Rates!$AG$2:$AG$8,Rates!$AF$2:$AF$8)),"")</f>
        <v/>
      </c>
      <c r="C38" s="236">
        <f>IF(AJ38&lt;&gt;"",D38*(1+IF(AL38&gt;4,0.1,LOOKUP(Info!$C$10,Rates!$D$2:$D$5,Rates!$B$2:$B$5))*LOOKUP(Info!$C$8,Rates!$I$2:$I$7,Rates!$G$2:$G$7))+C37*(1+IF(AL38&gt;4,0.1,LOOKUP(Info!$C$10,Rates!$D$2:$D$5,Rates!$B$2:$B$5))),"")</f>
        <v/>
      </c>
      <c r="D38" s="236">
        <f>IF(AJ38&lt;&gt;"",AI38-(H38+G38+F38+E38+P38+Q38)+IF(Info!$C$20&gt;0,IF(AND(AL38&lt;=Info!$F$20,AL38&gt;=Info!$I$20),Info!$C$20,0),0),"")</f>
        <v/>
      </c>
      <c r="E38" s="236">
        <f>IF(AJ38&lt;&gt;"",(LOOKUP(Info!$C$22,Rates!$AD$2:$AD$4,Rates!$AC$2:$AC$4))*(H38+P38+Q38),"")</f>
        <v/>
      </c>
      <c r="F38" s="236">
        <f>IF(AJ38&lt;&gt;"",(LOOKUP(Info!$C$22,Rates!$AD$2:$AD$4,Rates!$AA$2:$AA$4))*(H38+P38+Q38),"")</f>
        <v/>
      </c>
      <c r="G38" s="236">
        <f>IF(AJ38&lt;&gt;"",(LOOKUP(Info!$C$22,Rates!$AD$2:$AD$4,Rates!$AB$2:$AB$4))*(H38+P38+Q38),"")</f>
        <v/>
      </c>
      <c r="H38" s="236">
        <f>IF(AJ38&lt;&gt;"",I38+J38+AB38,"")</f>
        <v/>
      </c>
      <c r="I38" s="236">
        <f>IF(AJ38&lt;&gt;"",LOOKUP(Info!$C$8,Rates!$I$2:$I$7,Rates!$H$2:$H$7)*(J38+P38+Q38+AB38),"")</f>
        <v/>
      </c>
      <c r="J38" s="244">
        <f>IF(L38="",0,L38)+IF(N38="",0,N38)+IF(O38="",0,O38)</f>
        <v/>
      </c>
      <c r="K38" s="244">
        <f>M38+0.7*M37+0.7*0.5*M36+0.7*0.25*M35+0.7*0.25*M34</f>
        <v/>
      </c>
      <c r="L38" s="244">
        <f>IF(M38&lt;&gt;"",L37+40/100*M37+M38-17.5/100*M33,0)</f>
        <v/>
      </c>
      <c r="M38" s="244">
        <f>IF(AND(AI38&lt;&gt;"",AL38&lt;=10),(1-Info!$C$25)*MIN(30/1000*(AF38-AF37),0.75*(AI38-AI37)),0)</f>
        <v/>
      </c>
      <c r="N38" s="244" t="n">
        <v>0</v>
      </c>
      <c r="O38" s="244">
        <f>IF(AJ38&lt;&gt;"",0.07*AI38*(1-Info!$F$25),0)</f>
        <v/>
      </c>
      <c r="P38" s="238">
        <f>IF(AJ38&lt;&gt;"",Y38+W38+U38+S38+R38,0)</f>
        <v/>
      </c>
      <c r="Q38" s="238">
        <f>IF(AJ38&lt;&gt;"",AA38+Z38+X38+V38+T38,0)</f>
        <v/>
      </c>
      <c r="R38" s="238">
        <f>IF(AJ38&lt;&gt;"",(AB38+AA38+V38+T38)*Info!$L$20,0)</f>
        <v/>
      </c>
      <c r="S38" s="238">
        <f>IF(AJ38&lt;&gt;"",T38*(LOOKUP(Info!$I$18,Rates!$O$2:$O$9,Rates!$L$2:$L$9)/100),0)</f>
        <v/>
      </c>
      <c r="T38" s="238">
        <f>IF(AJ38&lt;&gt;"",IF(Info!$F$14="بله",V38*Rates!$Y$7,0),0)</f>
        <v/>
      </c>
      <c r="U38" s="238">
        <f>IF(AJ38&lt;&gt;"",IF(Info!#REF!="بله",V38*(LOOKUP(Info!$I$18,Rates!$O$2:$O$9,Rates!$L$2:$L$9)/100),V38*(LOOKUP(Info!$F$18,Rates!$O$2:$O$9,Rates!$L$2:$L$9)/100)),0)</f>
        <v/>
      </c>
      <c r="V38" s="239">
        <f>IF(AND(AJ38&lt;&gt;"",AJ38&lt;=Rates!$Y$8,Info!#REF!="بله"),AH38*(LOOKUP(AJ38,Rates!$T$2:$T$108,Rates!#REF!)),IF(AND(AK38&lt;&gt;"",AK38&lt;=Rates!$Y$8,Info!#REF!="خیر"),AH38*(LOOKUP(AK38,Rates!$T$2:$T$108,Rates!#REF!)),0)*(1-Info!$F$29))</f>
        <v/>
      </c>
      <c r="W38" s="239">
        <f>IF(AJ38&lt;&gt;"",X38*LOOKUP(Info!$I$18,Rates!$O$2:$O$9,Rates!$M$2:$M$9)/100,0)</f>
        <v/>
      </c>
      <c r="X38" s="239">
        <f>IF(AJ38&lt;=Rates!$Y$4,0.0008*AF38*Info!$F$12,0)</f>
        <v/>
      </c>
      <c r="Y38" s="239">
        <f>IF(AJ38&lt;&gt;"",Z38*(LOOKUP(Info!$I$18,Rates!$O$2:$O$9,Rates!$N$2:$N$9/100)),0)</f>
        <v/>
      </c>
      <c r="Z38" s="238">
        <f>IF(AND(AJ38&lt;=(Rates!$Y$3),AD38&lt;&gt;""),(1-Info!$I$27)*0.0008*AF38*Info!$I$12,0)</f>
        <v/>
      </c>
      <c r="AA38" s="238">
        <f>IF(AJ38&lt;=60,(LOOKUP(AJ38,Rates!$T$2:$T$108,Rates!#REF!))*AC38/1000000*(1-Info!$I$29),0)</f>
        <v/>
      </c>
      <c r="AB38" s="236">
        <f>IF(AJ38&lt;&gt;"",(AF38*LOOKUP(AJ38,Rates!$T$2:$T$108,Rates!$S$2:$S$108))/SQRT(1+IF(AL38&lt;=10,Rates!$Y$5,Rates!$Y$6)),"")</f>
        <v/>
      </c>
      <c r="AC38" s="240">
        <f>IF(AND(AJ38&lt;&gt;"",AJ38&lt;=Rates!$Y$2),MIN(0.5*AF38,300000000,AC37*(1+Info!$F$10)),"")</f>
        <v/>
      </c>
      <c r="AD38" s="240">
        <f>IF(AND(AJ38&lt;&gt;"",AJ38&lt;=60),AF38*Info!$L$16,"")</f>
        <v/>
      </c>
      <c r="AE38" s="68">
        <f>IF(AND(AJ38&lt;&gt;"",AJ38&lt;=70),AF38*(1+Info!$L$14),"")</f>
        <v/>
      </c>
      <c r="AF38" s="68">
        <f>IF(AJ38&lt;&gt;"",AF37*(1+Info!$F$10),"")</f>
        <v/>
      </c>
      <c r="AG38" s="51">
        <f>IF(AJ38&lt;&gt;"",AI38+AG37,"")</f>
        <v/>
      </c>
      <c r="AH38" s="42">
        <f>IF(AJ38&lt;&gt;"",AI38*Rates!$Y$9,"")</f>
        <v/>
      </c>
      <c r="AI38" s="51">
        <f>IF(AJ38&lt;&gt;"",AI37*(1+Info!$F$8),"")</f>
        <v/>
      </c>
      <c r="AJ38" s="57">
        <f>IF(AL38&lt;&gt;"",Info!$F$6+AL38-1,"")</f>
        <v/>
      </c>
      <c r="AK38" s="66">
        <f>IF(AL38&lt;&gt;"",Info!$C$6+AL38-1,"")</f>
        <v/>
      </c>
      <c r="AL38" s="69">
        <f>IF(AL37&lt;&gt;"",IF(AL37+1&lt;=Info!$I$6,AL37+1,""),"")</f>
        <v/>
      </c>
    </row>
    <row r="39">
      <c r="A39" s="236">
        <f>IF(AJ39&lt;&gt;"",D39+D39*(IF(AL39&gt;4,0.1,LOOKUP(Info!$C$10,Rates!$D$2:$D$4,Rates!$C$2:$C$4))+0.85*(Info!$I$22-(IF(AL39&gt;4,0.1,LOOKUP(Info!$C$10,Rates!$D$2:$D$4,Rates!$C$2:$C$4)))))*LOOKUP(Info!$C$8,Rates!$I$2:$I$7,Rates!$G$2:$G$7)+A38*(1+IF(AL39&gt;4,0.1,LOOKUP(Info!$C$10,Rates!$D$2:$D$4,Rates!$C$2:$C$4))+0.85*(Info!$I$22-IF(AL39&gt;4,0.1,LOOKUP(Info!$C$10,Rates!$D$2:$D$4,Rates!$C$2:$C$4)))),"")</f>
        <v/>
      </c>
      <c r="B39" s="236">
        <f>IF(AJ39&lt;&gt;"",IF(AL39&gt;=8,C39,C39*LOOKUP(AL39,Rates!$AG$2:$AG$8,Rates!$AF$2:$AF$8)),"")</f>
        <v/>
      </c>
      <c r="C39" s="236">
        <f>IF(AJ39&lt;&gt;"",D39*(1+IF(AL39&gt;4,0.1,LOOKUP(Info!$C$10,Rates!$D$2:$D$5,Rates!$B$2:$B$5))*LOOKUP(Info!$C$8,Rates!$I$2:$I$7,Rates!$G$2:$G$7))+C38*(1+IF(AL39&gt;4,0.1,LOOKUP(Info!$C$10,Rates!$D$2:$D$5,Rates!$B$2:$B$5))),"")</f>
        <v/>
      </c>
      <c r="D39" s="236">
        <f>IF(AJ39&lt;&gt;"",AI39-(H39+G39+F39+E39+P39+Q39)+IF(Info!$C$20&gt;0,IF(AND(AL39&lt;=Info!$F$20,AL39&gt;=Info!$I$20),Info!$C$20,0),0),"")</f>
        <v/>
      </c>
      <c r="E39" s="236">
        <f>IF(AJ39&lt;&gt;"",(LOOKUP(Info!$C$22,Rates!$AD$2:$AD$4,Rates!$AC$2:$AC$4))*(H39+P39+Q39),"")</f>
        <v/>
      </c>
      <c r="F39" s="236">
        <f>IF(AJ39&lt;&gt;"",(LOOKUP(Info!$C$22,Rates!$AD$2:$AD$4,Rates!$AA$2:$AA$4))*(H39+P39+Q39),"")</f>
        <v/>
      </c>
      <c r="G39" s="236">
        <f>IF(AJ39&lt;&gt;"",(LOOKUP(Info!$C$22,Rates!$AD$2:$AD$4,Rates!$AB$2:$AB$4))*(H39+P39+Q39),"")</f>
        <v/>
      </c>
      <c r="H39" s="236">
        <f>IF(AJ39&lt;&gt;"",I39+J39+AB39,"")</f>
        <v/>
      </c>
      <c r="I39" s="236">
        <f>IF(AJ39&lt;&gt;"",LOOKUP(Info!$C$8,Rates!$I$2:$I$7,Rates!$H$2:$H$7)*(J39+P39+Q39+AB39),"")</f>
        <v/>
      </c>
      <c r="J39" s="244">
        <f>IF(L39="",0,L39)+IF(N39="",0,N39)+IF(O39="",0,O39)</f>
        <v/>
      </c>
      <c r="K39" s="244">
        <f>M39+0.7*M38+0.7*0.5*M37+0.7*0.25*M36+0.7*0.25*M35</f>
        <v/>
      </c>
      <c r="L39" s="244">
        <f>IF(M39&lt;&gt;"",L38+40/100*M38+M39-17.5/100*M34,0)</f>
        <v/>
      </c>
      <c r="M39" s="244">
        <f>IF(AND(AI39&lt;&gt;"",AL39&lt;=10),(1-Info!$C$25)*MIN(30/1000*(AF39-AF38),0.75*(AI39-AI38)),0)</f>
        <v/>
      </c>
      <c r="N39" s="244" t="n">
        <v>0</v>
      </c>
      <c r="O39" s="244">
        <f>IF(AJ39&lt;&gt;"",0.07*AI39*(1-Info!$F$25),0)</f>
        <v/>
      </c>
      <c r="P39" s="238">
        <f>IF(AJ39&lt;&gt;"",Y39+W39+U39+S39+R39,0)</f>
        <v/>
      </c>
      <c r="Q39" s="238">
        <f>IF(AJ39&lt;&gt;"",AA39+Z39+X39+V39+T39,0)</f>
        <v/>
      </c>
      <c r="R39" s="238">
        <f>IF(AJ39&lt;&gt;"",(AB39+AA39+V39+T39)*Info!$L$20,0)</f>
        <v/>
      </c>
      <c r="S39" s="238">
        <f>IF(AJ39&lt;&gt;"",T39*(LOOKUP(Info!$I$18,Rates!$O$2:$O$9,Rates!$L$2:$L$9)/100),0)</f>
        <v/>
      </c>
      <c r="T39" s="238">
        <f>IF(AJ39&lt;&gt;"",IF(Info!$F$14="بله",V39*Rates!$Y$7,0),0)</f>
        <v/>
      </c>
      <c r="U39" s="238">
        <f>IF(AJ39&lt;&gt;"",IF(Info!#REF!="بله",V39*(LOOKUP(Info!$I$18,Rates!$O$2:$O$9,Rates!$L$2:$L$9)/100),V39*(LOOKUP(Info!$F$18,Rates!$O$2:$O$9,Rates!$L$2:$L$9)/100)),0)</f>
        <v/>
      </c>
      <c r="V39" s="239">
        <f>IF(AND(AJ39&lt;&gt;"",AJ39&lt;=Rates!$Y$8,Info!#REF!="بله"),AH39*(LOOKUP(AJ39,Rates!$T$2:$T$108,Rates!#REF!)),IF(AND(AK39&lt;&gt;"",AK39&lt;=Rates!$Y$8,Info!#REF!="خیر"),AH39*(LOOKUP(AK39,Rates!$T$2:$T$108,Rates!#REF!)),0)*(1-Info!$F$29))</f>
        <v/>
      </c>
      <c r="W39" s="239">
        <f>IF(AJ39&lt;&gt;"",X39*LOOKUP(Info!$I$18,Rates!$O$2:$O$9,Rates!$M$2:$M$9)/100,0)</f>
        <v/>
      </c>
      <c r="X39" s="239">
        <f>IF(AJ39&lt;=Rates!$Y$4,0.0008*AF39*Info!$F$12,0)</f>
        <v/>
      </c>
      <c r="Y39" s="239">
        <f>IF(AJ39&lt;&gt;"",Z39*(LOOKUP(Info!$I$18,Rates!$O$2:$O$9,Rates!$N$2:$N$9/100)),0)</f>
        <v/>
      </c>
      <c r="Z39" s="238">
        <f>IF(AND(AJ39&lt;=(Rates!$Y$3),AD39&lt;&gt;""),(1-Info!$I$27)*0.0008*AF39*Info!$I$12,0)</f>
        <v/>
      </c>
      <c r="AA39" s="238">
        <f>IF(AJ39&lt;=60,(LOOKUP(AJ39,Rates!$T$2:$T$108,Rates!#REF!))*AC39/1000000*(1-Info!$I$29),0)</f>
        <v/>
      </c>
      <c r="AB39" s="236">
        <f>IF(AJ39&lt;&gt;"",(AF39*LOOKUP(AJ39,Rates!$T$2:$T$108,Rates!$S$2:$S$108))/SQRT(1+IF(AL39&lt;=10,Rates!$Y$5,Rates!$Y$6)),"")</f>
        <v/>
      </c>
      <c r="AC39" s="240">
        <f>IF(AND(AJ39&lt;&gt;"",AJ39&lt;=Rates!$Y$2),MIN(0.5*AF39,300000000,AC38*(1+Info!$F$10)),"")</f>
        <v/>
      </c>
      <c r="AD39" s="240">
        <f>IF(AND(AJ39&lt;&gt;"",AJ39&lt;=60),AF39*Info!$L$16,"")</f>
        <v/>
      </c>
      <c r="AE39" s="68">
        <f>IF(AND(AJ39&lt;&gt;"",AJ39&lt;=70),AF39*(1+Info!$L$14),"")</f>
        <v/>
      </c>
      <c r="AF39" s="68">
        <f>IF(AJ39&lt;&gt;"",AF38*(1+Info!$F$10),"")</f>
        <v/>
      </c>
      <c r="AG39" s="51">
        <f>IF(AJ39&lt;&gt;"",AI39+AG38,"")</f>
        <v/>
      </c>
      <c r="AH39" s="42">
        <f>IF(AJ39&lt;&gt;"",AI39*Rates!$Y$9,"")</f>
        <v/>
      </c>
      <c r="AI39" s="51">
        <f>IF(AJ39&lt;&gt;"",AI38*(1+Info!$F$8),"")</f>
        <v/>
      </c>
      <c r="AJ39" s="57">
        <f>IF(AL39&lt;&gt;"",Info!$F$6+AL39-1,"")</f>
        <v/>
      </c>
      <c r="AK39" s="66">
        <f>IF(AL39&lt;&gt;"",Info!$C$6+AL39-1,"")</f>
        <v/>
      </c>
      <c r="AL39" s="69">
        <f>IF(AL38&lt;&gt;"",IF(AL38+1&lt;=Info!$I$6,AL38+1,""),"")</f>
        <v/>
      </c>
    </row>
    <row r="40">
      <c r="A40" s="236">
        <f>IF(AJ40&lt;&gt;"",D40+D40*(IF(AL40&gt;4,0.1,LOOKUP(Info!$C$10,Rates!$D$2:$D$4,Rates!$C$2:$C$4))+0.85*(Info!$I$22-(IF(AL40&gt;4,0.1,LOOKUP(Info!$C$10,Rates!$D$2:$D$4,Rates!$C$2:$C$4)))))*LOOKUP(Info!$C$8,Rates!$I$2:$I$7,Rates!$G$2:$G$7)+A39*(1+IF(AL40&gt;4,0.1,LOOKUP(Info!$C$10,Rates!$D$2:$D$4,Rates!$C$2:$C$4))+0.85*(Info!$I$22-IF(AL40&gt;4,0.1,LOOKUP(Info!$C$10,Rates!$D$2:$D$4,Rates!$C$2:$C$4)))),"")</f>
        <v/>
      </c>
      <c r="B40" s="236">
        <f>IF(AJ40&lt;&gt;"",IF(AL40&gt;=8,C40,C40*LOOKUP(AL40,Rates!$AG$2:$AG$8,Rates!$AF$2:$AF$8)),"")</f>
        <v/>
      </c>
      <c r="C40" s="236">
        <f>IF(AJ40&lt;&gt;"",D40*(1+IF(AL40&gt;4,0.1,LOOKUP(Info!$C$10,Rates!$D$2:$D$5,Rates!$B$2:$B$5))*LOOKUP(Info!$C$8,Rates!$I$2:$I$7,Rates!$G$2:$G$7))+C39*(1+IF(AL40&gt;4,0.1,LOOKUP(Info!$C$10,Rates!$D$2:$D$5,Rates!$B$2:$B$5))),"")</f>
        <v/>
      </c>
      <c r="D40" s="236">
        <f>IF(AJ40&lt;&gt;"",AI40-(H40+G40+F40+E40+P40+Q40)+IF(Info!$C$20&gt;0,IF(AND(AL40&lt;=Info!$F$20,AL40&gt;=Info!$I$20),Info!$C$20,0),0),"")</f>
        <v/>
      </c>
      <c r="E40" s="236">
        <f>IF(AJ40&lt;&gt;"",(LOOKUP(Info!$C$22,Rates!$AD$2:$AD$4,Rates!$AC$2:$AC$4))*(H40+P40+Q40),"")</f>
        <v/>
      </c>
      <c r="F40" s="236">
        <f>IF(AJ40&lt;&gt;"",(LOOKUP(Info!$C$22,Rates!$AD$2:$AD$4,Rates!$AA$2:$AA$4))*(H40+P40+Q40),"")</f>
        <v/>
      </c>
      <c r="G40" s="236">
        <f>IF(AJ40&lt;&gt;"",(LOOKUP(Info!$C$22,Rates!$AD$2:$AD$4,Rates!$AB$2:$AB$4))*(H40+P40+Q40),"")</f>
        <v/>
      </c>
      <c r="H40" s="236">
        <f>IF(AJ40&lt;&gt;"",I40+J40+AB40,"")</f>
        <v/>
      </c>
      <c r="I40" s="236">
        <f>IF(AJ40&lt;&gt;"",LOOKUP(Info!$C$8,Rates!$I$2:$I$7,Rates!$H$2:$H$7)*(J40+P40+Q40+AB40),"")</f>
        <v/>
      </c>
      <c r="J40" s="244">
        <f>IF(L40="",0,L40)+IF(N40="",0,N40)+IF(O40="",0,O40)</f>
        <v/>
      </c>
      <c r="K40" s="244">
        <f>M40+0.7*M39+0.7*0.5*M38+0.7*0.25*M37+0.7*0.25*M36</f>
        <v/>
      </c>
      <c r="L40" s="244">
        <f>IF(M40&lt;&gt;"",L39+40/100*M39+M40-17.5/100*M35,0)</f>
        <v/>
      </c>
      <c r="M40" s="244">
        <f>IF(#REF!&lt;&gt;"",(1-Info!$C$25)*IF(MIN(30/1000*$AF$2,0.75*#REF!)=30/1000*AF39,30/1000*(AF40-AF39),0.75*(#REF!-#REF!)),"")</f>
        <v/>
      </c>
      <c r="N40" s="244" t="n">
        <v>0</v>
      </c>
      <c r="O40" s="244">
        <f>IF(AJ40&lt;&gt;"",0.07*AI40*(1-Info!$F$25),0)</f>
        <v/>
      </c>
      <c r="P40" s="238">
        <f>IF(AJ40&lt;&gt;"",Y40+W40+U40+S40+R40,0)</f>
        <v/>
      </c>
      <c r="Q40" s="238">
        <f>IF(AJ40&lt;&gt;"",AA40+Z40+X40+V40+T40,0)</f>
        <v/>
      </c>
      <c r="R40" s="238">
        <f>IF(AJ40&lt;&gt;"",(AB40+AA40+V40+T40)*Info!$L$20,0)</f>
        <v/>
      </c>
      <c r="S40" s="238">
        <f>IF(AJ40&lt;&gt;"",T40*(LOOKUP(Info!$I$18,Rates!$O$2:$O$9,Rates!$L$2:$L$9)/100),0)</f>
        <v/>
      </c>
      <c r="T40" s="238">
        <f>IF(AJ40&lt;&gt;"",IF(Info!$F$14="بله",V40*Rates!$Y$7,0),0)</f>
        <v/>
      </c>
      <c r="U40" s="238">
        <f>IF(AJ40&lt;&gt;"",IF(Info!#REF!="بله",V40*(LOOKUP(Info!$I$18,Rates!$O$2:$O$9,Rates!$L$2:$L$9)/100),V40*(LOOKUP(Info!$F$18,Rates!$O$2:$O$9,Rates!$L$2:$L$9)/100)),0)</f>
        <v/>
      </c>
      <c r="V40" s="239">
        <f>IF(AND(AJ40&lt;&gt;"",AJ40&lt;=Rates!$Y$8,Info!#REF!="بله"),AH40*(LOOKUP(AJ40,Rates!$T$2:$T$108,Rates!#REF!)),IF(AND(AK40&lt;&gt;"",AK40&lt;=Rates!$Y$8,Info!#REF!="خیر"),AH40*(LOOKUP(AK40,Rates!$T$2:$T$108,Rates!#REF!)),0)*(1-Info!$F$29))</f>
        <v/>
      </c>
      <c r="W40" s="239">
        <f>IF(AJ40&lt;&gt;"",X40*LOOKUP(Info!$I$18,Rates!$O$2:$O$9,Rates!$M$2:$M$9)/100,0)</f>
        <v/>
      </c>
      <c r="X40" s="239">
        <f>IF(AJ40&lt;=Rates!$Y$4,0.0008*AF40*Info!$F$12,0)</f>
        <v/>
      </c>
      <c r="Y40" s="239">
        <f>IF(AJ40&lt;&gt;"",Z40*(LOOKUP(Info!$I$18,Rates!$O$2:$O$9,Rates!$N$2:$N$9/100)),0)</f>
        <v/>
      </c>
      <c r="Z40" s="238">
        <f>IF(AND(AJ40&lt;=(Rates!$Y$3),AD40&lt;&gt;""),(1-Info!$I$27)*0.0008*AF40*Info!$I$12,0)</f>
        <v/>
      </c>
      <c r="AA40" s="238">
        <f>IF(AJ40&lt;=60,(LOOKUP(AJ40,Rates!$T$2:$T$108,Rates!#REF!))*AC40/1000000*(1-Info!$I$29),0)</f>
        <v/>
      </c>
      <c r="AB40" s="236">
        <f>IF(AJ40&lt;&gt;"",(AF40*LOOKUP(AJ40,Rates!$T$2:$T$108,Rates!$S$2:$S$108))/SQRT(1+IF(AL40&lt;=10,Rates!$Y$5,Rates!$Y$6)),"")</f>
        <v/>
      </c>
      <c r="AC40" s="240">
        <f>IF(AND(AJ40&lt;&gt;"",AJ40&lt;=Rates!$Y$2),MIN(0.5*AF40,300000000,AC39*(1+Info!$F$10)),"")</f>
        <v/>
      </c>
      <c r="AD40" s="240">
        <f>IF(AND(AJ40&lt;&gt;"",AJ40&lt;=60),AF40*Info!$L$16,"")</f>
        <v/>
      </c>
      <c r="AE40" s="68">
        <f>IF(AND(AJ40&lt;&gt;"",AJ40&lt;=70),AF40*(1+Info!$L$14),"")</f>
        <v/>
      </c>
      <c r="AF40" s="68">
        <f>IF(AJ40&lt;&gt;"",AF39*(1+Info!$F$10),"")</f>
        <v/>
      </c>
      <c r="AG40" s="51">
        <f>IF(AJ40&lt;&gt;"",AI40+AG39,"")</f>
        <v/>
      </c>
      <c r="AH40" s="42">
        <f>IF(AJ40&lt;&gt;"",AI40*Rates!$Y$9,"")</f>
        <v/>
      </c>
      <c r="AI40" s="51">
        <f>IF(AJ40&lt;&gt;"",AI39*(1+Info!$F$8),"")</f>
        <v/>
      </c>
      <c r="AJ40" s="57">
        <f>IF(AL40&lt;&gt;"",Info!$F$6+AL40-1,"")</f>
        <v/>
      </c>
      <c r="AK40" s="66">
        <f>IF(AL40&lt;&gt;"",Info!$C$6+AL40-1,"")</f>
        <v/>
      </c>
      <c r="AL40" s="69">
        <f>IF(AL39&lt;&gt;"",IF(AL39+1&lt;=Info!$I$6,AL39+1,""),"")</f>
        <v/>
      </c>
    </row>
    <row r="41">
      <c r="A41" s="236">
        <f>IF(AJ41&lt;&gt;"",D41+D41*(IF(AL41&gt;4,0.1,LOOKUP(Info!$C$10,Rates!$D$2:$D$4,Rates!$C$2:$C$4))+0.85*(Info!$I$22-(IF(AL41&gt;4,0.1,LOOKUP(Info!$C$10,Rates!$D$2:$D$4,Rates!$C$2:$C$4)))))*LOOKUP(Info!$C$8,Rates!$I$2:$I$7,Rates!$G$2:$G$7)+A40*(1+IF(AL41&gt;4,0.1,LOOKUP(Info!$C$10,Rates!$D$2:$D$4,Rates!$C$2:$C$4))+0.85*(Info!$I$22-IF(AL41&gt;4,0.1,LOOKUP(Info!$C$10,Rates!$D$2:$D$4,Rates!$C$2:$C$4)))),"")</f>
        <v/>
      </c>
      <c r="B41" s="236">
        <f>IF(AJ41&lt;&gt;"",IF(AL41&gt;=8,C41,C41*LOOKUP(AL41,Rates!$AG$2:$AG$8,Rates!$AF$2:$AF$8)),"")</f>
        <v/>
      </c>
      <c r="C41" s="236">
        <f>IF(AJ41&lt;&gt;"",D41*(1+IF(AL41&gt;4,0.1,LOOKUP(Info!$C$10,Rates!$D$2:$D$5,Rates!$B$2:$B$5))*LOOKUP(Info!$C$8,Rates!$I$2:$I$7,Rates!$G$2:$G$7))+C40*(1+IF(AL41&gt;4,0.1,LOOKUP(Info!$C$10,Rates!$D$2:$D$5,Rates!$B$2:$B$5))),"")</f>
        <v/>
      </c>
      <c r="D41" s="236">
        <f>IF(AJ41&lt;&gt;"",AI41-(H41+G41+F41+E41+P41+Q41)+IF(Info!$C$20&gt;0,IF(AND(AL41&lt;=Info!$F$20,AL41&gt;=Info!$I$20),Info!$C$20,0),0),"")</f>
        <v/>
      </c>
      <c r="E41" s="236">
        <f>IF(AJ41&lt;&gt;"",(LOOKUP(Info!$C$22,Rates!$AD$2:$AD$4,Rates!$AC$2:$AC$4))*(H41+P41+Q41),"")</f>
        <v/>
      </c>
      <c r="F41" s="236">
        <f>IF(AJ41&lt;&gt;"",(LOOKUP(Info!$C$22,Rates!$AD$2:$AD$4,Rates!$AA$2:$AA$4))*(H41+P41+Q41),"")</f>
        <v/>
      </c>
      <c r="G41" s="236">
        <f>IF(AJ41&lt;&gt;"",(LOOKUP(Info!$C$22,Rates!$AD$2:$AD$4,Rates!$AB$2:$AB$4))*(H41+P41+Q41),"")</f>
        <v/>
      </c>
      <c r="H41" s="236">
        <f>IF(AJ41&lt;&gt;"",I41+J41+AB41,"")</f>
        <v/>
      </c>
      <c r="I41" s="236">
        <f>IF(AJ41&lt;&gt;"",LOOKUP(Info!$C$8,Rates!$I$2:$I$7,Rates!$H$2:$H$7)*(J41+P41+Q41+AB41),"")</f>
        <v/>
      </c>
      <c r="J41" s="244">
        <f>IF(L41="",0,L41)+IF(N41="",0,N41)+IF(O41="",0,O41)</f>
        <v/>
      </c>
      <c r="K41" s="244">
        <f>M41+0.7*M40+0.7*0.5*M39+0.7*0.25*M38+0.7*0.25*M37</f>
        <v/>
      </c>
      <c r="L41" s="244">
        <f>IF(M41&lt;&gt;"",L40+40/100*M40+M41-17.5/100*M36,0)</f>
        <v/>
      </c>
      <c r="M41" s="244">
        <f>IF(#REF!&lt;&gt;"",(1-Info!$C$25)*IF(MIN(30/1000*$AF$2,0.75*#REF!)=30/1000*AF40,30/1000*(AF41-AF40),0.75*(#REF!-#REF!)),"")</f>
        <v/>
      </c>
      <c r="N41" s="244" t="n">
        <v>0</v>
      </c>
      <c r="O41" s="244">
        <f>IF(AJ41&lt;&gt;"",0.07*AI41*(1-Info!$F$25),0)</f>
        <v/>
      </c>
      <c r="P41" s="238">
        <f>IF(AJ41&lt;&gt;"",Y41+W41+U41+S41+R41,0)</f>
        <v/>
      </c>
      <c r="Q41" s="238">
        <f>IF(AJ41&lt;&gt;"",AA41+Z41+X41+V41+T41,0)</f>
        <v/>
      </c>
      <c r="R41" s="238">
        <f>IF(AJ41&lt;&gt;"",(AB41+AA41+V41+T41)*Info!$L$20,0)</f>
        <v/>
      </c>
      <c r="S41" s="238">
        <f>IF(AJ41&lt;&gt;"",T41*(LOOKUP(Info!$I$18,Rates!$O$2:$O$9,Rates!$L$2:$L$9)/100),0)</f>
        <v/>
      </c>
      <c r="T41" s="238">
        <f>IF(AJ41&lt;&gt;"",IF(Info!$F$14="بله",V41*Rates!$Y$7,0),0)</f>
        <v/>
      </c>
      <c r="U41" s="238">
        <f>IF(AJ41&lt;&gt;"",IF(Info!#REF!="بله",V41*(LOOKUP(Info!$I$18,Rates!$O$2:$O$9,Rates!$L$2:$L$9)/100),V41*(LOOKUP(Info!$F$18,Rates!$O$2:$O$9,Rates!$L$2:$L$9)/100)),0)</f>
        <v/>
      </c>
      <c r="V41" s="239">
        <f>IF(AND(AJ41&lt;&gt;"",AJ41&lt;=Rates!$Y$8,Info!#REF!="بله"),AH41*(LOOKUP(AJ41,Rates!$T$2:$T$108,Rates!#REF!)),IF(AND(AK41&lt;&gt;"",AK41&lt;=Rates!$Y$8,Info!#REF!="خیر"),AH41*(LOOKUP(AK41,Rates!$T$2:$T$108,Rates!#REF!)),0)*(1-Info!$F$29))</f>
        <v/>
      </c>
      <c r="W41" s="239">
        <f>IF(AJ41&lt;&gt;"",X41*LOOKUP(Info!$I$18,Rates!$O$2:$O$9,Rates!$M$2:$M$9)/100,0)</f>
        <v/>
      </c>
      <c r="X41" s="239">
        <f>IF(AJ41&lt;=Rates!$Y$4,0.0008*AF41*Info!$F$12,0)</f>
        <v/>
      </c>
      <c r="Y41" s="239">
        <f>IF(AJ41&lt;&gt;"",Z41*(LOOKUP(Info!$I$18,Rates!$O$2:$O$9,Rates!$N$2:$N$9/100)),0)</f>
        <v/>
      </c>
      <c r="Z41" s="238">
        <f>IF(AND(AJ41&lt;=(Rates!$Y$3),AD41&lt;&gt;""),(1-Info!$I$27)*0.0008*AF41*Info!$I$12,0)</f>
        <v/>
      </c>
      <c r="AA41" s="238">
        <f>IF(AJ41&lt;=60,(LOOKUP(AJ41,Rates!$T$2:$T$108,Rates!#REF!))*AC41/1000000*(1-Info!$I$29),0)</f>
        <v/>
      </c>
      <c r="AB41" s="236">
        <f>IF(AJ41&lt;&gt;"",(AF41*LOOKUP(AJ41,Rates!$T$2:$T$108,Rates!$S$2:$S$108))/SQRT(1+IF(AL41&lt;=10,Rates!$Y$5,Rates!$Y$6)),"")</f>
        <v/>
      </c>
      <c r="AC41" s="240">
        <f>IF(AND(AJ41&lt;&gt;"",AJ41&lt;=Rates!$Y$2),MIN(0.5*AF41,300000000,AC40*(1+Info!$F$10)),"")</f>
        <v/>
      </c>
      <c r="AD41" s="240">
        <f>IF(AND(AJ41&lt;&gt;"",AJ41&lt;=60),AF41*Info!$L$16,"")</f>
        <v/>
      </c>
      <c r="AE41" s="68">
        <f>IF(AND(AJ41&lt;&gt;"",AJ41&lt;=70),AF41*(1+Info!$L$14),"")</f>
        <v/>
      </c>
      <c r="AF41" s="68">
        <f>IF(AJ41&lt;&gt;"",AF40*(1+Info!$F$10),"")</f>
        <v/>
      </c>
      <c r="AG41" s="51">
        <f>IF(AJ41&lt;&gt;"",AI41+AG40,"")</f>
        <v/>
      </c>
      <c r="AH41" s="42">
        <f>IF(AJ41&lt;&gt;"",AI41*Rates!$Y$9,"")</f>
        <v/>
      </c>
      <c r="AI41" s="51">
        <f>IF(AJ41&lt;&gt;"",AI40*(1+Info!$F$8),"")</f>
        <v/>
      </c>
      <c r="AJ41" s="57">
        <f>IF(AL41&lt;&gt;"",Info!$F$6+AL41-1,"")</f>
        <v/>
      </c>
      <c r="AK41" s="66">
        <f>IF(AL41&lt;&gt;"",Info!$C$6+AL41-1,"")</f>
        <v/>
      </c>
      <c r="AL41" s="69">
        <f>IF(AL40&lt;&gt;"",IF(AL40+1&lt;=Info!$I$6,AL40+1,""),"")</f>
        <v/>
      </c>
    </row>
    <row r="42">
      <c r="A42" s="236">
        <f>IF(AJ42&lt;&gt;"",D42+D42*(IF(AL42&gt;4,0.1,LOOKUP(Info!$C$10,Rates!$D$2:$D$4,Rates!$C$2:$C$4))+0.85*(Info!$I$22-(IF(AL42&gt;4,0.1,LOOKUP(Info!$C$10,Rates!$D$2:$D$4,Rates!$C$2:$C$4)))))*LOOKUP(Info!$C$8,Rates!$I$2:$I$7,Rates!$G$2:$G$7)+A41*(1+IF(AL42&gt;4,0.1,LOOKUP(Info!$C$10,Rates!$D$2:$D$4,Rates!$C$2:$C$4))+0.85*(Info!$I$22-IF(AL42&gt;4,0.1,LOOKUP(Info!$C$10,Rates!$D$2:$D$4,Rates!$C$2:$C$4)))),"")</f>
        <v/>
      </c>
      <c r="B42" s="236">
        <f>IF(AJ42&lt;&gt;"",IF(AL42&gt;=8,C42,C42*LOOKUP(AL42,Rates!$AG$2:$AG$8,Rates!$AF$2:$AF$8)),"")</f>
        <v/>
      </c>
      <c r="C42" s="236">
        <f>IF(AJ42&lt;&gt;"",D42*(1+IF(AL42&gt;4,0.1,LOOKUP(Info!$C$10,Rates!$D$2:$D$5,Rates!$B$2:$B$5))*LOOKUP(Info!$C$8,Rates!$I$2:$I$7,Rates!$G$2:$G$7))+C41*(1+IF(AL42&gt;4,0.1,LOOKUP(Info!$C$10,Rates!$D$2:$D$5,Rates!$B$2:$B$5))),"")</f>
        <v/>
      </c>
      <c r="D42" s="236">
        <f>IF(AJ42&lt;&gt;"",AI42-(H42+G42+F42+E42+P42+Q42)+IF(Info!$C$20&gt;0,IF(AND(AL42&lt;=Info!$F$20,AL42&gt;=Info!$I$20),Info!$C$20,0),0),"")</f>
        <v/>
      </c>
      <c r="E42" s="236">
        <f>IF(AJ42&lt;&gt;"",(LOOKUP(Info!$C$22,Rates!$AD$2:$AD$4,Rates!$AC$2:$AC$4))*(H42+P42+Q42),"")</f>
        <v/>
      </c>
      <c r="F42" s="236">
        <f>IF(AJ42&lt;&gt;"",(LOOKUP(Info!$C$22,Rates!$AD$2:$AD$4,Rates!$AA$2:$AA$4))*(H42+P42+Q42),"")</f>
        <v/>
      </c>
      <c r="G42" s="236">
        <f>IF(AJ42&lt;&gt;"",(LOOKUP(Info!$C$22,Rates!$AD$2:$AD$4,Rates!$AB$2:$AB$4))*(H42+P42+Q42),"")</f>
        <v/>
      </c>
      <c r="H42" s="236">
        <f>IF(AJ42&lt;&gt;"",I42+J42+AB42,"")</f>
        <v/>
      </c>
      <c r="I42" s="236">
        <f>IF(AJ42&lt;&gt;"",LOOKUP(Info!$C$8,Rates!$I$2:$I$7,Rates!$H$2:$H$7)*(J42+P42+Q42+AB42),"")</f>
        <v/>
      </c>
      <c r="J42" s="244">
        <f>IF(L42="",0,L42)+IF(N42="",0,N42)+IF(O42="",0,O42)</f>
        <v/>
      </c>
      <c r="K42" s="244">
        <f>M42+0.7*M41+0.7*0.5*M40+0.7*0.25*M39+0.7*0.25*M38</f>
        <v/>
      </c>
      <c r="L42" s="244">
        <f>IF(M42&lt;&gt;"",L41+40/100*M41+M42-17.5/100*M37,0)</f>
        <v/>
      </c>
      <c r="M42" s="244">
        <f>IF(#REF!&lt;&gt;"",(1-Info!$C$25)*IF(MIN(30/1000*$AF$2,0.75*#REF!)=30/1000*AF41,30/1000*(AF42-AF41),0.75*(#REF!-#REF!)),"")</f>
        <v/>
      </c>
      <c r="N42" s="244" t="n">
        <v>0</v>
      </c>
      <c r="O42" s="244">
        <f>IF(AJ42&lt;&gt;"",0.07*AI42*(1-Info!$F$25),0)</f>
        <v/>
      </c>
      <c r="P42" s="238">
        <f>IF(AJ42&lt;&gt;"",Y42+W42+U42+S42+R42,0)</f>
        <v/>
      </c>
      <c r="Q42" s="238">
        <f>IF(AJ42&lt;&gt;"",AA42+Z42+X42+V42+T42,0)</f>
        <v/>
      </c>
      <c r="R42" s="238">
        <f>IF(AJ42&lt;&gt;"",(AB42+AA42+V42+T42)*Info!$L$20,0)</f>
        <v/>
      </c>
      <c r="S42" s="238">
        <f>IF(AJ42&lt;&gt;"",T42*(LOOKUP(Info!$I$18,Rates!$O$2:$O$9,Rates!$L$2:$L$9)/100),0)</f>
        <v/>
      </c>
      <c r="T42" s="238">
        <f>IF(AJ42&lt;&gt;"",IF(Info!$F$14="بله",V42*Rates!$Y$7,0),0)</f>
        <v/>
      </c>
      <c r="U42" s="238">
        <f>IF(AJ42&lt;&gt;"",IF(Info!#REF!="بله",V42*(LOOKUP(Info!$I$18,Rates!$O$2:$O$9,Rates!$L$2:$L$9)/100),V42*(LOOKUP(Info!$F$18,Rates!$O$2:$O$9,Rates!$L$2:$L$9)/100)),0)</f>
        <v/>
      </c>
      <c r="V42" s="239">
        <f>IF(AND(AJ42&lt;&gt;"",AJ42&lt;=Rates!$Y$8,Info!#REF!="بله"),AH42*(LOOKUP(AJ42,Rates!$T$2:$T$108,Rates!#REF!)),IF(AND(AK42&lt;&gt;"",AK42&lt;=Rates!$Y$8,Info!#REF!="خیر"),AH42*(LOOKUP(AK42,Rates!$T$2:$T$108,Rates!#REF!)),0)*(1-Info!$F$29))</f>
        <v/>
      </c>
      <c r="W42" s="239">
        <f>IF(AJ42&lt;&gt;"",X42*LOOKUP(Info!$I$18,Rates!$O$2:$O$9,Rates!$M$2:$M$9)/100,0)</f>
        <v/>
      </c>
      <c r="X42" s="239">
        <f>IF(AJ42&lt;=Rates!$Y$4,0.0008*AF42*Info!$F$12,0)</f>
        <v/>
      </c>
      <c r="Y42" s="239">
        <f>IF(AJ42&lt;&gt;"",Z42*(LOOKUP(Info!$I$18,Rates!$O$2:$O$9,Rates!$N$2:$N$9/100)),0)</f>
        <v/>
      </c>
      <c r="Z42" s="238">
        <f>IF(AND(AJ42&lt;=(Rates!$Y$3),AD42&lt;&gt;""),(1-Info!$I$27)*0.0008*AF42*Info!$I$12,0)</f>
        <v/>
      </c>
      <c r="AA42" s="238">
        <f>IF(AJ42&lt;=60,(LOOKUP(AJ42,Rates!$T$2:$T$108,Rates!#REF!))*AC42/1000000*(1-Info!$I$29),0)</f>
        <v/>
      </c>
      <c r="AB42" s="236">
        <f>IF(AJ42&lt;&gt;"",(AF42*LOOKUP(AJ42,Rates!$T$2:$T$108,Rates!$S$2:$S$108))/SQRT(1+IF(AL42&lt;=10,Rates!$Y$5,Rates!$Y$6)),"")</f>
        <v/>
      </c>
      <c r="AC42" s="240">
        <f>IF(AND(AJ42&lt;&gt;"",AJ42&lt;=Rates!$Y$2),MIN(0.5*AF42,300000000,AC41*(1+Info!$F$10)),"")</f>
        <v/>
      </c>
      <c r="AD42" s="240">
        <f>IF(AND(AJ42&lt;&gt;"",AJ42&lt;=60),AF42*Info!$L$16,"")</f>
        <v/>
      </c>
      <c r="AE42" s="68">
        <f>IF(AND(AJ42&lt;&gt;"",AJ42&lt;=70),AF42*(1+Info!$L$14),"")</f>
        <v/>
      </c>
      <c r="AF42" s="68">
        <f>IF(AJ42&lt;&gt;"",AF41*(1+Info!$F$10),"")</f>
        <v/>
      </c>
      <c r="AG42" s="51">
        <f>IF(AJ42&lt;&gt;"",AI42+AG41,"")</f>
        <v/>
      </c>
      <c r="AH42" s="42">
        <f>IF(AJ42&lt;&gt;"",AI42*Rates!$Y$9,"")</f>
        <v/>
      </c>
      <c r="AI42" s="51">
        <f>IF(AJ42&lt;&gt;"",AI41*(1+Info!$F$8),"")</f>
        <v/>
      </c>
      <c r="AJ42" s="57">
        <f>IF(AL42&lt;&gt;"",Info!$F$6+AL42-1,"")</f>
        <v/>
      </c>
      <c r="AK42" s="66">
        <f>IF(AL42&lt;&gt;"",Info!$C$6+AL42-1,"")</f>
        <v/>
      </c>
      <c r="AL42" s="69">
        <f>IF(AL41&lt;&gt;"",IF(AL41+1&lt;=Info!$I$6,AL41+1,""),"")</f>
        <v/>
      </c>
    </row>
    <row r="43">
      <c r="A43" s="236">
        <f>IF(AJ43&lt;&gt;"",D43+D43*(IF(AL43&gt;4,0.1,LOOKUP(Info!$C$10,Rates!$D$2:$D$4,Rates!$C$2:$C$4))+0.85*(Info!$I$22-(IF(AL43&gt;4,0.1,LOOKUP(Info!$C$10,Rates!$D$2:$D$4,Rates!$C$2:$C$4)))))*LOOKUP(Info!$C$8,Rates!$I$2:$I$7,Rates!$G$2:$G$7)+A42*(1+IF(AL43&gt;4,0.1,LOOKUP(Info!$C$10,Rates!$D$2:$D$4,Rates!$C$2:$C$4))+0.85*(Info!$I$22-IF(AL43&gt;4,0.1,LOOKUP(Info!$C$10,Rates!$D$2:$D$4,Rates!$C$2:$C$4)))),"")</f>
        <v/>
      </c>
      <c r="B43" s="236">
        <f>IF(AJ43&lt;&gt;"",IF(AL43&gt;=8,C43,C43*LOOKUP(AL43,Rates!$AG$2:$AG$8,Rates!$AF$2:$AF$8)),"")</f>
        <v/>
      </c>
      <c r="C43" s="236">
        <f>IF(AJ43&lt;&gt;"",D43*(1+IF(AL43&gt;4,0.1,LOOKUP(Info!$C$10,Rates!$D$2:$D$5,Rates!$B$2:$B$5))*LOOKUP(Info!$C$8,Rates!$I$2:$I$7,Rates!$G$2:$G$7))+C42*(1+IF(AL43&gt;4,0.1,LOOKUP(Info!$C$10,Rates!$D$2:$D$5,Rates!$B$2:$B$5))),"")</f>
        <v/>
      </c>
      <c r="D43" s="236">
        <f>IF(AJ43&lt;&gt;"",AI43-(H43+G43+F43+E43+P43+Q43)+IF(Info!$C$20&gt;0,IF(AND(AL43&lt;=Info!$F$20,AL43&gt;=Info!$I$20),Info!$C$20,0),0),"")</f>
        <v/>
      </c>
      <c r="E43" s="236">
        <f>IF(AJ43&lt;&gt;"",(LOOKUP(Info!$C$22,Rates!$AD$2:$AD$4,Rates!$AC$2:$AC$4))*(H43+P43+Q43),"")</f>
        <v/>
      </c>
      <c r="F43" s="236">
        <f>IF(AJ43&lt;&gt;"",(LOOKUP(Info!$C$22,Rates!$AD$2:$AD$4,Rates!$AA$2:$AA$4))*(H43+P43+Q43),"")</f>
        <v/>
      </c>
      <c r="G43" s="236">
        <f>IF(AJ43&lt;&gt;"",(LOOKUP(Info!$C$22,Rates!$AD$2:$AD$4,Rates!$AB$2:$AB$4))*(H43+P43+Q43),"")</f>
        <v/>
      </c>
      <c r="H43" s="236">
        <f>IF(AJ43&lt;&gt;"",I43+J43+AB43,"")</f>
        <v/>
      </c>
      <c r="I43" s="236">
        <f>IF(AJ43&lt;&gt;"",LOOKUP(Info!$C$8,Rates!$I$2:$I$7,Rates!$H$2:$H$7)*(J43+P43+Q43+AB43),"")</f>
        <v/>
      </c>
      <c r="J43" s="244">
        <f>IF(L43="",0,L43)+IF(N43="",0,N43)+IF(O43="",0,O43)</f>
        <v/>
      </c>
      <c r="K43" s="244">
        <f>M43+0.7*M42+0.7*0.5*M41+0.7*0.25*M40+0.7*0.25*M39</f>
        <v/>
      </c>
      <c r="L43" s="244">
        <f>IF(M43&lt;&gt;"",L42+40/100*M42+M43-17.5/100*M38,0)</f>
        <v/>
      </c>
      <c r="M43" s="244">
        <f>IF(#REF!&lt;&gt;"",(1-Info!$C$25)*IF(MIN(30/1000*$AF$2,0.75*#REF!)=30/1000*AF42,30/1000*(AF43-AF42),0.75*(#REF!-#REF!)),"")</f>
        <v/>
      </c>
      <c r="N43" s="244" t="n">
        <v>0</v>
      </c>
      <c r="O43" s="244">
        <f>IF(AJ43&lt;&gt;"",0.07*AI43*(1-Info!$F$25),0)</f>
        <v/>
      </c>
      <c r="P43" s="238">
        <f>IF(AJ43&lt;&gt;"",Y43+W43+U43+S43+R43,0)</f>
        <v/>
      </c>
      <c r="Q43" s="238">
        <f>IF(AJ43&lt;&gt;"",AA43+Z43+X43+V43+T43,0)</f>
        <v/>
      </c>
      <c r="R43" s="238">
        <f>IF(AJ43&lt;&gt;"",(AB43+AA43+V43+T43)*Info!$L$20,0)</f>
        <v/>
      </c>
      <c r="S43" s="238">
        <f>IF(AJ43&lt;&gt;"",T43*(LOOKUP(Info!$I$18,Rates!$O$2:$O$9,Rates!$L$2:$L$9)/100),0)</f>
        <v/>
      </c>
      <c r="T43" s="238">
        <f>IF(AJ43&lt;&gt;"",IF(Info!$F$14="بله",V43*Rates!$Y$7,0),0)</f>
        <v/>
      </c>
      <c r="U43" s="238">
        <f>IF(AJ43&lt;&gt;"",IF(Info!#REF!="بله",V43*(LOOKUP(Info!$I$18,Rates!$O$2:$O$9,Rates!$L$2:$L$9)/100),V43*(LOOKUP(Info!$F$18,Rates!$O$2:$O$9,Rates!$L$2:$L$9)/100)),0)</f>
        <v/>
      </c>
      <c r="V43" s="239">
        <f>IF(AND(AJ43&lt;&gt;"",AJ43&lt;=Rates!$Y$8,Info!#REF!="بله"),AH43*(LOOKUP(AJ43,Rates!$T$2:$T$108,Rates!#REF!)),IF(AND(AK43&lt;&gt;"",AK43&lt;=Rates!$Y$8,Info!#REF!="خیر"),AH43*(LOOKUP(AK43,Rates!$T$2:$T$108,Rates!#REF!)),0)*(1-Info!$F$29))</f>
        <v/>
      </c>
      <c r="W43" s="239">
        <f>IF(AJ43&lt;&gt;"",X43*LOOKUP(Info!$I$18,Rates!$O$2:$O$9,Rates!$M$2:$M$9)/100,0)</f>
        <v/>
      </c>
      <c r="X43" s="239">
        <f>IF(AJ43&lt;=Rates!$Y$4,0.0008*AF43*Info!$F$12,0)</f>
        <v/>
      </c>
      <c r="Y43" s="239">
        <f>IF(AJ43&lt;&gt;"",Z43*(LOOKUP(Info!$I$18,Rates!$O$2:$O$9,Rates!$N$2:$N$9/100)),0)</f>
        <v/>
      </c>
      <c r="Z43" s="238">
        <f>IF(AND(AJ43&lt;=(Rates!$Y$3),AD43&lt;&gt;""),(1-Info!$I$27)*0.0008*AF43*Info!$I$12,0)</f>
        <v/>
      </c>
      <c r="AA43" s="238">
        <f>IF(AJ43&lt;=60,(LOOKUP(AJ43,Rates!$T$2:$T$108,Rates!#REF!))*AC43/1000000*(1-Info!$I$29),0)</f>
        <v/>
      </c>
      <c r="AB43" s="236">
        <f>IF(AJ43&lt;&gt;"",(AF43*LOOKUP(AJ43,Rates!$T$2:$T$108,Rates!$S$2:$S$108))/SQRT(1+IF(AL43&lt;=10,Rates!$Y$5,Rates!$Y$6)),"")</f>
        <v/>
      </c>
      <c r="AC43" s="240">
        <f>IF(AND(AJ43&lt;&gt;"",AJ43&lt;=Rates!$Y$2),MIN(0.5*AF43,300000000,AC42*(1+Info!$F$10)),"")</f>
        <v/>
      </c>
      <c r="AD43" s="240">
        <f>IF(AND(AJ43&lt;&gt;"",AJ43&lt;=60),AF43*Info!$L$16,"")</f>
        <v/>
      </c>
      <c r="AE43" s="68">
        <f>IF(AND(AJ43&lt;&gt;"",AJ43&lt;=70),AF43*(1+Info!$L$14),"")</f>
        <v/>
      </c>
      <c r="AF43" s="68">
        <f>IF(AJ43&lt;&gt;"",AF42*(1+Info!$F$10),"")</f>
        <v/>
      </c>
      <c r="AG43" s="51">
        <f>IF(AJ43&lt;&gt;"",AI43+AG42,"")</f>
        <v/>
      </c>
      <c r="AH43" s="42">
        <f>IF(AJ43&lt;&gt;"",AI43*Rates!$Y$9,"")</f>
        <v/>
      </c>
      <c r="AI43" s="51">
        <f>IF(AJ43&lt;&gt;"",AI42*(1+Info!$F$8),"")</f>
        <v/>
      </c>
      <c r="AJ43" s="57">
        <f>IF(AL43&lt;&gt;"",Info!$F$6+AL43-1,"")</f>
        <v/>
      </c>
      <c r="AK43" s="66">
        <f>IF(AL43&lt;&gt;"",Info!$C$6+AL43-1,"")</f>
        <v/>
      </c>
      <c r="AL43" s="69">
        <f>IF(AL42&lt;&gt;"",IF(AL42+1&lt;=Info!$I$6,AL42+1,""),"")</f>
        <v/>
      </c>
    </row>
    <row r="44">
      <c r="A44" s="236">
        <f>IF(AJ44&lt;&gt;"",D44+D44*(IF(AL44&gt;4,0.1,LOOKUP(Info!$C$10,Rates!$D$2:$D$4,Rates!$C$2:$C$4))+0.85*(Info!$I$22-(IF(AL44&gt;4,0.1,LOOKUP(Info!$C$10,Rates!$D$2:$D$4,Rates!$C$2:$C$4)))))*LOOKUP(Info!$C$8,Rates!$I$2:$I$7,Rates!$G$2:$G$7)+A43*(1+IF(AL44&gt;4,0.1,LOOKUP(Info!$C$10,Rates!$D$2:$D$4,Rates!$C$2:$C$4))+0.85*(Info!$I$22-IF(AL44&gt;4,0.1,LOOKUP(Info!$C$10,Rates!$D$2:$D$4,Rates!$C$2:$C$4)))),"")</f>
        <v/>
      </c>
      <c r="B44" s="236">
        <f>IF(AJ44&lt;&gt;"",IF(AL44&gt;=8,C44,C44*LOOKUP(AL44,Rates!$AG$2:$AG$8,Rates!$AF$2:$AF$8)),"")</f>
        <v/>
      </c>
      <c r="C44" s="236">
        <f>IF(AJ44&lt;&gt;"",D44*(1+IF(AL44&gt;4,0.1,LOOKUP(Info!$C$10,Rates!$D$2:$D$5,Rates!$B$2:$B$5))*LOOKUP(Info!$C$8,Rates!$I$2:$I$7,Rates!$G$2:$G$7))+C43*(1+IF(AL44&gt;4,0.1,LOOKUP(Info!$C$10,Rates!$D$2:$D$5,Rates!$B$2:$B$5))),"")</f>
        <v/>
      </c>
      <c r="D44" s="236">
        <f>IF(AJ44&lt;&gt;"",AI44-(H44+G44+F44+E44+P44+Q44)+IF(Info!$C$20&gt;0,IF(AND(AL44&lt;=Info!$F$20,AL44&gt;=Info!$I$20),Info!$C$20,0),0),"")</f>
        <v/>
      </c>
      <c r="E44" s="236">
        <f>IF(AJ44&lt;&gt;"",(LOOKUP(Info!$C$22,Rates!$AD$2:$AD$4,Rates!$AC$2:$AC$4))*(H44+P44+Q44),"")</f>
        <v/>
      </c>
      <c r="F44" s="236">
        <f>IF(AJ44&lt;&gt;"",(LOOKUP(Info!$C$22,Rates!$AD$2:$AD$4,Rates!$AA$2:$AA$4))*(H44+P44+Q44),"")</f>
        <v/>
      </c>
      <c r="G44" s="236">
        <f>IF(AJ44&lt;&gt;"",(LOOKUP(Info!$C$22,Rates!$AD$2:$AD$4,Rates!$AB$2:$AB$4))*(H44+P44+Q44),"")</f>
        <v/>
      </c>
      <c r="H44" s="236">
        <f>IF(AJ44&lt;&gt;"",I44+J44+AB44,"")</f>
        <v/>
      </c>
      <c r="I44" s="236">
        <f>IF(AJ44&lt;&gt;"",LOOKUP(Info!$C$8,Rates!$I$2:$I$7,Rates!$H$2:$H$7)*(J44+P44+Q44+AB44),"")</f>
        <v/>
      </c>
      <c r="J44" s="244">
        <f>IF(L44="",0,L44)+IF(N44="",0,N44)+IF(O44="",0,O44)</f>
        <v/>
      </c>
      <c r="K44" s="244">
        <f>M44+0.7*M43+0.7*0.5*M42+0.7*0.25*M41+0.7*0.25*M40</f>
        <v/>
      </c>
      <c r="L44" s="244">
        <f>IF(M44&lt;&gt;"",L43+40/100*M43+M44-17.5/100*M39,0)</f>
        <v/>
      </c>
      <c r="M44" s="244">
        <f>IF(#REF!&lt;&gt;"",(1-Info!$C$25)*IF(MIN(30/1000*$AF$2,0.75*#REF!)=30/1000*AF43,30/1000*(AF44-AF43),0.75*(#REF!-#REF!)),"")</f>
        <v/>
      </c>
      <c r="N44" s="244" t="n">
        <v>0</v>
      </c>
      <c r="O44" s="244">
        <f>IF(AJ44&lt;&gt;"",0.07*AI44*(1-Info!$F$25),0)</f>
        <v/>
      </c>
      <c r="P44" s="238">
        <f>IF(AJ44&lt;&gt;"",Y44+W44+U44+S44+R44,0)</f>
        <v/>
      </c>
      <c r="Q44" s="238">
        <f>IF(AJ44&lt;&gt;"",AA44+Z44+X44+V44+T44,0)</f>
        <v/>
      </c>
      <c r="R44" s="238">
        <f>IF(AJ44&lt;&gt;"",(AB44+AA44+V44+T44)*Info!$L$20,0)</f>
        <v/>
      </c>
      <c r="S44" s="238">
        <f>IF(AJ44&lt;&gt;"",T44*(LOOKUP(Info!$I$18,Rates!$O$2:$O$9,Rates!$L$2:$L$9)/100),0)</f>
        <v/>
      </c>
      <c r="T44" s="238">
        <f>IF(AJ44&lt;&gt;"",IF(Info!$F$14="بله",V44*Rates!$Y$7,0),0)</f>
        <v/>
      </c>
      <c r="U44" s="238">
        <f>IF(AJ44&lt;&gt;"",IF(Info!#REF!="بله",V44*(LOOKUP(Info!$I$18,Rates!$O$2:$O$9,Rates!$L$2:$L$9)/100),V44*(LOOKUP(Info!$F$18,Rates!$O$2:$O$9,Rates!$L$2:$L$9)/100)),0)</f>
        <v/>
      </c>
      <c r="V44" s="239">
        <f>IF(AND(AJ44&lt;&gt;"",AJ44&lt;=Rates!$Y$8,Info!#REF!="بله"),AH44*(LOOKUP(AJ44,Rates!$T$2:$T$108,Rates!#REF!)),IF(AND(AK44&lt;&gt;"",AK44&lt;=Rates!$Y$8,Info!#REF!="خیر"),AH44*(LOOKUP(AK44,Rates!$T$2:$T$108,Rates!#REF!)),0)*(1-Info!$F$29))</f>
        <v/>
      </c>
      <c r="W44" s="239">
        <f>IF(AJ44&lt;&gt;"",X44*LOOKUP(Info!$I$18,Rates!$O$2:$O$9,Rates!$M$2:$M$9)/100,0)</f>
        <v/>
      </c>
      <c r="X44" s="239">
        <f>IF(AJ44&lt;=Rates!$Y$4,0.0008*AF44*Info!$F$12,0)</f>
        <v/>
      </c>
      <c r="Y44" s="239">
        <f>IF(AJ44&lt;&gt;"",Z44*(LOOKUP(Info!$I$18,Rates!$O$2:$O$9,Rates!$N$2:$N$9/100)),0)</f>
        <v/>
      </c>
      <c r="Z44" s="238">
        <f>IF(AND(AJ44&lt;=(Rates!$Y$3),AD44&lt;&gt;""),(1-Info!$I$27)*0.0008*AF44*Info!$I$12,0)</f>
        <v/>
      </c>
      <c r="AA44" s="238">
        <f>IF(AJ44&lt;=60,(LOOKUP(AJ44,Rates!$T$2:$T$108,Rates!#REF!))*AC44/1000000*(1-Info!$I$29),0)</f>
        <v/>
      </c>
      <c r="AB44" s="236">
        <f>IF(AJ44&lt;&gt;"",(AF44*LOOKUP(AJ44,Rates!$T$2:$T$108,Rates!$S$2:$S$108))/SQRT(1+IF(AL44&lt;=10,Rates!$Y$5,Rates!$Y$6)),"")</f>
        <v/>
      </c>
      <c r="AC44" s="240">
        <f>IF(AND(AJ44&lt;&gt;"",AJ44&lt;=Rates!$Y$2),MIN(0.5*AF44,300000000,AC43*(1+Info!$F$10)),"")</f>
        <v/>
      </c>
      <c r="AD44" s="240">
        <f>IF(AND(AJ44&lt;&gt;"",AJ44&lt;=60),AF44*Info!$L$16,"")</f>
        <v/>
      </c>
      <c r="AE44" s="68">
        <f>IF(AND(AJ44&lt;&gt;"",AJ44&lt;=70),AF44*(1+Info!$L$14),"")</f>
        <v/>
      </c>
      <c r="AF44" s="68">
        <f>IF(AJ44&lt;&gt;"",AF43*(1+Info!$F$10),"")</f>
        <v/>
      </c>
      <c r="AG44" s="51">
        <f>IF(AJ44&lt;&gt;"",AI44+AG43,"")</f>
        <v/>
      </c>
      <c r="AH44" s="42">
        <f>IF(AJ44&lt;&gt;"",AI44*Rates!$Y$9,"")</f>
        <v/>
      </c>
      <c r="AI44" s="51">
        <f>IF(AJ44&lt;&gt;"",AI43*(1+Info!$F$8),"")</f>
        <v/>
      </c>
      <c r="AJ44" s="57">
        <f>IF(AL44&lt;&gt;"",Info!$F$6+AL44-1,"")</f>
        <v/>
      </c>
      <c r="AK44" s="66">
        <f>IF(AL44&lt;&gt;"",Info!$C$6+AL44-1,"")</f>
        <v/>
      </c>
      <c r="AL44" s="69">
        <f>IF(AL43&lt;&gt;"",IF(AL43+1&lt;=Info!$I$6,AL43+1,""),"")</f>
        <v/>
      </c>
    </row>
    <row r="45">
      <c r="A45" s="236">
        <f>IF(AJ45&lt;&gt;"",D45+D45*(IF(AL45&gt;4,0.1,LOOKUP(Info!$C$10,Rates!$D$2:$D$4,Rates!$C$2:$C$4))+0.85*(Info!$I$22-(IF(AL45&gt;4,0.1,LOOKUP(Info!$C$10,Rates!$D$2:$D$4,Rates!$C$2:$C$4)))))*LOOKUP(Info!$C$8,Rates!$I$2:$I$7,Rates!$G$2:$G$7)+A44*(1+IF(AL45&gt;4,0.1,LOOKUP(Info!$C$10,Rates!$D$2:$D$4,Rates!$C$2:$C$4))+0.85*(Info!$I$22-IF(AL45&gt;4,0.1,LOOKUP(Info!$C$10,Rates!$D$2:$D$4,Rates!$C$2:$C$4)))),"")</f>
        <v/>
      </c>
      <c r="B45" s="236">
        <f>IF(AJ45&lt;&gt;"",IF(AL45&gt;=8,C45,C45*LOOKUP(AL45,Rates!$AG$2:$AG$8,Rates!$AF$2:$AF$8)),"")</f>
        <v/>
      </c>
      <c r="C45" s="236">
        <f>IF(AJ45&lt;&gt;"",D45*(1+IF(AL45&gt;4,0.1,LOOKUP(Info!$C$10,Rates!$D$2:$D$5,Rates!$B$2:$B$5))*LOOKUP(Info!$C$8,Rates!$I$2:$I$7,Rates!$G$2:$G$7))+C44*(1+IF(AL45&gt;4,0.1,LOOKUP(Info!$C$10,Rates!$D$2:$D$5,Rates!$B$2:$B$5))),"")</f>
        <v/>
      </c>
      <c r="D45" s="236">
        <f>IF(AJ45&lt;&gt;"",AI45-(H45+G45+F45+E45+P45+Q45)+IF(Info!$C$20&gt;0,IF(AND(AL45&lt;=Info!$F$20,AL45&gt;=Info!$I$20),Info!$C$20,0),0),"")</f>
        <v/>
      </c>
      <c r="E45" s="236">
        <f>IF(AJ45&lt;&gt;"",(LOOKUP(Info!$C$22,Rates!$AD$2:$AD$4,Rates!$AC$2:$AC$4))*(H45+P45+Q45),"")</f>
        <v/>
      </c>
      <c r="F45" s="236">
        <f>IF(AJ45&lt;&gt;"",(LOOKUP(Info!$C$22,Rates!$AD$2:$AD$4,Rates!$AA$2:$AA$4))*(H45+P45+Q45),"")</f>
        <v/>
      </c>
      <c r="G45" s="236">
        <f>IF(AJ45&lt;&gt;"",(LOOKUP(Info!$C$22,Rates!$AD$2:$AD$4,Rates!$AB$2:$AB$4))*(H45+P45+Q45),"")</f>
        <v/>
      </c>
      <c r="H45" s="236">
        <f>IF(AJ45&lt;&gt;"",I45+J45+AB45,"")</f>
        <v/>
      </c>
      <c r="I45" s="236">
        <f>IF(AJ45&lt;&gt;"",LOOKUP(Info!$C$8,Rates!$I$2:$I$7,Rates!$H$2:$H$7)*(J45+P45+Q45+AB45),"")</f>
        <v/>
      </c>
      <c r="J45" s="244">
        <f>IF(L45="",0,L45)+IF(N45="",0,N45)+IF(O45="",0,O45)</f>
        <v/>
      </c>
      <c r="K45" s="244">
        <f>M45+0.7*M44+0.7*0.5*M43+0.7*0.25*M42+0.7*0.25*M41</f>
        <v/>
      </c>
      <c r="L45" s="244">
        <f>IF(M45&lt;&gt;"",L44+40/100*M44+M45-17.5/100*M40,0)</f>
        <v/>
      </c>
      <c r="M45" s="244">
        <f>IF(#REF!&lt;&gt;"",(1-Info!$C$25)*IF(MIN(30/1000*$AF$2,0.75*#REF!)=30/1000*AF44,30/1000*(AF45-AF44),0.75*(#REF!-#REF!)),"")</f>
        <v/>
      </c>
      <c r="N45" s="244" t="n">
        <v>0</v>
      </c>
      <c r="O45" s="244">
        <f>IF(AJ45&lt;&gt;"",0.07*AI45*(1-Info!$F$25),0)</f>
        <v/>
      </c>
      <c r="P45" s="238">
        <f>IF(AJ45&lt;&gt;"",Y45+W45+U45+S45+R45,0)</f>
        <v/>
      </c>
      <c r="Q45" s="238">
        <f>IF(AJ45&lt;&gt;"",AA45+Z45+X45+V45+T45,0)</f>
        <v/>
      </c>
      <c r="R45" s="238">
        <f>IF(AJ45&lt;&gt;"",(AB45+AA45+V45+T45)*Info!$L$20,0)</f>
        <v/>
      </c>
      <c r="S45" s="238">
        <f>IF(AJ45&lt;&gt;"",T45*(LOOKUP(Info!$I$18,Rates!$O$2:$O$9,Rates!$L$2:$L$9)/100),0)</f>
        <v/>
      </c>
      <c r="T45" s="238">
        <f>IF(AJ45&lt;&gt;"",IF(Info!$F$14="بله",V45*Rates!$Y$7,0),0)</f>
        <v/>
      </c>
      <c r="U45" s="238">
        <f>IF(AJ45&lt;&gt;"",IF(Info!#REF!="بله",V45*(LOOKUP(Info!$I$18,Rates!$O$2:$O$9,Rates!$L$2:$L$9)/100),V45*(LOOKUP(Info!$F$18,Rates!$O$2:$O$9,Rates!$L$2:$L$9)/100)),0)</f>
        <v/>
      </c>
      <c r="V45" s="239">
        <f>IF(AND(AJ45&lt;&gt;"",AJ45&lt;=Rates!$Y$8,Info!#REF!="بله"),AH45*(LOOKUP(AJ45,Rates!$T$2:$T$108,Rates!#REF!)),IF(AND(AK45&lt;&gt;"",AK45&lt;=Rates!$Y$8,Info!#REF!="خیر"),AH45*(LOOKUP(AK45,Rates!$T$2:$T$108,Rates!#REF!)),0)*(1-Info!$F$29))</f>
        <v/>
      </c>
      <c r="W45" s="239">
        <f>IF(AJ45&lt;&gt;"",X45*LOOKUP(Info!$I$18,Rates!$O$2:$O$9,Rates!$M$2:$M$9)/100,0)</f>
        <v/>
      </c>
      <c r="X45" s="239">
        <f>IF(AJ45&lt;=Rates!$Y$4,0.0008*AF45*Info!$F$12,0)</f>
        <v/>
      </c>
      <c r="Y45" s="239">
        <f>IF(AJ45&lt;&gt;"",Z45*(LOOKUP(Info!$I$18,Rates!$O$2:$O$9,Rates!$N$2:$N$9/100)),0)</f>
        <v/>
      </c>
      <c r="Z45" s="238">
        <f>IF(AND(AJ45&lt;=(Rates!$Y$3),AD45&lt;&gt;""),(1-Info!$I$27)*0.0008*AF45*Info!$I$12,0)</f>
        <v/>
      </c>
      <c r="AA45" s="238">
        <f>IF(AJ45&lt;=60,(LOOKUP(AJ45,Rates!$T$2:$T$108,Rates!#REF!))*AC45/1000000*(1-Info!$I$29),0)</f>
        <v/>
      </c>
      <c r="AB45" s="236">
        <f>IF(AJ45&lt;&gt;"",(AF45*LOOKUP(AJ45,Rates!$T$2:$T$108,Rates!$S$2:$S$108))/SQRT(1+IF(AL45&lt;=10,Rates!$Y$5,Rates!$Y$6)),"")</f>
        <v/>
      </c>
      <c r="AC45" s="240">
        <f>IF(AND(AJ45&lt;&gt;"",AJ45&lt;=Rates!$Y$2),MIN(0.5*AF45,300000000,AC44*(1+Info!$F$10)),"")</f>
        <v/>
      </c>
      <c r="AD45" s="240">
        <f>IF(AND(AJ45&lt;&gt;"",AJ45&lt;=60),AF45*Info!$L$16,"")</f>
        <v/>
      </c>
      <c r="AE45" s="68">
        <f>IF(AND(AJ45&lt;&gt;"",AJ45&lt;=70),AF45*(1+Info!$L$14),"")</f>
        <v/>
      </c>
      <c r="AF45" s="68">
        <f>IF(AJ45&lt;&gt;"",AF44*(1+Info!$F$10),"")</f>
        <v/>
      </c>
      <c r="AG45" s="51">
        <f>IF(AJ45&lt;&gt;"",AI45+AG44,"")</f>
        <v/>
      </c>
      <c r="AH45" s="42">
        <f>IF(AJ45&lt;&gt;"",AI45*Rates!$Y$9,"")</f>
        <v/>
      </c>
      <c r="AI45" s="51">
        <f>IF(AJ45&lt;&gt;"",AI44*(1+Info!$F$8),"")</f>
        <v/>
      </c>
      <c r="AJ45" s="57">
        <f>IF(AL45&lt;&gt;"",Info!$F$6+AL45-1,"")</f>
        <v/>
      </c>
      <c r="AK45" s="66">
        <f>IF(AL45&lt;&gt;"",Info!$C$6+AL45-1,"")</f>
        <v/>
      </c>
      <c r="AL45" s="69">
        <f>IF(AL44&lt;&gt;"",IF(AL44+1&lt;=Info!$I$6,AL44+1,""),"")</f>
        <v/>
      </c>
    </row>
    <row r="46">
      <c r="A46" s="236">
        <f>IF(AJ46&lt;&gt;"",D46+D46*(IF(AL46&gt;4,0.1,LOOKUP(Info!$C$10,Rates!$D$2:$D$4,Rates!$C$2:$C$4))+0.85*(Info!$I$22-(IF(AL46&gt;4,0.1,LOOKUP(Info!$C$10,Rates!$D$2:$D$4,Rates!$C$2:$C$4)))))*LOOKUP(Info!$C$8,Rates!$I$2:$I$7,Rates!$G$2:$G$7)+A45*(1+IF(AL46&gt;4,0.1,LOOKUP(Info!$C$10,Rates!$D$2:$D$4,Rates!$C$2:$C$4))+0.85*(Info!$I$22-IF(AL46&gt;4,0.1,LOOKUP(Info!$C$10,Rates!$D$2:$D$4,Rates!$C$2:$C$4)))),"")</f>
        <v/>
      </c>
      <c r="B46" s="236">
        <f>IF(AJ46&lt;&gt;"",IF(AL46&gt;=8,C46,C46*LOOKUP(AL46,Rates!$AG$2:$AG$8,Rates!$AF$2:$AF$8)),"")</f>
        <v/>
      </c>
      <c r="C46" s="236">
        <f>IF(AJ46&lt;&gt;"",D46*(1+IF(AL46&gt;4,0.1,LOOKUP(Info!$C$10,Rates!$D$2:$D$5,Rates!$B$2:$B$5))*LOOKUP(Info!$C$8,Rates!$I$2:$I$7,Rates!$G$2:$G$7))+C45*(1+IF(AL46&gt;4,0.1,LOOKUP(Info!$C$10,Rates!$D$2:$D$5,Rates!$B$2:$B$5))),"")</f>
        <v/>
      </c>
      <c r="D46" s="236">
        <f>IF(AJ46&lt;&gt;"",AI46-(H46+G46+F46+E46+P46+Q46)+IF(Info!$C$20&gt;0,IF(AND(AL46&lt;=Info!$F$20,AL46&gt;=Info!$I$20),Info!$C$20,0),0),"")</f>
        <v/>
      </c>
      <c r="E46" s="236">
        <f>IF(AJ46&lt;&gt;"",(LOOKUP(Info!$C$22,Rates!$AD$2:$AD$4,Rates!$AC$2:$AC$4))*(H46+P46+Q46),"")</f>
        <v/>
      </c>
      <c r="F46" s="236">
        <f>IF(AJ46&lt;&gt;"",(LOOKUP(Info!$C$22,Rates!$AD$2:$AD$4,Rates!$AA$2:$AA$4))*(H46+P46+Q46),"")</f>
        <v/>
      </c>
      <c r="G46" s="236">
        <f>IF(AJ46&lt;&gt;"",(LOOKUP(Info!$C$22,Rates!$AD$2:$AD$4,Rates!$AB$2:$AB$4))*(H46+P46+Q46),"")</f>
        <v/>
      </c>
      <c r="H46" s="236">
        <f>IF(AJ46&lt;&gt;"",I46+J46+AB46,"")</f>
        <v/>
      </c>
      <c r="I46" s="236">
        <f>IF(AJ46&lt;&gt;"",LOOKUP(Info!$C$8,Rates!$I$2:$I$7,Rates!$H$2:$H$7)*(J46+P46+Q46+AB46),"")</f>
        <v/>
      </c>
      <c r="J46" s="244">
        <f>IF(L46="",0,L46)+IF(N46="",0,N46)+IF(O46="",0,O46)</f>
        <v/>
      </c>
      <c r="K46" s="244">
        <f>M46+0.7*M45+0.7*0.5*M44+0.7*0.25*M43+0.7*0.25*M42</f>
        <v/>
      </c>
      <c r="L46" s="244">
        <f>IF(M46&lt;&gt;"",L45+40/100*M45+M46-17.5/100*M41,0)</f>
        <v/>
      </c>
      <c r="M46" s="244">
        <f>IF(#REF!&lt;&gt;"",(1-Info!$C$25)*IF(MIN(30/1000*$AF$2,0.75*#REF!)=30/1000*AF45,30/1000*(AF46-AF45),0.75*(#REF!-#REF!)),"")</f>
        <v/>
      </c>
      <c r="N46" s="244" t="n">
        <v>0</v>
      </c>
      <c r="O46" s="244">
        <f>IF(AJ46&lt;&gt;"",0.07*AI46*(1-Info!$F$25),0)</f>
        <v/>
      </c>
      <c r="P46" s="238">
        <f>IF(AJ46&lt;&gt;"",Y46+W46+U46+S46+R46,0)</f>
        <v/>
      </c>
      <c r="Q46" s="238">
        <f>IF(AJ46&lt;&gt;"",AA46+Z46+X46+V46+T46,0)</f>
        <v/>
      </c>
      <c r="R46" s="238">
        <f>IF(AJ46&lt;&gt;"",(AB46+AA46+V46+T46)*Info!$L$20,0)</f>
        <v/>
      </c>
      <c r="S46" s="238">
        <f>IF(AJ46&lt;&gt;"",T46*(LOOKUP(Info!$I$18,Rates!$O$2:$O$9,Rates!$L$2:$L$9)/100),0)</f>
        <v/>
      </c>
      <c r="T46" s="238">
        <f>IF(AJ46&lt;&gt;"",IF(Info!$F$14="بله",V46*Rates!$Y$7,0),0)</f>
        <v/>
      </c>
      <c r="U46" s="238">
        <f>IF(AJ46&lt;&gt;"",IF(Info!#REF!="بله",V46*(LOOKUP(Info!$I$18,Rates!$O$2:$O$9,Rates!$L$2:$L$9)/100),V46*(LOOKUP(Info!$F$18,Rates!$O$2:$O$9,Rates!$L$2:$L$9)/100)),0)</f>
        <v/>
      </c>
      <c r="V46" s="239">
        <f>IF(AND(AJ46&lt;&gt;"",AJ46&lt;=Rates!$Y$8,Info!#REF!="بله"),AH46*(LOOKUP(AJ46,Rates!$T$2:$T$108,Rates!#REF!)),IF(AND(AK46&lt;&gt;"",AK46&lt;=Rates!$Y$8,Info!#REF!="خیر"),AH46*(LOOKUP(AK46,Rates!$T$2:$T$108,Rates!#REF!)),0)*(1-Info!$F$29))</f>
        <v/>
      </c>
      <c r="W46" s="239">
        <f>IF(AJ46&lt;&gt;"",X46*LOOKUP(Info!$I$18,Rates!$O$2:$O$9,Rates!$M$2:$M$9)/100,0)</f>
        <v/>
      </c>
      <c r="X46" s="239">
        <f>IF(AJ46&lt;=Rates!$Y$4,0.0008*AF46*Info!$F$12,0)</f>
        <v/>
      </c>
      <c r="Y46" s="239">
        <f>IF(AJ46&lt;&gt;"",Z46*(LOOKUP(Info!$I$18,Rates!$O$2:$O$9,Rates!$N$2:$N$9/100)),0)</f>
        <v/>
      </c>
      <c r="Z46" s="238">
        <f>IF(AND(AJ46&lt;=(Rates!$Y$3),AD46&lt;&gt;""),(1-Info!$I$27)*0.0008*AF46*Info!$I$12,0)</f>
        <v/>
      </c>
      <c r="AA46" s="238">
        <f>IF(AJ46&lt;=60,(LOOKUP(AJ46,Rates!$T$2:$T$108,Rates!#REF!))*AC46/1000000*(1-Info!$I$29),0)</f>
        <v/>
      </c>
      <c r="AB46" s="236">
        <f>IF(AJ46&lt;&gt;"",(AF46*LOOKUP(AJ46,Rates!$T$2:$T$108,Rates!$S$2:$S$108))/SQRT(1+IF(AL46&lt;=10,Rates!$Y$5,Rates!$Y$6)),"")</f>
        <v/>
      </c>
      <c r="AC46" s="240">
        <f>IF(AND(AJ46&lt;&gt;"",AJ46&lt;=Rates!$Y$2),MIN(0.5*AF46,300000000,AC45*(1+Info!$F$10)),"")</f>
        <v/>
      </c>
      <c r="AD46" s="240">
        <f>IF(AND(AJ46&lt;&gt;"",AJ46&lt;=60),AF46*Info!$L$16,"")</f>
        <v/>
      </c>
      <c r="AE46" s="68">
        <f>IF(AND(AJ46&lt;&gt;"",AJ46&lt;=70),AF46*(1+Info!$L$14),"")</f>
        <v/>
      </c>
      <c r="AF46" s="68">
        <f>IF(AJ46&lt;&gt;"",AF45*(1+Info!$F$10),"")</f>
        <v/>
      </c>
      <c r="AG46" s="51">
        <f>IF(AJ46&lt;&gt;"",AI46+AG45,"")</f>
        <v/>
      </c>
      <c r="AH46" s="42">
        <f>IF(AJ46&lt;&gt;"",AI46*Rates!$Y$9,"")</f>
        <v/>
      </c>
      <c r="AI46" s="51">
        <f>IF(AJ46&lt;&gt;"",AI45*(1+Info!$F$8),"")</f>
        <v/>
      </c>
      <c r="AJ46" s="57">
        <f>IF(AL46&lt;&gt;"",Info!$F$6+AL46-1,"")</f>
        <v/>
      </c>
      <c r="AK46" s="66">
        <f>IF(AL46&lt;&gt;"",Info!$C$6+AL46-1,"")</f>
        <v/>
      </c>
      <c r="AL46" s="69">
        <f>IF(AL45&lt;&gt;"",IF(AL45+1&lt;=Info!$I$6,AL45+1,""),"")</f>
        <v/>
      </c>
    </row>
    <row r="47">
      <c r="A47" s="236">
        <f>IF(AJ47&lt;&gt;"",D47+D47*(IF(AL47&gt;4,0.1,LOOKUP(Info!$C$10,Rates!$D$2:$D$4,Rates!$C$2:$C$4))+0.85*(Info!$I$22-(IF(AL47&gt;4,0.1,LOOKUP(Info!$C$10,Rates!$D$2:$D$4,Rates!$C$2:$C$4)))))*LOOKUP(Info!$C$8,Rates!$I$2:$I$7,Rates!$G$2:$G$7)+A46*(1+IF(AL47&gt;4,0.1,LOOKUP(Info!$C$10,Rates!$D$2:$D$4,Rates!$C$2:$C$4))+0.85*(Info!$I$22-IF(AL47&gt;4,0.1,LOOKUP(Info!$C$10,Rates!$D$2:$D$4,Rates!$C$2:$C$4)))),"")</f>
        <v/>
      </c>
      <c r="B47" s="236">
        <f>IF(AJ47&lt;&gt;"",IF(AL47&gt;=8,C47,C47*LOOKUP(AL47,Rates!$AG$2:$AG$8,Rates!$AF$2:$AF$8)),"")</f>
        <v/>
      </c>
      <c r="C47" s="236">
        <f>IF(AJ47&lt;&gt;"",D47*(1+IF(AL47&gt;4,0.1,LOOKUP(Info!$C$10,Rates!$D$2:$D$5,Rates!$B$2:$B$5))*LOOKUP(Info!$C$8,Rates!$I$2:$I$7,Rates!$G$2:$G$7))+C46*(1+IF(AL47&gt;4,0.1,LOOKUP(Info!$C$10,Rates!$D$2:$D$5,Rates!$B$2:$B$5))),"")</f>
        <v/>
      </c>
      <c r="D47" s="236">
        <f>IF(AJ47&lt;&gt;"",AI47-(H47+G47+F47+E47+P47+Q47)+IF(Info!$C$20&gt;0,IF(AND(AL47&lt;=Info!$F$20,AL47&gt;=Info!$I$20),Info!$C$20,0),0),"")</f>
        <v/>
      </c>
      <c r="E47" s="236">
        <f>IF(AJ47&lt;&gt;"",(LOOKUP(Info!$C$22,Rates!$AD$2:$AD$4,Rates!$AC$2:$AC$4))*(H47+P47+Q47),"")</f>
        <v/>
      </c>
      <c r="F47" s="236">
        <f>IF(AJ47&lt;&gt;"",(LOOKUP(Info!$C$22,Rates!$AD$2:$AD$4,Rates!$AA$2:$AA$4))*(H47+P47+Q47),"")</f>
        <v/>
      </c>
      <c r="G47" s="236">
        <f>IF(AJ47&lt;&gt;"",(LOOKUP(Info!$C$22,Rates!$AD$2:$AD$4,Rates!$AB$2:$AB$4))*(H47+P47+Q47),"")</f>
        <v/>
      </c>
      <c r="H47" s="236">
        <f>IF(AJ47&lt;&gt;"",I47+J47+AB47,"")</f>
        <v/>
      </c>
      <c r="I47" s="236">
        <f>IF(AJ47&lt;&gt;"",LOOKUP(Info!$C$8,Rates!$I$2:$I$7,Rates!$H$2:$H$7)*(J47+P47+Q47+AB47),"")</f>
        <v/>
      </c>
      <c r="J47" s="244">
        <f>IF(L47="",0,L47)+IF(N47="",0,N47)+IF(O47="",0,O47)</f>
        <v/>
      </c>
      <c r="K47" s="244">
        <f>M47+0.7*M46+0.7*0.5*M45+0.7*0.25*M44+0.7*0.25*M43</f>
        <v/>
      </c>
      <c r="L47" s="244">
        <f>IF(M47&lt;&gt;"",L46+40/100*M46+M47-17.5/100*M42,0)</f>
        <v/>
      </c>
      <c r="M47" s="244">
        <f>IF(#REF!&lt;&gt;"",(1-Info!$C$25)*IF(MIN(30/1000*$AF$2,0.75*#REF!)=30/1000*AF46,30/1000*(AF47-AF46),0.75*(#REF!-#REF!)),"")</f>
        <v/>
      </c>
      <c r="N47" s="244" t="n">
        <v>0</v>
      </c>
      <c r="O47" s="244">
        <f>IF(AJ47&lt;&gt;"",0.07*AI47*(1-Info!$F$25),0)</f>
        <v/>
      </c>
      <c r="P47" s="238">
        <f>IF(AJ47&lt;&gt;"",Y47+W47+U47+S47+R47,0)</f>
        <v/>
      </c>
      <c r="Q47" s="238">
        <f>IF(AJ47&lt;&gt;"",AA47+Z47+X47+V47+T47,0)</f>
        <v/>
      </c>
      <c r="R47" s="238">
        <f>IF(AJ47&lt;&gt;"",(AB47+AA47+V47+T47)*Info!$L$20,0)</f>
        <v/>
      </c>
      <c r="S47" s="238">
        <f>IF(AJ47&lt;&gt;"",T47*(LOOKUP(Info!$I$18,Rates!$O$2:$O$9,Rates!$L$2:$L$9)/100),0)</f>
        <v/>
      </c>
      <c r="T47" s="238">
        <f>IF(AJ47&lt;&gt;"",IF(Info!$F$14="بله",V47*Rates!$Y$7,0),0)</f>
        <v/>
      </c>
      <c r="U47" s="238">
        <f>IF(AJ47&lt;&gt;"",IF(Info!#REF!="بله",V47*(LOOKUP(Info!$I$18,Rates!$O$2:$O$9,Rates!$L$2:$L$9)/100),V47*(LOOKUP(Info!$F$18,Rates!$O$2:$O$9,Rates!$L$2:$L$9)/100)),0)</f>
        <v/>
      </c>
      <c r="V47" s="239">
        <f>IF(AND(AJ47&lt;&gt;"",AJ47&lt;=Rates!$Y$8,Info!#REF!="بله"),AH47*(LOOKUP(AJ47,Rates!$T$2:$T$108,Rates!#REF!)),IF(AND(AK47&lt;&gt;"",AK47&lt;=Rates!$Y$8,Info!#REF!="خیر"),AH47*(LOOKUP(AK47,Rates!$T$2:$T$108,Rates!#REF!)),0)*(1-Info!$F$29))</f>
        <v/>
      </c>
      <c r="W47" s="239">
        <f>IF(AJ47&lt;&gt;"",X47*LOOKUP(Info!$I$18,Rates!$O$2:$O$9,Rates!$M$2:$M$9)/100,0)</f>
        <v/>
      </c>
      <c r="X47" s="239">
        <f>IF(AJ47&lt;=Rates!$Y$4,0.0008*AF47*Info!$F$12,0)</f>
        <v/>
      </c>
      <c r="Y47" s="239">
        <f>IF(AJ47&lt;&gt;"",Z47*(LOOKUP(Info!$I$18,Rates!$O$2:$O$9,Rates!$N$2:$N$9/100)),0)</f>
        <v/>
      </c>
      <c r="Z47" s="238">
        <f>IF(AND(AJ47&lt;=(Rates!$Y$3),AD47&lt;&gt;""),(1-Info!$I$27)*0.0008*AF47*Info!$I$12,0)</f>
        <v/>
      </c>
      <c r="AA47" s="238">
        <f>IF(AJ47&lt;=60,(LOOKUP(AJ47,Rates!$T$2:$T$108,Rates!#REF!))*AC47/1000000*(1-Info!$I$29),0)</f>
        <v/>
      </c>
      <c r="AB47" s="236">
        <f>IF(AJ47&lt;&gt;"",(AF47*LOOKUP(AJ47,Rates!$T$2:$T$108,Rates!$S$2:$S$108))/SQRT(1+IF(AL47&lt;=10,Rates!$Y$5,Rates!$Y$6)),"")</f>
        <v/>
      </c>
      <c r="AC47" s="240">
        <f>IF(AND(AJ47&lt;&gt;"",AJ47&lt;=Rates!$Y$2),MIN(0.5*AF47,300000000,AC46*(1+Info!$F$10)),"")</f>
        <v/>
      </c>
      <c r="AD47" s="240">
        <f>IF(AND(AJ47&lt;&gt;"",AJ47&lt;=60),AF47*Info!$L$16,"")</f>
        <v/>
      </c>
      <c r="AE47" s="68">
        <f>IF(AND(AJ47&lt;&gt;"",AJ47&lt;=70),AF47*(1+Info!$L$14),"")</f>
        <v/>
      </c>
      <c r="AF47" s="68">
        <f>IF(AJ47&lt;&gt;"",AF46*(1+Info!$F$10),"")</f>
        <v/>
      </c>
      <c r="AG47" s="51">
        <f>IF(AJ47&lt;&gt;"",AI47+AG46,"")</f>
        <v/>
      </c>
      <c r="AH47" s="42">
        <f>IF(AJ47&lt;&gt;"",AI47*Rates!$Y$9,"")</f>
        <v/>
      </c>
      <c r="AI47" s="51">
        <f>IF(AJ47&lt;&gt;"",AI46*(1+Info!$F$8),"")</f>
        <v/>
      </c>
      <c r="AJ47" s="57">
        <f>IF(AL47&lt;&gt;"",Info!$F$6+AL47-1,"")</f>
        <v/>
      </c>
      <c r="AK47" s="66">
        <f>IF(AL47&lt;&gt;"",Info!$C$6+AL47-1,"")</f>
        <v/>
      </c>
      <c r="AL47" s="69">
        <f>IF(AL46&lt;&gt;"",IF(AL46+1&lt;=Info!$I$6,AL46+1,""),"")</f>
        <v/>
      </c>
    </row>
    <row r="48">
      <c r="A48" s="236">
        <f>IF(AJ48&lt;&gt;"",D48+D48*(IF(AL48&gt;4,0.1,LOOKUP(Info!$C$10,Rates!$D$2:$D$4,Rates!$C$2:$C$4))+0.85*(Info!$I$22-(IF(AL48&gt;4,0.1,LOOKUP(Info!$C$10,Rates!$D$2:$D$4,Rates!$C$2:$C$4)))))*LOOKUP(Info!$C$8,Rates!$I$2:$I$7,Rates!$G$2:$G$7)+A47*(1+IF(AL48&gt;4,0.1,LOOKUP(Info!$C$10,Rates!$D$2:$D$4,Rates!$C$2:$C$4))+0.85*(Info!$I$22-IF(AL48&gt;4,0.1,LOOKUP(Info!$C$10,Rates!$D$2:$D$4,Rates!$C$2:$C$4)))),"")</f>
        <v/>
      </c>
      <c r="B48" s="236">
        <f>IF(AJ48&lt;&gt;"",IF(AL48&gt;=8,C48,C48*LOOKUP(AL48,Rates!$AG$2:$AG$8,Rates!$AF$2:$AF$8)),"")</f>
        <v/>
      </c>
      <c r="C48" s="236">
        <f>IF(AJ48&lt;&gt;"",D48*(1+IF(AL48&gt;4,0.1,LOOKUP(Info!$C$10,Rates!$D$2:$D$5,Rates!$B$2:$B$5))*LOOKUP(Info!$C$8,Rates!$I$2:$I$7,Rates!$G$2:$G$7))+C47*(1+IF(AL48&gt;4,0.1,LOOKUP(Info!$C$10,Rates!$D$2:$D$5,Rates!$B$2:$B$5))),"")</f>
        <v/>
      </c>
      <c r="D48" s="236">
        <f>IF(AJ48&lt;&gt;"",AI48-(H48+G48+F48+E48+P48+Q48)+IF(Info!$C$20&gt;0,IF(AND(AL48&lt;=Info!$F$20,AL48&gt;=Info!$I$20),Info!$C$20,0),0),"")</f>
        <v/>
      </c>
      <c r="E48" s="236">
        <f>IF(AJ48&lt;&gt;"",(LOOKUP(Info!$C$22,Rates!$AD$2:$AD$4,Rates!$AC$2:$AC$4))*(H48+P48+Q48),"")</f>
        <v/>
      </c>
      <c r="F48" s="236">
        <f>IF(AJ48&lt;&gt;"",(LOOKUP(Info!$C$22,Rates!$AD$2:$AD$4,Rates!$AA$2:$AA$4))*(H48+P48+Q48),"")</f>
        <v/>
      </c>
      <c r="G48" s="236">
        <f>IF(AJ48&lt;&gt;"",(LOOKUP(Info!$C$22,Rates!$AD$2:$AD$4,Rates!$AB$2:$AB$4))*(H48+P48+Q48),"")</f>
        <v/>
      </c>
      <c r="H48" s="236">
        <f>IF(AJ48&lt;&gt;"",I48+J48+AB48,"")</f>
        <v/>
      </c>
      <c r="I48" s="236">
        <f>IF(AJ48&lt;&gt;"",LOOKUP(Info!$C$8,Rates!$I$2:$I$7,Rates!$H$2:$H$7)*(J48+P48+Q48+AB48),"")</f>
        <v/>
      </c>
      <c r="J48" s="244">
        <f>IF(L48="",0,L48)+IF(N48="",0,N48)+IF(O48="",0,O48)</f>
        <v/>
      </c>
      <c r="K48" s="244">
        <f>M48+0.7*M47+0.7*0.5*M46+0.7*0.25*M45+0.7*0.25*M44</f>
        <v/>
      </c>
      <c r="L48" s="244">
        <f>IF(M48&lt;&gt;"",L47+40/100*M47+M48-17.5/100*M43,0)</f>
        <v/>
      </c>
      <c r="M48" s="244">
        <f>IF(#REF!&lt;&gt;"",(1-Info!$C$25)*IF(MIN(30/1000*$AF$2,0.75*#REF!)=30/1000*AF47,30/1000*(AF48-AF47),0.75*(#REF!-#REF!)),"")</f>
        <v/>
      </c>
      <c r="N48" s="244" t="n">
        <v>0</v>
      </c>
      <c r="O48" s="244">
        <f>IF(AJ48&lt;&gt;"",0.07*AI48*(1-Info!$F$25),0)</f>
        <v/>
      </c>
      <c r="P48" s="238">
        <f>IF(AJ48&lt;&gt;"",Y48+W48+U48+S48+R48,0)</f>
        <v/>
      </c>
      <c r="Q48" s="238">
        <f>IF(AJ48&lt;&gt;"",AA48+Z48+X48+V48+T48,0)</f>
        <v/>
      </c>
      <c r="R48" s="238">
        <f>IF(AJ48&lt;&gt;"",(AB48+AA48+V48+T48)*Info!$L$20,0)</f>
        <v/>
      </c>
      <c r="S48" s="238">
        <f>IF(AJ48&lt;&gt;"",T48*(LOOKUP(Info!$I$18,Rates!$O$2:$O$9,Rates!$L$2:$L$9)/100),0)</f>
        <v/>
      </c>
      <c r="T48" s="238">
        <f>IF(AJ48&lt;&gt;"",IF(Info!$F$14="بله",V48*Rates!$Y$7,0),0)</f>
        <v/>
      </c>
      <c r="U48" s="238">
        <f>IF(AJ48&lt;&gt;"",IF(Info!#REF!="بله",V48*(LOOKUP(Info!$I$18,Rates!$O$2:$O$9,Rates!$L$2:$L$9)/100),V48*(LOOKUP(Info!$F$18,Rates!$O$2:$O$9,Rates!$L$2:$L$9)/100)),0)</f>
        <v/>
      </c>
      <c r="V48" s="239">
        <f>IF(AND(AJ48&lt;&gt;"",AJ48&lt;=Rates!$Y$8,Info!#REF!="بله"),AH48*(LOOKUP(AJ48,Rates!$T$2:$T$108,Rates!#REF!)),IF(AND(AK48&lt;&gt;"",AK48&lt;=Rates!$Y$8,Info!#REF!="خیر"),AH48*(LOOKUP(AK48,Rates!$T$2:$T$108,Rates!#REF!)),0)*(1-Info!$F$29))</f>
        <v/>
      </c>
      <c r="W48" s="239">
        <f>IF(AJ48&lt;&gt;"",X48*LOOKUP(Info!$I$18,Rates!$O$2:$O$9,Rates!$M$2:$M$9)/100,0)</f>
        <v/>
      </c>
      <c r="X48" s="239">
        <f>IF(AJ48&lt;=Rates!$Y$4,0.0008*AF48*Info!$F$12,0)</f>
        <v/>
      </c>
      <c r="Y48" s="239">
        <f>IF(AJ48&lt;&gt;"",Z48*(LOOKUP(Info!$I$18,Rates!$O$2:$O$9,Rates!$N$2:$N$9/100)),0)</f>
        <v/>
      </c>
      <c r="Z48" s="238">
        <f>IF(AND(AJ48&lt;=(Rates!$Y$3),AD48&lt;&gt;""),(1-Info!$I$27)*0.0008*AF48*Info!$I$12,0)</f>
        <v/>
      </c>
      <c r="AA48" s="238">
        <f>IF(AJ48&lt;=60,(LOOKUP(AJ48,Rates!$T$2:$T$108,Rates!#REF!))*AC48/1000000*(1-Info!$I$29),0)</f>
        <v/>
      </c>
      <c r="AB48" s="236">
        <f>IF(AJ48&lt;&gt;"",(AF48*LOOKUP(AJ48,Rates!$T$2:$T$108,Rates!$S$2:$S$108))/SQRT(1+IF(AL48&lt;=10,Rates!$Y$5,Rates!$Y$6)),"")</f>
        <v/>
      </c>
      <c r="AC48" s="240">
        <f>IF(AND(AJ48&lt;&gt;"",AJ48&lt;=Rates!$Y$2),MIN(0.5*AF48,300000000,AC47*(1+Info!$F$10)),"")</f>
        <v/>
      </c>
      <c r="AD48" s="240">
        <f>IF(AND(AJ48&lt;&gt;"",AJ48&lt;=60),AF48*Info!$L$16,"")</f>
        <v/>
      </c>
      <c r="AE48" s="68">
        <f>IF(AND(AJ48&lt;&gt;"",AJ48&lt;=70),AF48*(1+Info!$L$14),"")</f>
        <v/>
      </c>
      <c r="AF48" s="68">
        <f>IF(AJ48&lt;&gt;"",AF47*(1+Info!$F$10),"")</f>
        <v/>
      </c>
      <c r="AG48" s="51">
        <f>IF(AJ48&lt;&gt;"",AI48+AG47,"")</f>
        <v/>
      </c>
      <c r="AH48" s="42">
        <f>IF(AJ48&lt;&gt;"",AI48*Rates!$Y$9,"")</f>
        <v/>
      </c>
      <c r="AI48" s="51">
        <f>IF(AJ48&lt;&gt;"",AI47*(1+Info!$F$8),"")</f>
        <v/>
      </c>
      <c r="AJ48" s="57">
        <f>IF(AL48&lt;&gt;"",Info!$F$6+AL48-1,"")</f>
        <v/>
      </c>
      <c r="AK48" s="66">
        <f>IF(AL48&lt;&gt;"",Info!$C$6+AL48-1,"")</f>
        <v/>
      </c>
      <c r="AL48" s="69">
        <f>IF(AL47&lt;&gt;"",IF(AL47+1&lt;=Info!$I$6,AL47+1,""),"")</f>
        <v/>
      </c>
    </row>
    <row r="49">
      <c r="A49" s="236">
        <f>IF(AJ49&lt;&gt;"",D49+D49*(IF(AL49&gt;4,0.1,LOOKUP(Info!$C$10,Rates!$D$2:$D$4,Rates!$C$2:$C$4))+0.85*(Info!$I$22-(IF(AL49&gt;4,0.1,LOOKUP(Info!$C$10,Rates!$D$2:$D$4,Rates!$C$2:$C$4)))))*LOOKUP(Info!$C$8,Rates!$I$2:$I$7,Rates!$G$2:$G$7)+A48*(1+IF(AL49&gt;4,0.1,LOOKUP(Info!$C$10,Rates!$D$2:$D$4,Rates!$C$2:$C$4))+0.85*(Info!$I$22-IF(AL49&gt;4,0.1,LOOKUP(Info!$C$10,Rates!$D$2:$D$4,Rates!$C$2:$C$4)))),"")</f>
        <v/>
      </c>
      <c r="B49" s="236">
        <f>IF(AJ49&lt;&gt;"",IF(AL49&gt;=8,C49,C49*LOOKUP(AL49,Rates!$AG$2:$AG$8,Rates!$AF$2:$AF$8)),"")</f>
        <v/>
      </c>
      <c r="C49" s="236">
        <f>IF(AJ49&lt;&gt;"",D49*(1+IF(AL49&gt;4,0.1,LOOKUP(Info!$C$10,Rates!$D$2:$D$5,Rates!$B$2:$B$5))*LOOKUP(Info!$C$8,Rates!$I$2:$I$7,Rates!$G$2:$G$7))+C48*(1+IF(AL49&gt;4,0.1,LOOKUP(Info!$C$10,Rates!$D$2:$D$5,Rates!$B$2:$B$5))),"")</f>
        <v/>
      </c>
      <c r="D49" s="236">
        <f>IF(AJ49&lt;&gt;"",AI49-(H49+G49+F49+E49+P49+Q49)+IF(Info!$C$20&gt;0,IF(AND(AL49&lt;=Info!$F$20,AL49&gt;=Info!$I$20),Info!$C$20,0),0),"")</f>
        <v/>
      </c>
      <c r="E49" s="236">
        <f>IF(AJ49&lt;&gt;"",(LOOKUP(Info!$C$22,Rates!$AD$2:$AD$4,Rates!$AC$2:$AC$4))*(H49+P49+Q49),"")</f>
        <v/>
      </c>
      <c r="F49" s="236">
        <f>IF(AJ49&lt;&gt;"",(LOOKUP(Info!$C$22,Rates!$AD$2:$AD$4,Rates!$AA$2:$AA$4))*(H49+P49+Q49),"")</f>
        <v/>
      </c>
      <c r="G49" s="236">
        <f>IF(AJ49&lt;&gt;"",(LOOKUP(Info!$C$22,Rates!$AD$2:$AD$4,Rates!$AB$2:$AB$4))*(H49+P49+Q49),"")</f>
        <v/>
      </c>
      <c r="H49" s="236">
        <f>IF(AJ49&lt;&gt;"",I49+J49+AB49,"")</f>
        <v/>
      </c>
      <c r="I49" s="236">
        <f>IF(AJ49&lt;&gt;"",LOOKUP(Info!$C$8,Rates!$I$2:$I$7,Rates!$H$2:$H$7)*(J49+P49+Q49+AB49),"")</f>
        <v/>
      </c>
      <c r="J49" s="244">
        <f>IF(L49="",0,L49)+IF(N49="",0,N49)+IF(O49="",0,O49)</f>
        <v/>
      </c>
      <c r="K49" s="244">
        <f>M49+0.7*M48+0.7*0.5*M47+0.7*0.25*M46+0.7*0.25*M45</f>
        <v/>
      </c>
      <c r="L49" s="244">
        <f>IF(M49&lt;&gt;"",L48+40/100*M48+M49-17.5/100*M44,0)</f>
        <v/>
      </c>
      <c r="M49" s="244">
        <f>IF(#REF!&lt;&gt;"",(1-Info!$C$25)*IF(MIN(30/1000*$AF$2,0.75*#REF!)=30/1000*AF48,30/1000*(AF49-AF48),0.75*(#REF!-#REF!)),"")</f>
        <v/>
      </c>
      <c r="N49" s="244" t="n">
        <v>0</v>
      </c>
      <c r="O49" s="244">
        <f>IF(AJ49&lt;&gt;"",0.07*AI49*(1-Info!$F$25),0)</f>
        <v/>
      </c>
      <c r="P49" s="238">
        <f>IF(AJ49&lt;&gt;"",Y49+W49+U49+S49+R49,0)</f>
        <v/>
      </c>
      <c r="Q49" s="238">
        <f>IF(AJ49&lt;&gt;"",AA49+Z49+X49+V49+T49,0)</f>
        <v/>
      </c>
      <c r="R49" s="238">
        <f>IF(AJ49&lt;&gt;"",(AB49+AA49+V49+T49)*Info!$L$20,0)</f>
        <v/>
      </c>
      <c r="S49" s="238">
        <f>IF(AJ49&lt;&gt;"",T49*(LOOKUP(Info!$I$18,Rates!$O$2:$O$9,Rates!$L$2:$L$9)/100),0)</f>
        <v/>
      </c>
      <c r="T49" s="238">
        <f>IF(AJ49&lt;&gt;"",IF(Info!$F$14="بله",V49*Rates!$Y$7,0),0)</f>
        <v/>
      </c>
      <c r="U49" s="238">
        <f>IF(AJ49&lt;&gt;"",IF(Info!#REF!="بله",V49*(LOOKUP(Info!$I$18,Rates!$O$2:$O$9,Rates!$L$2:$L$9)/100),V49*(LOOKUP(Info!$F$18,Rates!$O$2:$O$9,Rates!$L$2:$L$9)/100)),0)</f>
        <v/>
      </c>
      <c r="V49" s="239">
        <f>IF(AND(AJ49&lt;&gt;"",AJ49&lt;=Rates!$Y$8,Info!#REF!="بله"),AH49*(LOOKUP(AJ49,Rates!$T$2:$T$108,Rates!#REF!)),IF(AND(AK49&lt;&gt;"",AK49&lt;=Rates!$Y$8,Info!#REF!="خیر"),AH49*(LOOKUP(AK49,Rates!$T$2:$T$108,Rates!#REF!)),0)*(1-Info!$F$29))</f>
        <v/>
      </c>
      <c r="W49" s="239">
        <f>IF(AJ49&lt;&gt;"",X49*LOOKUP(Info!$I$18,Rates!$O$2:$O$9,Rates!$M$2:$M$9)/100,0)</f>
        <v/>
      </c>
      <c r="X49" s="239">
        <f>IF(AJ49&lt;=Rates!$Y$4,0.0008*AF49*Info!$F$12,0)</f>
        <v/>
      </c>
      <c r="Y49" s="239">
        <f>IF(AJ49&lt;&gt;"",Z49*(LOOKUP(Info!$I$18,Rates!$O$2:$O$9,Rates!$N$2:$N$9/100)),0)</f>
        <v/>
      </c>
      <c r="Z49" s="238">
        <f>IF(AND(AJ49&lt;=(Rates!$Y$3),AD49&lt;&gt;""),(1-Info!$I$27)*0.0008*AF49*Info!$I$12,0)</f>
        <v/>
      </c>
      <c r="AA49" s="238">
        <f>IF(AJ49&lt;=60,(LOOKUP(AJ49,Rates!$T$2:$T$108,Rates!#REF!))*AC49/1000000*(1-Info!$I$29),0)</f>
        <v/>
      </c>
      <c r="AB49" s="236">
        <f>IF(AJ49&lt;&gt;"",(AF49*LOOKUP(AJ49,Rates!$T$2:$T$108,Rates!$S$2:$S$108))/SQRT(1+IF(AL49&lt;=10,Rates!$Y$5,Rates!$Y$6)),"")</f>
        <v/>
      </c>
      <c r="AC49" s="240">
        <f>IF(AND(AJ49&lt;&gt;"",AJ49&lt;=Rates!$Y$2),MIN(0.5*AF49,300000000,AC48*(1+Info!$F$10)),"")</f>
        <v/>
      </c>
      <c r="AD49" s="240">
        <f>IF(AND(AJ49&lt;&gt;"",AJ49&lt;=60),AF49*Info!$L$16,"")</f>
        <v/>
      </c>
      <c r="AE49" s="68">
        <f>IF(AND(AJ49&lt;&gt;"",AJ49&lt;=70),AF49*(1+Info!$L$14),"")</f>
        <v/>
      </c>
      <c r="AF49" s="68">
        <f>IF(AJ49&lt;&gt;"",AF48*(1+Info!$F$10),"")</f>
        <v/>
      </c>
      <c r="AG49" s="51">
        <f>IF(AJ49&lt;&gt;"",AI49+AG48,"")</f>
        <v/>
      </c>
      <c r="AH49" s="42">
        <f>IF(AJ49&lt;&gt;"",AI49*Rates!$Y$9,"")</f>
        <v/>
      </c>
      <c r="AI49" s="51">
        <f>IF(AJ49&lt;&gt;"",AI48*(1+Info!$F$8),"")</f>
        <v/>
      </c>
      <c r="AJ49" s="57">
        <f>IF(AL49&lt;&gt;"",Info!$F$6+AL49-1,"")</f>
        <v/>
      </c>
      <c r="AK49" s="66">
        <f>IF(AL49&lt;&gt;"",Info!$C$6+AL49-1,"")</f>
        <v/>
      </c>
      <c r="AL49" s="69">
        <f>IF(AL48&lt;&gt;"",IF(AL48+1&lt;=Info!$I$6,AL48+1,""),"")</f>
        <v/>
      </c>
    </row>
    <row r="50">
      <c r="A50" s="236">
        <f>IF(AJ50&lt;&gt;"",D50+D50*(IF(AL50&gt;4,0.1,LOOKUP(Info!$C$10,Rates!$D$2:$D$4,Rates!$C$2:$C$4))+0.85*(Info!$I$22-(IF(AL50&gt;4,0.1,LOOKUP(Info!$C$10,Rates!$D$2:$D$4,Rates!$C$2:$C$4)))))*LOOKUP(Info!$C$8,Rates!$I$2:$I$7,Rates!$G$2:$G$7)+A49*(1+IF(AL50&gt;4,0.1,LOOKUP(Info!$C$10,Rates!$D$2:$D$4,Rates!$C$2:$C$4))+0.85*(Info!$I$22-IF(AL50&gt;4,0.1,LOOKUP(Info!$C$10,Rates!$D$2:$D$4,Rates!$C$2:$C$4)))),"")</f>
        <v/>
      </c>
      <c r="B50" s="236">
        <f>IF(AJ50&lt;&gt;"",IF(AL50&gt;=8,C50,C50*LOOKUP(AL50,Rates!$AG$2:$AG$8,Rates!$AF$2:$AF$8)),"")</f>
        <v/>
      </c>
      <c r="C50" s="236">
        <f>IF(AJ50&lt;&gt;"",D50*(1+IF(AL50&gt;4,0.1,LOOKUP(Info!$C$10,Rates!$D$2:$D$5,Rates!$B$2:$B$5))*LOOKUP(Info!$C$8,Rates!$I$2:$I$7,Rates!$G$2:$G$7))+C49*(1+IF(AL50&gt;4,0.1,LOOKUP(Info!$C$10,Rates!$D$2:$D$5,Rates!$B$2:$B$5))),"")</f>
        <v/>
      </c>
      <c r="D50" s="236">
        <f>IF(AJ50&lt;&gt;"",AI50-(H50+G50+F50+E50+P50+Q50)+IF(Info!$C$20&gt;0,IF(AND(AL50&lt;=Info!$F$20,AL50&gt;=Info!$I$20),Info!$C$20,0),0),"")</f>
        <v/>
      </c>
      <c r="E50" s="236">
        <f>IF(AJ50&lt;&gt;"",(LOOKUP(Info!$C$22,Rates!$AD$2:$AD$4,Rates!$AC$2:$AC$4))*(H50+P50+Q50),"")</f>
        <v/>
      </c>
      <c r="F50" s="236">
        <f>IF(AJ50&lt;&gt;"",(LOOKUP(Info!$C$22,Rates!$AD$2:$AD$4,Rates!$AA$2:$AA$4))*(H50+P50+Q50),"")</f>
        <v/>
      </c>
      <c r="G50" s="236">
        <f>IF(AJ50&lt;&gt;"",(LOOKUP(Info!$C$22,Rates!$AD$2:$AD$4,Rates!$AB$2:$AB$4))*(H50+P50+Q50),"")</f>
        <v/>
      </c>
      <c r="H50" s="236">
        <f>IF(AJ50&lt;&gt;"",I50+J50+AB50,"")</f>
        <v/>
      </c>
      <c r="I50" s="236">
        <f>IF(AJ50&lt;&gt;"",LOOKUP(Info!$C$8,Rates!$I$2:$I$7,Rates!$H$2:$H$7)*(J50+P50+Q50+AB50),"")</f>
        <v/>
      </c>
      <c r="J50" s="244">
        <f>IF(L50="",0,L50)+IF(N50="",0,N50)+IF(O50="",0,O50)</f>
        <v/>
      </c>
      <c r="K50" s="244">
        <f>M50+0.7*M49+0.7*0.5*M48+0.7*0.25*M47+0.7*0.25*M46</f>
        <v/>
      </c>
      <c r="L50" s="244">
        <f>IF(M50&lt;&gt;"",L49+40/100*M49+M50-17.5/100*M45,0)</f>
        <v/>
      </c>
      <c r="M50" s="244">
        <f>IF(#REF!&lt;&gt;"",(1-Info!$C$25)*IF(MIN(30/1000*$AF$2,0.75*#REF!)=30/1000*AF49,30/1000*(AF50-AF49),0.75*(#REF!-#REF!)),"")</f>
        <v/>
      </c>
      <c r="N50" s="244" t="n">
        <v>0</v>
      </c>
      <c r="O50" s="244">
        <f>IF(AJ50&lt;&gt;"",0.07*AI50*(1-Info!$F$25),0)</f>
        <v/>
      </c>
      <c r="P50" s="238">
        <f>IF(AJ50&lt;&gt;"",Y50+W50+U50+S50+R50,0)</f>
        <v/>
      </c>
      <c r="Q50" s="238">
        <f>IF(AJ50&lt;&gt;"",AA50+Z50+X50+V50+T50,0)</f>
        <v/>
      </c>
      <c r="R50" s="238">
        <f>IF(AJ50&lt;&gt;"",(AB50+AA50+V50+T50)*Info!$L$20,0)</f>
        <v/>
      </c>
      <c r="S50" s="238">
        <f>IF(AJ50&lt;&gt;"",T50*(LOOKUP(Info!$I$18,Rates!$O$2:$O$9,Rates!$L$2:$L$9)/100),0)</f>
        <v/>
      </c>
      <c r="T50" s="238">
        <f>IF(AJ50&lt;&gt;"",IF(Info!$F$14="بله",V50*Rates!$Y$7,0),0)</f>
        <v/>
      </c>
      <c r="U50" s="238">
        <f>IF(AJ50&lt;&gt;"",IF(Info!#REF!="بله",V50*(LOOKUP(Info!$I$18,Rates!$O$2:$O$9,Rates!$L$2:$L$9)/100),V50*(LOOKUP(Info!$F$18,Rates!$O$2:$O$9,Rates!$L$2:$L$9)/100)),0)</f>
        <v/>
      </c>
      <c r="V50" s="239">
        <f>IF(AND(AJ50&lt;&gt;"",AJ50&lt;=Rates!$Y$8,Info!#REF!="بله"),AH50*(LOOKUP(AJ50,Rates!$T$2:$T$108,Rates!#REF!)),IF(AND(AK50&lt;&gt;"",AK50&lt;=Rates!$Y$8,Info!#REF!="خیر"),AH50*(LOOKUP(AK50,Rates!$T$2:$T$108,Rates!#REF!)),0)*(1-Info!$F$29))</f>
        <v/>
      </c>
      <c r="W50" s="239">
        <f>IF(AJ50&lt;&gt;"",X50*LOOKUP(Info!$I$18,Rates!$O$2:$O$9,Rates!$M$2:$M$9)/100,0)</f>
        <v/>
      </c>
      <c r="X50" s="239">
        <f>IF(AJ50&lt;=Rates!$Y$4,0.0008*AF50*Info!$F$12,0)</f>
        <v/>
      </c>
      <c r="Y50" s="239">
        <f>IF(AJ50&lt;&gt;"",Z50*(LOOKUP(Info!$I$18,Rates!$O$2:$O$9,Rates!$N$2:$N$9/100)),0)</f>
        <v/>
      </c>
      <c r="Z50" s="238">
        <f>IF(AND(AJ50&lt;=(Rates!$Y$3),AD50&lt;&gt;""),(1-Info!$I$27)*0.0008*AF50*Info!$I$12,0)</f>
        <v/>
      </c>
      <c r="AA50" s="238">
        <f>IF(AJ50&lt;=60,(LOOKUP(AJ50,Rates!$T$2:$T$108,Rates!#REF!))*AC50/1000000*(1-Info!$I$29),0)</f>
        <v/>
      </c>
      <c r="AB50" s="236">
        <f>IF(AJ50&lt;&gt;"",(AF50*LOOKUP(AJ50,Rates!$T$2:$T$108,Rates!$S$2:$S$108))/SQRT(1+IF(AL50&lt;=10,Rates!$Y$5,Rates!$Y$6)),"")</f>
        <v/>
      </c>
      <c r="AC50" s="240">
        <f>IF(AND(AJ50&lt;&gt;"",AJ50&lt;=Rates!$Y$2),MIN(0.5*AF50,300000000,AC49*(1+Info!$F$10)),"")</f>
        <v/>
      </c>
      <c r="AD50" s="240">
        <f>IF(AND(AJ50&lt;&gt;"",AJ50&lt;=60),AF50*Info!$L$16,"")</f>
        <v/>
      </c>
      <c r="AE50" s="68">
        <f>IF(AND(AJ50&lt;&gt;"",AJ50&lt;=70),AF50*(1+Info!$L$14),"")</f>
        <v/>
      </c>
      <c r="AF50" s="68">
        <f>IF(AJ50&lt;&gt;"",AF49*(1+Info!$F$10),"")</f>
        <v/>
      </c>
      <c r="AG50" s="51">
        <f>IF(AJ50&lt;&gt;"",AI50+AG49,"")</f>
        <v/>
      </c>
      <c r="AH50" s="42">
        <f>IF(AJ50&lt;&gt;"",AI50*Rates!$Y$9,"")</f>
        <v/>
      </c>
      <c r="AI50" s="51">
        <f>IF(AJ50&lt;&gt;"",AI49*(1+Info!$F$8),"")</f>
        <v/>
      </c>
      <c r="AJ50" s="57">
        <f>IF(AL50&lt;&gt;"",Info!$F$6+AL50-1,"")</f>
        <v/>
      </c>
      <c r="AK50" s="66">
        <f>IF(AL50&lt;&gt;"",Info!$C$6+AL50-1,"")</f>
        <v/>
      </c>
      <c r="AL50" s="69">
        <f>IF(AL49&lt;&gt;"",IF(AL49+1&lt;=Info!$I$6,AL49+1,""),"")</f>
        <v/>
      </c>
    </row>
    <row r="51">
      <c r="A51" s="236">
        <f>IF(AJ51&lt;&gt;"",D51+D51*(IF(AL51&gt;4,0.1,LOOKUP(Info!$C$10,Rates!$D$2:$D$4,Rates!$C$2:$C$4))+0.85*(Info!$I$22-(IF(AL51&gt;4,0.1,LOOKUP(Info!$C$10,Rates!$D$2:$D$4,Rates!$C$2:$C$4)))))*LOOKUP(Info!$C$8,Rates!$I$2:$I$7,Rates!$G$2:$G$7)+A50*(1+IF(AL51&gt;4,0.1,LOOKUP(Info!$C$10,Rates!$D$2:$D$4,Rates!$C$2:$C$4))+0.85*(Info!$I$22-IF(AL51&gt;4,0.1,LOOKUP(Info!$C$10,Rates!$D$2:$D$4,Rates!$C$2:$C$4)))),"")</f>
        <v/>
      </c>
      <c r="B51" s="236">
        <f>IF(AJ51&lt;&gt;"",IF(AL51&gt;=8,C51,C51*LOOKUP(AL51,Rates!$AG$2:$AG$8,Rates!$AF$2:$AF$8)),"")</f>
        <v/>
      </c>
      <c r="C51" s="236">
        <f>IF(AJ51&lt;&gt;"",D51*(1+IF(AL51&gt;4,0.1,LOOKUP(Info!$C$10,Rates!$D$2:$D$5,Rates!$B$2:$B$5))*LOOKUP(Info!$C$8,Rates!$I$2:$I$7,Rates!$G$2:$G$7))+C50*(1+IF(AL51&gt;4,0.1,LOOKUP(Info!$C$10,Rates!$D$2:$D$5,Rates!$B$2:$B$5))),"")</f>
        <v/>
      </c>
      <c r="D51" s="236">
        <f>IF(AJ51&lt;&gt;"",AI51-(H51+G51+F51+E51+P51+Q51)+IF(Info!$C$20&gt;0,IF(AND(AL51&lt;=Info!$F$20,AL51&gt;=Info!$I$20),Info!$C$20,0),0),"")</f>
        <v/>
      </c>
      <c r="E51" s="236">
        <f>IF(AJ51&lt;&gt;"",(LOOKUP(Info!$C$22,Rates!$AD$2:$AD$4,Rates!$AC$2:$AC$4))*(H51+P51+Q51),"")</f>
        <v/>
      </c>
      <c r="F51" s="236">
        <f>IF(AJ51&lt;&gt;"",(LOOKUP(Info!$C$22,Rates!$AD$2:$AD$4,Rates!$AA$2:$AA$4))*(H51+P51+Q51),"")</f>
        <v/>
      </c>
      <c r="G51" s="236">
        <f>IF(AJ51&lt;&gt;"",(LOOKUP(Info!$C$22,Rates!$AD$2:$AD$4,Rates!$AB$2:$AB$4))*(H51+P51+Q51),"")</f>
        <v/>
      </c>
      <c r="H51" s="236">
        <f>IF(AJ51&lt;&gt;"",I51+J51+AB51,"")</f>
        <v/>
      </c>
      <c r="I51" s="236">
        <f>IF(AJ51&lt;&gt;"",LOOKUP(Info!$C$8,Rates!$I$2:$I$7,Rates!$H$2:$H$7)*(J51+P51+Q51+AB51),"")</f>
        <v/>
      </c>
      <c r="J51" s="244">
        <f>IF(L51="",0,L51)+IF(N51="",0,N51)+IF(O51="",0,O51)</f>
        <v/>
      </c>
      <c r="K51" s="244">
        <f>M51+0.7*M50+0.7*0.5*M49+0.7*0.25*M48+0.7*0.25*M47</f>
        <v/>
      </c>
      <c r="L51" s="244">
        <f>IF(M51&lt;&gt;"",L50+40/100*M50+M51-17.5/100*M46,0)</f>
        <v/>
      </c>
      <c r="M51" s="244">
        <f>IF(#REF!&lt;&gt;"",(1-Info!$C$25)*IF(MIN(30/1000*$AF$2,0.75*#REF!)=30/1000*AF50,30/1000*(AF51-AF50),0.75*(#REF!-#REF!)),"")</f>
        <v/>
      </c>
      <c r="N51" s="244" t="n">
        <v>0</v>
      </c>
      <c r="O51" s="244">
        <f>IF(AJ51&lt;&gt;"",0.07*AI51*(1-Info!$F$25),0)</f>
        <v/>
      </c>
      <c r="P51" s="238">
        <f>IF(AJ51&lt;&gt;"",Y51+W51+U51+S51+R51,0)</f>
        <v/>
      </c>
      <c r="Q51" s="238">
        <f>IF(AJ51&lt;&gt;"",AA51+Z51+X51+V51+T51,0)</f>
        <v/>
      </c>
      <c r="R51" s="238">
        <f>IF(AJ51&lt;&gt;"",(AB51+AA51+V51+T51)*Info!$L$20,0)</f>
        <v/>
      </c>
      <c r="S51" s="238">
        <f>IF(AJ51&lt;&gt;"",T51*(LOOKUP(Info!$I$18,Rates!$O$2:$O$9,Rates!$L$2:$L$9)/100),0)</f>
        <v/>
      </c>
      <c r="T51" s="238">
        <f>IF(AJ51&lt;&gt;"",IF(Info!$F$14="بله",V51*Rates!$Y$7,0),0)</f>
        <v/>
      </c>
      <c r="U51" s="238">
        <f>IF(AJ51&lt;&gt;"",IF(Info!#REF!="بله",V51*(LOOKUP(Info!$I$18,Rates!$O$2:$O$9,Rates!$L$2:$L$9)/100),V51*(LOOKUP(Info!$F$18,Rates!$O$2:$O$9,Rates!$L$2:$L$9)/100)),0)</f>
        <v/>
      </c>
      <c r="V51" s="239">
        <f>IF(AND(AJ51&lt;&gt;"",AJ51&lt;=Rates!$Y$8,Info!#REF!="بله"),AH51*(LOOKUP(AJ51,Rates!$T$2:$T$108,Rates!#REF!)),IF(AND(AK51&lt;&gt;"",AK51&lt;=Rates!$Y$8,Info!#REF!="خیر"),AH51*(LOOKUP(AK51,Rates!$T$2:$T$108,Rates!#REF!)),0)*(1-Info!$F$29))</f>
        <v/>
      </c>
      <c r="W51" s="239">
        <f>IF(AJ51&lt;&gt;"",X51*LOOKUP(Info!$I$18,Rates!$O$2:$O$9,Rates!$M$2:$M$9)/100,0)</f>
        <v/>
      </c>
      <c r="X51" s="239">
        <f>IF(AJ51&lt;=Rates!$Y$4,0.0008*AF51*Info!$F$12,0)</f>
        <v/>
      </c>
      <c r="Y51" s="239">
        <f>IF(AJ51&lt;&gt;"",Z51*(LOOKUP(Info!$I$18,Rates!$O$2:$O$9,Rates!$N$2:$N$9/100)),0)</f>
        <v/>
      </c>
      <c r="Z51" s="238">
        <f>IF(AND(AJ51&lt;=(Rates!$Y$3),AD51&lt;&gt;""),(1-Info!$I$27)*0.0008*AF51*Info!$I$12,0)</f>
        <v/>
      </c>
      <c r="AA51" s="238">
        <f>IF(AJ51&lt;=60,(LOOKUP(AJ51,Rates!$T$2:$T$108,Rates!#REF!))*AC51/1000000*(1-Info!$I$29),0)</f>
        <v/>
      </c>
      <c r="AB51" s="236">
        <f>IF(AJ51&lt;&gt;"",(AF51*LOOKUP(AJ51,Rates!$T$2:$T$108,Rates!$S$2:$S$108))/SQRT(1+IF(AL51&lt;=10,Rates!$Y$5,Rates!$Y$6)),"")</f>
        <v/>
      </c>
      <c r="AC51" s="240">
        <f>IF(AND(AJ51&lt;&gt;"",AJ51&lt;=Rates!$Y$2),MIN(0.5*AF51,300000000,AC50*(1+Info!$F$10)),"")</f>
        <v/>
      </c>
      <c r="AD51" s="240">
        <f>IF(AND(AJ51&lt;&gt;"",AJ51&lt;=60),AF51*Info!$L$16,"")</f>
        <v/>
      </c>
      <c r="AE51" s="68">
        <f>IF(AND(AJ51&lt;&gt;"",AJ51&lt;=70),AF51*(1+Info!$L$14),"")</f>
        <v/>
      </c>
      <c r="AF51" s="68">
        <f>IF(AJ51&lt;&gt;"",AF50*(1+Info!$F$10),"")</f>
        <v/>
      </c>
      <c r="AG51" s="51">
        <f>IF(AJ51&lt;&gt;"",AI51+AG50,"")</f>
        <v/>
      </c>
      <c r="AH51" s="42">
        <f>IF(AJ51&lt;&gt;"",AI51*Rates!$Y$9,"")</f>
        <v/>
      </c>
      <c r="AI51" s="51">
        <f>IF(AJ51&lt;&gt;"",AI50*(1+Info!$F$8),"")</f>
        <v/>
      </c>
      <c r="AJ51" s="57">
        <f>IF(AL51&lt;&gt;"",Info!$F$6+AL51-1,"")</f>
        <v/>
      </c>
      <c r="AK51" s="66">
        <f>IF(AL51&lt;&gt;"",Info!$C$6+AL51-1,"")</f>
        <v/>
      </c>
      <c r="AL51" s="69">
        <f>IF(AL50&lt;&gt;"",IF(AL50+1&lt;=Info!$I$6,AL50+1,""),"")</f>
        <v/>
      </c>
    </row>
    <row r="52">
      <c r="A52" s="236">
        <f>IF(AJ52&lt;&gt;"",D52+D52*(IF(AL52&gt;4,0.1,LOOKUP(Info!$C$10,Rates!$D$2:$D$4,Rates!$C$2:$C$4))+0.85*(Info!$I$22-(IF(AL52&gt;4,0.1,LOOKUP(Info!$C$10,Rates!$D$2:$D$4,Rates!$C$2:$C$4)))))*LOOKUP(Info!$C$8,Rates!$I$2:$I$7,Rates!$G$2:$G$7)+A51*(1+IF(AL52&gt;4,0.1,LOOKUP(Info!$C$10,Rates!$D$2:$D$4,Rates!$C$2:$C$4))+0.85*(Info!$I$22-IF(AL52&gt;4,0.1,LOOKUP(Info!$C$10,Rates!$D$2:$D$4,Rates!$C$2:$C$4)))),"")</f>
        <v/>
      </c>
      <c r="B52" s="236">
        <f>IF(AJ52&lt;&gt;"",IF(AL52&gt;=8,C52,C52*LOOKUP(AL52,Rates!$AG$2:$AG$8,Rates!$AF$2:$AF$8)),"")</f>
        <v/>
      </c>
      <c r="C52" s="236">
        <f>IF(AJ52&lt;&gt;"",D52*(1+IF(AL52&gt;4,0.1,LOOKUP(Info!$C$10,Rates!$D$2:$D$5,Rates!$B$2:$B$5))*LOOKUP(Info!$C$8,Rates!$I$2:$I$7,Rates!$G$2:$G$7))+C51*(1+IF(AL52&gt;4,0.1,LOOKUP(Info!$C$10,Rates!$D$2:$D$5,Rates!$B$2:$B$5))),"")</f>
        <v/>
      </c>
      <c r="D52" s="236">
        <f>IF(AJ52&lt;&gt;"",AI52-(H52+G52+F52+E52+P52+Q52)+IF(Info!$C$20&gt;0,IF(AND(AL52&lt;=Info!$F$20,AL52&gt;=Info!$I$20),Info!$C$20,0),0),"")</f>
        <v/>
      </c>
      <c r="E52" s="236">
        <f>IF(AJ52&lt;&gt;"",(LOOKUP(Info!$C$22,Rates!$AD$2:$AD$4,Rates!$AC$2:$AC$4))*(H52+P52+Q52),"")</f>
        <v/>
      </c>
      <c r="F52" s="236">
        <f>IF(AJ52&lt;&gt;"",(LOOKUP(Info!$C$22,Rates!$AD$2:$AD$4,Rates!$AA$2:$AA$4))*(H52+P52+Q52),"")</f>
        <v/>
      </c>
      <c r="G52" s="236">
        <f>IF(AJ52&lt;&gt;"",(LOOKUP(Info!$C$22,Rates!$AD$2:$AD$4,Rates!$AB$2:$AB$4))*(H52+P52+Q52),"")</f>
        <v/>
      </c>
      <c r="H52" s="236">
        <f>IF(AJ52&lt;&gt;"",I52+J52+AB52,"")</f>
        <v/>
      </c>
      <c r="I52" s="236">
        <f>IF(AJ52&lt;&gt;"",LOOKUP(Info!$C$8,Rates!$I$2:$I$7,Rates!$H$2:$H$7)*(J52+P52+Q52+AB52),"")</f>
        <v/>
      </c>
      <c r="J52" s="244">
        <f>IF(L52="",0,L52)+IF(N52="",0,N52)+IF(O52="",0,O52)</f>
        <v/>
      </c>
      <c r="K52" s="244">
        <f>M52+0.7*M51+0.7*0.5*M50+0.7*0.25*M49+0.7*0.25*M48</f>
        <v/>
      </c>
      <c r="L52" s="244">
        <f>IF(M52&lt;&gt;"",L51+40/100*M51+M52-17.5/100*M47,0)</f>
        <v/>
      </c>
      <c r="M52" s="244">
        <f>IF(#REF!&lt;&gt;"",(1-Info!$C$25)*IF(MIN(30/1000*$AF$2,0.75*#REF!)=30/1000*AF51,30/1000*(AF52-AF51),0.75*(#REF!-#REF!)),"")</f>
        <v/>
      </c>
      <c r="N52" s="244" t="n">
        <v>0</v>
      </c>
      <c r="O52" s="244">
        <f>IF(AJ52&lt;&gt;"",0.07*AI52*(1-Info!$F$25),0)</f>
        <v/>
      </c>
      <c r="P52" s="238">
        <f>IF(AJ52&lt;&gt;"",Y52+W52+U52+S52+R52,0)</f>
        <v/>
      </c>
      <c r="Q52" s="238">
        <f>IF(AJ52&lt;&gt;"",AA52+Z52+X52+V52+T52,0)</f>
        <v/>
      </c>
      <c r="R52" s="238">
        <f>IF(AJ52&lt;&gt;"",(AB52+AA52+V52+T52)*Info!$L$20,0)</f>
        <v/>
      </c>
      <c r="S52" s="238">
        <f>IF(AJ52&lt;&gt;"",T52*(LOOKUP(Info!$I$18,Rates!$O$2:$O$9,Rates!$L$2:$L$9)/100),0)</f>
        <v/>
      </c>
      <c r="T52" s="238">
        <f>IF(AJ52&lt;&gt;"",IF(Info!$F$14="بله",V52*Rates!$Y$7,0),0)</f>
        <v/>
      </c>
      <c r="U52" s="238">
        <f>IF(AJ52&lt;&gt;"",IF(Info!#REF!="بله",V52*(LOOKUP(Info!$I$18,Rates!$O$2:$O$9,Rates!$L$2:$L$9)/100),V52*(LOOKUP(Info!$F$18,Rates!$O$2:$O$9,Rates!$L$2:$L$9)/100)),0)</f>
        <v/>
      </c>
      <c r="V52" s="239">
        <f>IF(AND(AJ52&lt;&gt;"",AJ52&lt;=Rates!$Y$8,Info!#REF!="بله"),AH52*(LOOKUP(AJ52,Rates!$T$2:$T$108,Rates!#REF!)),IF(AND(AK52&lt;&gt;"",AK52&lt;=Rates!$Y$8,Info!#REF!="خیر"),AH52*(LOOKUP(AK52,Rates!$T$2:$T$108,Rates!#REF!)),0)*(1-Info!$F$29))</f>
        <v/>
      </c>
      <c r="W52" s="239">
        <f>IF(AJ52&lt;&gt;"",X52*LOOKUP(Info!$I$18,Rates!$O$2:$O$9,Rates!$M$2:$M$9)/100,0)</f>
        <v/>
      </c>
      <c r="X52" s="239">
        <f>IF(AJ52&lt;=Rates!$Y$4,0.0008*AF52*Info!$F$12,0)</f>
        <v/>
      </c>
      <c r="Y52" s="239">
        <f>IF(AJ52&lt;&gt;"",Z52*(LOOKUP(Info!$I$18,Rates!$O$2:$O$9,Rates!$N$2:$N$9/100)),0)</f>
        <v/>
      </c>
      <c r="Z52" s="238">
        <f>IF(AND(AJ52&lt;=(Rates!$Y$3),AD52&lt;&gt;""),(1-Info!$I$27)*0.0008*AF52*Info!$I$12,0)</f>
        <v/>
      </c>
      <c r="AA52" s="238">
        <f>IF(AJ52&lt;=60,(LOOKUP(AJ52,Rates!$T$2:$T$108,Rates!#REF!))*AC52/1000000*(1-Info!$I$29),0)</f>
        <v/>
      </c>
      <c r="AB52" s="236">
        <f>IF(AJ52&lt;&gt;"",(AF52*LOOKUP(AJ52,Rates!$T$2:$T$108,Rates!$S$2:$S$108))/SQRT(1+IF(AL52&lt;=10,Rates!$Y$5,Rates!$Y$6)),"")</f>
        <v/>
      </c>
      <c r="AC52" s="240">
        <f>IF(AND(AJ52&lt;&gt;"",AJ52&lt;=Rates!$Y$2),MIN(0.5*AF52,300000000,AC51*(1+Info!$F$10)),"")</f>
        <v/>
      </c>
      <c r="AD52" s="240">
        <f>IF(AND(AJ52&lt;&gt;"",AJ52&lt;=60),AF52*Info!$L$16,"")</f>
        <v/>
      </c>
      <c r="AE52" s="68">
        <f>IF(AND(AJ52&lt;&gt;"",AJ52&lt;=70),AF52*(1+Info!$L$14),"")</f>
        <v/>
      </c>
      <c r="AF52" s="68">
        <f>IF(AJ52&lt;&gt;"",AF51*(1+Info!$F$10),"")</f>
        <v/>
      </c>
      <c r="AG52" s="51">
        <f>IF(AJ52&lt;&gt;"",AI52+AG51,"")</f>
        <v/>
      </c>
      <c r="AH52" s="42">
        <f>IF(AJ52&lt;&gt;"",AI52*Rates!$Y$9,"")</f>
        <v/>
      </c>
      <c r="AI52" s="51">
        <f>IF(AJ52&lt;&gt;"",AI51*(1+Info!$F$8),"")</f>
        <v/>
      </c>
      <c r="AJ52" s="57">
        <f>IF(AL52&lt;&gt;"",Info!$F$6+AL52-1,"")</f>
        <v/>
      </c>
      <c r="AK52" s="66">
        <f>IF(AL52&lt;&gt;"",Info!$C$6+AL52-1,"")</f>
        <v/>
      </c>
      <c r="AL52" s="69">
        <f>IF(AL51&lt;&gt;"",IF(AL51+1&lt;=Info!$I$6,AL51+1,""),"")</f>
        <v/>
      </c>
    </row>
    <row r="53">
      <c r="A53" s="236">
        <f>IF(AJ53&lt;&gt;"",D53+D53*(IF(AL53&gt;4,0.1,LOOKUP(Info!$C$10,Rates!$D$2:$D$4,Rates!$C$2:$C$4))+0.85*(Info!$I$22-(IF(AL53&gt;4,0.1,LOOKUP(Info!$C$10,Rates!$D$2:$D$4,Rates!$C$2:$C$4)))))*LOOKUP(Info!$C$8,Rates!$I$2:$I$7,Rates!$G$2:$G$7)+A52*(1+IF(AL53&gt;4,0.1,LOOKUP(Info!$C$10,Rates!$D$2:$D$4,Rates!$C$2:$C$4))+0.85*(Info!$I$22-IF(AL53&gt;4,0.1,LOOKUP(Info!$C$10,Rates!$D$2:$D$4,Rates!$C$2:$C$4)))),"")</f>
        <v/>
      </c>
      <c r="B53" s="236">
        <f>IF(AJ53&lt;&gt;"",IF(AL53&gt;=8,C53,C53*LOOKUP(AL53,Rates!$AG$2:$AG$8,Rates!$AF$2:$AF$8)),"")</f>
        <v/>
      </c>
      <c r="C53" s="236">
        <f>IF(AJ53&lt;&gt;"",D53*(1+IF(AL53&gt;4,0.1,LOOKUP(Info!$C$10,Rates!$D$2:$D$5,Rates!$B$2:$B$5))*LOOKUP(Info!$C$8,Rates!$I$2:$I$7,Rates!$G$2:$G$7))+C52*(1+IF(AL53&gt;4,0.1,LOOKUP(Info!$C$10,Rates!$D$2:$D$5,Rates!$B$2:$B$5))),"")</f>
        <v/>
      </c>
      <c r="D53" s="236">
        <f>IF(AJ53&lt;&gt;"",AI53-(H53+G53+F53+E53+P53+Q53)+IF(Info!$C$20&gt;0,IF(AND(AL53&lt;=Info!$F$20,AL53&gt;=Info!$I$20),Info!$C$20,0),0),"")</f>
        <v/>
      </c>
      <c r="E53" s="236">
        <f>IF(AJ53&lt;&gt;"",(LOOKUP(Info!$C$22,Rates!$AD$2:$AD$4,Rates!$AC$2:$AC$4))*(H53+P53+Q53),"")</f>
        <v/>
      </c>
      <c r="F53" s="236">
        <f>IF(AJ53&lt;&gt;"",(LOOKUP(Info!$C$22,Rates!$AD$2:$AD$4,Rates!$AA$2:$AA$4))*(H53+P53+Q53),"")</f>
        <v/>
      </c>
      <c r="G53" s="236">
        <f>IF(AJ53&lt;&gt;"",(LOOKUP(Info!$C$22,Rates!$AD$2:$AD$4,Rates!$AB$2:$AB$4))*(H53+P53+Q53),"")</f>
        <v/>
      </c>
      <c r="H53" s="236">
        <f>IF(AJ53&lt;&gt;"",I53+J53+AB53,"")</f>
        <v/>
      </c>
      <c r="I53" s="236">
        <f>IF(AJ53&lt;&gt;"",LOOKUP(Info!$C$8,Rates!$I$2:$I$7,Rates!$H$2:$H$7)*(J53+P53+Q53+AB53),"")</f>
        <v/>
      </c>
      <c r="J53" s="244">
        <f>IF(L53="",0,L53)+IF(N53="",0,N53)+IF(O53="",0,O53)</f>
        <v/>
      </c>
      <c r="K53" s="244">
        <f>M53+0.7*M52+0.7*0.5*M51+0.7*0.25*M50+0.7*0.25*M49</f>
        <v/>
      </c>
      <c r="L53" s="244">
        <f>IF(M53&lt;&gt;"",L52+40/100*M52+M53-17.5/100*M48,0)</f>
        <v/>
      </c>
      <c r="M53" s="244">
        <f>IF(#REF!&lt;&gt;"",(1-Info!$C$25)*IF(MIN(30/1000*$AF$2,0.75*#REF!)=30/1000*AF52,30/1000*(AF53-AF52),0.75*(#REF!-#REF!)),"")</f>
        <v/>
      </c>
      <c r="N53" s="244" t="n">
        <v>0</v>
      </c>
      <c r="O53" s="244">
        <f>IF(AJ53&lt;&gt;"",0.07*AI53*(1-Info!$F$25),0)</f>
        <v/>
      </c>
      <c r="P53" s="238">
        <f>IF(AJ53&lt;&gt;"",Y53+W53+U53+S53+R53,0)</f>
        <v/>
      </c>
      <c r="Q53" s="238">
        <f>IF(AJ53&lt;&gt;"",AA53+Z53+X53+V53+T53,0)</f>
        <v/>
      </c>
      <c r="R53" s="238">
        <f>IF(AJ53&lt;&gt;"",(AB53+AA53+V53+T53)*Info!$L$20,0)</f>
        <v/>
      </c>
      <c r="S53" s="238">
        <f>IF(AJ53&lt;&gt;"",T53*(LOOKUP(Info!$I$18,Rates!$O$2:$O$9,Rates!$L$2:$L$9)/100),0)</f>
        <v/>
      </c>
      <c r="T53" s="238">
        <f>IF(AJ53&lt;&gt;"",IF(Info!$F$14="بله",V53*Rates!$Y$7,0),0)</f>
        <v/>
      </c>
      <c r="U53" s="238">
        <f>IF(AJ53&lt;&gt;"",IF(Info!#REF!="بله",V53*(LOOKUP(Info!$I$18,Rates!$O$2:$O$9,Rates!$L$2:$L$9)/100),V53*(LOOKUP(Info!$F$18,Rates!$O$2:$O$9,Rates!$L$2:$L$9)/100)),0)</f>
        <v/>
      </c>
      <c r="V53" s="239">
        <f>IF(AND(AJ53&lt;&gt;"",AJ53&lt;=Rates!$Y$8,Info!#REF!="بله"),AH53*(LOOKUP(AJ53,Rates!$T$2:$T$108,Rates!#REF!)),IF(AND(AK53&lt;&gt;"",AK53&lt;=Rates!$Y$8,Info!#REF!="خیر"),AH53*(LOOKUP(AK53,Rates!$T$2:$T$108,Rates!#REF!)),0)*(1-Info!$F$29))</f>
        <v/>
      </c>
      <c r="W53" s="239">
        <f>IF(AJ53&lt;&gt;"",X53*LOOKUP(Info!$I$18,Rates!$O$2:$O$9,Rates!$M$2:$M$9)/100,0)</f>
        <v/>
      </c>
      <c r="X53" s="239">
        <f>IF(AJ53&lt;=Rates!$Y$4,0.0008*AF53*Info!$F$12,0)</f>
        <v/>
      </c>
      <c r="Y53" s="239">
        <f>IF(AJ53&lt;&gt;"",Z53*(LOOKUP(Info!$I$18,Rates!$O$2:$O$9,Rates!$N$2:$N$9/100)),0)</f>
        <v/>
      </c>
      <c r="Z53" s="238">
        <f>IF(AND(AJ53&lt;=(Rates!$Y$3),AD53&lt;&gt;""),(1-Info!$I$27)*0.0008*AF53*Info!$I$12,0)</f>
        <v/>
      </c>
      <c r="AA53" s="238">
        <f>IF(AJ53&lt;=60,(LOOKUP(AJ53,Rates!$T$2:$T$108,Rates!#REF!))*AC53/1000000*(1-Info!$I$29),0)</f>
        <v/>
      </c>
      <c r="AB53" s="236">
        <f>IF(AJ53&lt;&gt;"",(AF53*LOOKUP(AJ53,Rates!$T$2:$T$108,Rates!$S$2:$S$108))/SQRT(1+IF(AL53&lt;=10,Rates!$Y$5,Rates!$Y$6)),"")</f>
        <v/>
      </c>
      <c r="AC53" s="240">
        <f>IF(AND(AJ53&lt;&gt;"",AJ53&lt;=Rates!$Y$2),MIN(0.5*AF53,300000000,AC52*(1+Info!$F$10)),"")</f>
        <v/>
      </c>
      <c r="AD53" s="240">
        <f>IF(AND(AJ53&lt;&gt;"",AJ53&lt;=60),AF53*Info!$L$16,"")</f>
        <v/>
      </c>
      <c r="AE53" s="68">
        <f>IF(AND(AJ53&lt;&gt;"",AJ53&lt;=70),AF53*(1+Info!$L$14),"")</f>
        <v/>
      </c>
      <c r="AF53" s="68">
        <f>IF(AJ53&lt;&gt;"",AF52*(1+Info!$F$10),"")</f>
        <v/>
      </c>
      <c r="AG53" s="51">
        <f>IF(AJ53&lt;&gt;"",AI53+AG52,"")</f>
        <v/>
      </c>
      <c r="AH53" s="42">
        <f>IF(AJ53&lt;&gt;"",AI53*Rates!$Y$9,"")</f>
        <v/>
      </c>
      <c r="AI53" s="51">
        <f>IF(AJ53&lt;&gt;"",AI52*(1+Info!$F$8),"")</f>
        <v/>
      </c>
      <c r="AJ53" s="57">
        <f>IF(AL53&lt;&gt;"",Info!$F$6+AL53-1,"")</f>
        <v/>
      </c>
      <c r="AK53" s="66">
        <f>IF(AL53&lt;&gt;"",Info!$C$6+AL53-1,"")</f>
        <v/>
      </c>
      <c r="AL53" s="69">
        <f>IF(AL52&lt;&gt;"",IF(AL52+1&lt;=Info!$I$6,AL52+1,""),"")</f>
        <v/>
      </c>
    </row>
    <row r="54">
      <c r="A54" s="236">
        <f>IF(AJ54&lt;&gt;"",D54+D54*(IF(AL54&gt;4,0.1,LOOKUP(Info!$C$10,Rates!$D$2:$D$4,Rates!$C$2:$C$4))+0.85*(Info!$I$22-(IF(AL54&gt;4,0.1,LOOKUP(Info!$C$10,Rates!$D$2:$D$4,Rates!$C$2:$C$4)))))*LOOKUP(Info!$C$8,Rates!$I$2:$I$7,Rates!$G$2:$G$7)+A53*(1+IF(AL54&gt;4,0.1,LOOKUP(Info!$C$10,Rates!$D$2:$D$4,Rates!$C$2:$C$4))+0.85*(Info!$I$22-IF(AL54&gt;4,0.1,LOOKUP(Info!$C$10,Rates!$D$2:$D$4,Rates!$C$2:$C$4)))),"")</f>
        <v/>
      </c>
      <c r="B54" s="236">
        <f>IF(AJ54&lt;&gt;"",IF(AL54&gt;=8,C54,C54*LOOKUP(AL54,Rates!$AG$2:$AG$8,Rates!$AF$2:$AF$8)),"")</f>
        <v/>
      </c>
      <c r="C54" s="236">
        <f>IF(AJ54&lt;&gt;"",D54*(1+IF(AL54&gt;4,0.1,LOOKUP(Info!$C$10,Rates!$D$2:$D$5,Rates!$B$2:$B$5))*LOOKUP(Info!$C$8,Rates!$I$2:$I$7,Rates!$G$2:$G$7))+C53*(1+IF(AL54&gt;4,0.1,LOOKUP(Info!$C$10,Rates!$D$2:$D$5,Rates!$B$2:$B$5))),"")</f>
        <v/>
      </c>
      <c r="D54" s="236">
        <f>IF(AJ54&lt;&gt;"",AI54-(H54+G54+F54+E54+P54+Q54)+IF(Info!$C$20&gt;0,IF(AND(AL54&lt;=Info!$F$20,AL54&gt;=Info!$I$20),Info!$C$20,0),0),"")</f>
        <v/>
      </c>
      <c r="E54" s="236">
        <f>IF(AJ54&lt;&gt;"",(LOOKUP(Info!$C$22,Rates!$AD$2:$AD$4,Rates!$AC$2:$AC$4))*(H54+P54+Q54),"")</f>
        <v/>
      </c>
      <c r="F54" s="236">
        <f>IF(AJ54&lt;&gt;"",(LOOKUP(Info!$C$22,Rates!$AD$2:$AD$4,Rates!$AA$2:$AA$4))*(H54+P54+Q54),"")</f>
        <v/>
      </c>
      <c r="G54" s="236">
        <f>IF(AJ54&lt;&gt;"",(LOOKUP(Info!$C$22,Rates!$AD$2:$AD$4,Rates!$AB$2:$AB$4))*(H54+P54+Q54),"")</f>
        <v/>
      </c>
      <c r="H54" s="236">
        <f>IF(AJ54&lt;&gt;"",I54+J54+AB54,"")</f>
        <v/>
      </c>
      <c r="I54" s="236">
        <f>IF(AJ54&lt;&gt;"",LOOKUP(Info!$C$8,Rates!$I$2:$I$7,Rates!$H$2:$H$7)*(J54+P54+Q54+AB54),"")</f>
        <v/>
      </c>
      <c r="J54" s="244">
        <f>IF(L54="",0,L54)+IF(N54="",0,N54)+IF(O54="",0,O54)</f>
        <v/>
      </c>
      <c r="K54" s="244">
        <f>M54+0.7*M53+0.7*0.5*M52+0.7*0.25*M51+0.7*0.25*M50</f>
        <v/>
      </c>
      <c r="L54" s="244">
        <f>IF(M54&lt;&gt;"",L53+40/100*M53+M54-17.5/100*M49,0)</f>
        <v/>
      </c>
      <c r="M54" s="244">
        <f>IF(#REF!&lt;&gt;"",(1-Info!$C$25)*IF(MIN(30/1000*$AF$2,0.75*#REF!)=30/1000*AF53,30/1000*(AF54-AF53),0.75*(#REF!-#REF!)),"")</f>
        <v/>
      </c>
      <c r="N54" s="244" t="n">
        <v>0</v>
      </c>
      <c r="O54" s="244">
        <f>IF(AJ54&lt;&gt;"",0.07*AI54*(1-Info!$F$25),0)</f>
        <v/>
      </c>
      <c r="P54" s="238">
        <f>IF(AJ54&lt;&gt;"",Y54+W54+U54+S54+R54,0)</f>
        <v/>
      </c>
      <c r="Q54" s="238">
        <f>IF(AJ54&lt;&gt;"",AA54+Z54+X54+V54+T54,0)</f>
        <v/>
      </c>
      <c r="R54" s="238">
        <f>IF(AJ54&lt;&gt;"",(AB54+AA54+V54+T54)*Info!$L$20,0)</f>
        <v/>
      </c>
      <c r="S54" s="238">
        <f>IF(AJ54&lt;&gt;"",T54*(LOOKUP(Info!$I$18,Rates!$O$2:$O$9,Rates!$L$2:$L$9)/100),0)</f>
        <v/>
      </c>
      <c r="T54" s="238">
        <f>IF(AJ54&lt;&gt;"",IF(Info!$F$14="بله",V54*Rates!$Y$7,0),0)</f>
        <v/>
      </c>
      <c r="U54" s="238">
        <f>IF(AJ54&lt;&gt;"",IF(Info!#REF!="بله",V54*(LOOKUP(Info!$I$18,Rates!$O$2:$O$9,Rates!$L$2:$L$9)/100),V54*(LOOKUP(Info!$F$18,Rates!$O$2:$O$9,Rates!$L$2:$L$9)/100)),0)</f>
        <v/>
      </c>
      <c r="V54" s="239">
        <f>IF(AND(AJ54&lt;&gt;"",AJ54&lt;=Rates!$Y$8,Info!#REF!="بله"),AH54*(LOOKUP(AJ54,Rates!$T$2:$T$108,Rates!#REF!)),IF(AND(AK54&lt;&gt;"",AK54&lt;=Rates!$Y$8,Info!#REF!="خیر"),AH54*(LOOKUP(AK54,Rates!$T$2:$T$108,Rates!#REF!)),0)*(1-Info!$F$29))</f>
        <v/>
      </c>
      <c r="W54" s="239">
        <f>IF(AJ54&lt;&gt;"",X54*LOOKUP(Info!$I$18,Rates!$O$2:$O$9,Rates!$M$2:$M$9)/100,0)</f>
        <v/>
      </c>
      <c r="X54" s="239">
        <f>IF(AJ54&lt;=Rates!$Y$4,0.0008*AF54*Info!$F$12,0)</f>
        <v/>
      </c>
      <c r="Y54" s="239">
        <f>IF(AJ54&lt;&gt;"",Z54*(LOOKUP(Info!$I$18,Rates!$O$2:$O$9,Rates!$N$2:$N$9/100)),0)</f>
        <v/>
      </c>
      <c r="Z54" s="238">
        <f>IF(AND(AJ54&lt;=(Rates!$Y$3),AD54&lt;&gt;""),(1-Info!$I$27)*0.0008*AF54*Info!$I$12,0)</f>
        <v/>
      </c>
      <c r="AA54" s="238">
        <f>IF(AJ54&lt;=60,(LOOKUP(AJ54,Rates!$T$2:$T$108,Rates!#REF!))*AC54/1000000*(1-Info!$I$29),0)</f>
        <v/>
      </c>
      <c r="AB54" s="236">
        <f>IF(AJ54&lt;&gt;"",(AF54*LOOKUP(AJ54,Rates!$T$2:$T$108,Rates!$S$2:$S$108))/SQRT(1+IF(AL54&lt;=10,Rates!$Y$5,Rates!$Y$6)),"")</f>
        <v/>
      </c>
      <c r="AC54" s="240">
        <f>IF(AND(AJ54&lt;&gt;"",AJ54&lt;=Rates!$Y$2),MIN(0.5*AF54,300000000,AC53*(1+Info!$F$10)),"")</f>
        <v/>
      </c>
      <c r="AD54" s="240">
        <f>IF(AND(AJ54&lt;&gt;"",AJ54&lt;=60),AF54*Info!$L$16,"")</f>
        <v/>
      </c>
      <c r="AE54" s="68">
        <f>IF(AND(AJ54&lt;&gt;"",AJ54&lt;=70),AF54*(1+Info!$L$14),"")</f>
        <v/>
      </c>
      <c r="AF54" s="68">
        <f>IF(AJ54&lt;&gt;"",AF53*(1+Info!$F$10),"")</f>
        <v/>
      </c>
      <c r="AG54" s="51">
        <f>IF(AJ54&lt;&gt;"",AI54+AG53,"")</f>
        <v/>
      </c>
      <c r="AH54" s="42">
        <f>IF(AJ54&lt;&gt;"",AI54*Rates!$Y$9,"")</f>
        <v/>
      </c>
      <c r="AI54" s="51">
        <f>IF(AJ54&lt;&gt;"",AI53*(1+Info!$F$8),"")</f>
        <v/>
      </c>
      <c r="AJ54" s="57">
        <f>IF(AL54&lt;&gt;"",Info!$F$6+AL54-1,"")</f>
        <v/>
      </c>
      <c r="AK54" s="66">
        <f>IF(AL54&lt;&gt;"",Info!$C$6+AL54-1,"")</f>
        <v/>
      </c>
      <c r="AL54" s="69">
        <f>IF(AL53&lt;&gt;"",IF(AL53+1&lt;=Info!$I$6,AL53+1,""),"")</f>
        <v/>
      </c>
    </row>
    <row r="55">
      <c r="A55" s="236">
        <f>IF(AJ55&lt;&gt;"",D55+D55*(IF(AL55&gt;4,0.1,LOOKUP(Info!$C$10,Rates!$D$2:$D$4,Rates!$C$2:$C$4))+0.85*(Info!$I$22-(IF(AL55&gt;4,0.1,LOOKUP(Info!$C$10,Rates!$D$2:$D$4,Rates!$C$2:$C$4)))))*LOOKUP(Info!$C$8,Rates!$I$2:$I$7,Rates!$G$2:$G$7)+A54*(1+IF(AL55&gt;4,0.1,LOOKUP(Info!$C$10,Rates!$D$2:$D$4,Rates!$C$2:$C$4))+0.85*(Info!$I$22-IF(AL55&gt;4,0.1,LOOKUP(Info!$C$10,Rates!$D$2:$D$4,Rates!$C$2:$C$4)))),"")</f>
        <v/>
      </c>
      <c r="B55" s="236">
        <f>IF(AJ55&lt;&gt;"",IF(AL55&gt;=8,C55,C55*LOOKUP(AL55,Rates!$AG$2:$AG$8,Rates!$AF$2:$AF$8)),"")</f>
        <v/>
      </c>
      <c r="C55" s="236">
        <f>IF(AJ55&lt;&gt;"",D55*(1+IF(AL55&gt;4,0.1,LOOKUP(Info!$C$10,Rates!$D$2:$D$5,Rates!$B$2:$B$5))*LOOKUP(Info!$C$8,Rates!$I$2:$I$7,Rates!$G$2:$G$7))+C54*(1+IF(AL55&gt;4,0.1,LOOKUP(Info!$C$10,Rates!$D$2:$D$5,Rates!$B$2:$B$5))),"")</f>
        <v/>
      </c>
      <c r="D55" s="236">
        <f>IF(AJ55&lt;&gt;"",AI55-(H55+G55+F55+E55+P55+Q55)+IF(Info!$C$20&gt;0,IF(AND(AL55&lt;=Info!$F$20,AL55&gt;=Info!$I$20),Info!$C$20,0),0),"")</f>
        <v/>
      </c>
      <c r="E55" s="236">
        <f>IF(AJ55&lt;&gt;"",(LOOKUP(Info!$C$22,Rates!$AD$2:$AD$4,Rates!$AC$2:$AC$4))*(H55+P55+Q55),"")</f>
        <v/>
      </c>
      <c r="F55" s="236">
        <f>IF(AJ55&lt;&gt;"",(LOOKUP(Info!$C$22,Rates!$AD$2:$AD$4,Rates!$AA$2:$AA$4))*(H55+P55+Q55),"")</f>
        <v/>
      </c>
      <c r="G55" s="236">
        <f>IF(AJ55&lt;&gt;"",(LOOKUP(Info!$C$22,Rates!$AD$2:$AD$4,Rates!$AB$2:$AB$4))*(H55+P55+Q55),"")</f>
        <v/>
      </c>
      <c r="H55" s="236">
        <f>IF(AJ55&lt;&gt;"",I55+J55+AB55,"")</f>
        <v/>
      </c>
      <c r="I55" s="236">
        <f>IF(AJ55&lt;&gt;"",LOOKUP(Info!$C$8,Rates!$I$2:$I$7,Rates!$H$2:$H$7)*(J55+P55+Q55+AB55),"")</f>
        <v/>
      </c>
      <c r="J55" s="244">
        <f>IF(L55="",0,L55)+IF(N55="",0,N55)+IF(O55="",0,O55)</f>
        <v/>
      </c>
      <c r="K55" s="244">
        <f>M55+0.7*M54+0.7*0.5*M53+0.7*0.25*M52+0.7*0.25*M51</f>
        <v/>
      </c>
      <c r="L55" s="244">
        <f>IF(M55&lt;&gt;"",L54+40/100*M54+M55-17.5/100*M50,0)</f>
        <v/>
      </c>
      <c r="M55" s="244">
        <f>IF(#REF!&lt;&gt;"",(1-Info!$C$25)*IF(MIN(30/1000*$AF$2,0.75*#REF!)=30/1000*AF54,30/1000*(AF55-AF54),0.75*(#REF!-#REF!)),"")</f>
        <v/>
      </c>
      <c r="N55" s="244" t="n">
        <v>0</v>
      </c>
      <c r="O55" s="244">
        <f>IF(AJ55&lt;&gt;"",0.07*AI55*(1-Info!$F$25),0)</f>
        <v/>
      </c>
      <c r="P55" s="238">
        <f>IF(AJ55&lt;&gt;"",Y55+W55+U55+S55+R55,0)</f>
        <v/>
      </c>
      <c r="Q55" s="238">
        <f>IF(AJ55&lt;&gt;"",AA55+Z55+X55+V55+T55,0)</f>
        <v/>
      </c>
      <c r="R55" s="238">
        <f>IF(AJ55&lt;&gt;"",(AB55+AA55+V55+T55)*Info!$L$20,0)</f>
        <v/>
      </c>
      <c r="S55" s="238">
        <f>IF(AJ55&lt;&gt;"",T55*(LOOKUP(Info!$I$18,Rates!$O$2:$O$9,Rates!$L$2:$L$9)/100),0)</f>
        <v/>
      </c>
      <c r="T55" s="238">
        <f>IF(AJ55&lt;&gt;"",IF(Info!$F$14="بله",V55*Rates!$Y$7,0),0)</f>
        <v/>
      </c>
      <c r="U55" s="238">
        <f>IF(AJ55&lt;&gt;"",IF(Info!#REF!="بله",V55*(LOOKUP(Info!$I$18,Rates!$O$2:$O$9,Rates!$L$2:$L$9)/100),V55*(LOOKUP(Info!$F$18,Rates!$O$2:$O$9,Rates!$L$2:$L$9)/100)),0)</f>
        <v/>
      </c>
      <c r="V55" s="239">
        <f>IF(AND(AJ55&lt;&gt;"",AJ55&lt;=Rates!$Y$8,Info!#REF!="بله"),AH55*(LOOKUP(AJ55,Rates!$T$2:$T$108,Rates!#REF!)),IF(AND(AK55&lt;&gt;"",AK55&lt;=Rates!$Y$8,Info!#REF!="خیر"),AH55*(LOOKUP(AK55,Rates!$T$2:$T$108,Rates!#REF!)),0)*(1-Info!$F$29))</f>
        <v/>
      </c>
      <c r="W55" s="239">
        <f>IF(AJ55&lt;&gt;"",X55*LOOKUP(Info!$I$18,Rates!$O$2:$O$9,Rates!$M$2:$M$9)/100,0)</f>
        <v/>
      </c>
      <c r="X55" s="239">
        <f>IF(AJ55&lt;=Rates!$Y$4,0.0008*AF55*Info!$F$12,0)</f>
        <v/>
      </c>
      <c r="Y55" s="239">
        <f>IF(AJ55&lt;&gt;"",Z55*(LOOKUP(Info!$I$18,Rates!$O$2:$O$9,Rates!$N$2:$N$9/100)),0)</f>
        <v/>
      </c>
      <c r="Z55" s="238">
        <f>IF(AND(AJ55&lt;=(Rates!$Y$3),AD55&lt;&gt;""),(1-Info!$I$27)*0.0008*AF55*Info!$I$12,0)</f>
        <v/>
      </c>
      <c r="AA55" s="238">
        <f>IF(AJ55&lt;=60,(LOOKUP(AJ55,Rates!$T$2:$T$108,Rates!#REF!))*AC55/1000000*(1-Info!$I$29),0)</f>
        <v/>
      </c>
      <c r="AB55" s="236">
        <f>IF(AJ55&lt;&gt;"",(AF55*LOOKUP(AJ55,Rates!$T$2:$T$108,Rates!$S$2:$S$108))/SQRT(1+IF(AL55&lt;=10,Rates!$Y$5,Rates!$Y$6)),"")</f>
        <v/>
      </c>
      <c r="AC55" s="240">
        <f>IF(AND(AJ55&lt;&gt;"",AJ55&lt;=Rates!$Y$2),MIN(0.5*AF55,300000000,AC54*(1+Info!$F$10)),"")</f>
        <v/>
      </c>
      <c r="AD55" s="240">
        <f>IF(AND(AJ55&lt;&gt;"",AJ55&lt;=60),AF55*Info!$L$16,"")</f>
        <v/>
      </c>
      <c r="AE55" s="68">
        <f>IF(AND(AJ55&lt;&gt;"",AJ55&lt;=70),AF55*(1+Info!$L$14),"")</f>
        <v/>
      </c>
      <c r="AF55" s="68">
        <f>IF(AJ55&lt;&gt;"",AF54*(1+Info!$F$10),"")</f>
        <v/>
      </c>
      <c r="AG55" s="51">
        <f>IF(AJ55&lt;&gt;"",AI55+AG54,"")</f>
        <v/>
      </c>
      <c r="AH55" s="42">
        <f>IF(AJ55&lt;&gt;"",AI55*Rates!$Y$9,"")</f>
        <v/>
      </c>
      <c r="AI55" s="51">
        <f>IF(AJ55&lt;&gt;"",AI54*(1+Info!$F$8),"")</f>
        <v/>
      </c>
      <c r="AJ55" s="57">
        <f>IF(AL55&lt;&gt;"",Info!$F$6+AL55-1,"")</f>
        <v/>
      </c>
      <c r="AK55" s="66">
        <f>IF(AL55&lt;&gt;"",Info!$C$6+AL55-1,"")</f>
        <v/>
      </c>
      <c r="AL55" s="69">
        <f>IF(AL54&lt;&gt;"",IF(AL54+1&lt;=Info!$I$6,AL54+1,""),"")</f>
        <v/>
      </c>
    </row>
    <row r="56">
      <c r="A56" s="236">
        <f>IF(AJ56&lt;&gt;"",D56+D56*(IF(AL56&gt;4,0.1,LOOKUP(Info!$C$10,Rates!$D$2:$D$4,Rates!$C$2:$C$4))+0.85*(Info!$I$22-(IF(AL56&gt;4,0.1,LOOKUP(Info!$C$10,Rates!$D$2:$D$4,Rates!$C$2:$C$4)))))*LOOKUP(Info!$C$8,Rates!$I$2:$I$7,Rates!$G$2:$G$7)+A55*(1+IF(AL56&gt;4,0.1,LOOKUP(Info!$C$10,Rates!$D$2:$D$4,Rates!$C$2:$C$4))+0.85*(Info!$I$22-IF(AL56&gt;4,0.1,LOOKUP(Info!$C$10,Rates!$D$2:$D$4,Rates!$C$2:$C$4)))),"")</f>
        <v/>
      </c>
      <c r="B56" s="236">
        <f>IF(AJ56&lt;&gt;"",IF(AL56&gt;=8,C56,C56*LOOKUP(AL56,Rates!$AG$2:$AG$8,Rates!$AF$2:$AF$8)),"")</f>
        <v/>
      </c>
      <c r="C56" s="236">
        <f>IF(AJ56&lt;&gt;"",D56*(1+IF(AL56&gt;4,0.1,LOOKUP(Info!$C$10,Rates!$D$2:$D$5,Rates!$B$2:$B$5))*LOOKUP(Info!$C$8,Rates!$I$2:$I$7,Rates!$G$2:$G$7))+C55*(1+IF(AL56&gt;4,0.1,LOOKUP(Info!$C$10,Rates!$D$2:$D$5,Rates!$B$2:$B$5))),"")</f>
        <v/>
      </c>
      <c r="D56" s="236">
        <f>IF(AJ56&lt;&gt;"",AI56-(H56+G56+F56+E56+P56+Q56)+IF(Info!$C$20&gt;0,IF(AND(AL56&lt;=Info!$F$20,AL56&gt;=Info!$I$20),Info!$C$20,0),0),"")</f>
        <v/>
      </c>
      <c r="E56" s="236">
        <f>IF(AJ56&lt;&gt;"",(LOOKUP(Info!$C$22,Rates!$AD$2:$AD$4,Rates!$AC$2:$AC$4))*(H56+P56+Q56),"")</f>
        <v/>
      </c>
      <c r="F56" s="236">
        <f>IF(AJ56&lt;&gt;"",(LOOKUP(Info!$C$22,Rates!$AD$2:$AD$4,Rates!$AA$2:$AA$4))*(H56+P56+Q56),"")</f>
        <v/>
      </c>
      <c r="G56" s="236">
        <f>IF(AJ56&lt;&gt;"",(LOOKUP(Info!$C$22,Rates!$AD$2:$AD$4,Rates!$AB$2:$AB$4))*(H56+P56+Q56),"")</f>
        <v/>
      </c>
      <c r="H56" s="236">
        <f>IF(AJ56&lt;&gt;"",I56+J56+AB56,"")</f>
        <v/>
      </c>
      <c r="I56" s="236">
        <f>IF(AJ56&lt;&gt;"",LOOKUP(Info!$C$8,Rates!$I$2:$I$7,Rates!$H$2:$H$7)*(J56+P56+Q56+AB56),"")</f>
        <v/>
      </c>
      <c r="J56" s="244">
        <f>IF(L56="",0,L56)+IF(N56="",0,N56)+IF(O56="",0,O56)</f>
        <v/>
      </c>
      <c r="K56" s="244">
        <f>M56+0.7*M55+0.7*0.5*M54+0.7*0.25*M53+0.7*0.25*M52</f>
        <v/>
      </c>
      <c r="L56" s="244">
        <f>IF(M56&lt;&gt;"",L55+40/100*M55+M56-17.5/100*M51,0)</f>
        <v/>
      </c>
      <c r="M56" s="244">
        <f>IF(#REF!&lt;&gt;"",(1-Info!$C$25)*IF(MIN(30/1000*$AF$2,0.75*#REF!)=30/1000*AF55,30/1000*(AF56-AF55),0.75*(#REF!-#REF!)),"")</f>
        <v/>
      </c>
      <c r="N56" s="244" t="n">
        <v>0</v>
      </c>
      <c r="O56" s="244">
        <f>IF(AJ56&lt;&gt;"",0.07*AI56*(1-Info!$F$25),0)</f>
        <v/>
      </c>
      <c r="P56" s="238">
        <f>IF(AJ56&lt;&gt;"",Y56+W56+U56+S56+R56,0)</f>
        <v/>
      </c>
      <c r="Q56" s="238">
        <f>IF(AJ56&lt;&gt;"",AA56+Z56+X56+V56+T56,0)</f>
        <v/>
      </c>
      <c r="R56" s="238">
        <f>IF(AJ56&lt;&gt;"",(AB56+AA56+V56+T56)*Info!$L$20,0)</f>
        <v/>
      </c>
      <c r="S56" s="238">
        <f>IF(AJ56&lt;&gt;"",T56*(LOOKUP(Info!$I$18,Rates!$O$2:$O$9,Rates!$L$2:$L$9)/100),0)</f>
        <v/>
      </c>
      <c r="T56" s="238">
        <f>IF(AJ56&lt;&gt;"",IF(Info!$F$14="بله",V56*Rates!$Y$7,0),0)</f>
        <v/>
      </c>
      <c r="U56" s="238">
        <f>IF(AJ56&lt;&gt;"",IF(Info!#REF!="بله",V56*(LOOKUP(Info!$I$18,Rates!$O$2:$O$9,Rates!$L$2:$L$9)/100),V56*(LOOKUP(Info!$F$18,Rates!$O$2:$O$9,Rates!$L$2:$L$9)/100)),0)</f>
        <v/>
      </c>
      <c r="V56" s="239">
        <f>IF(AND(AJ56&lt;&gt;"",AJ56&lt;=Rates!$Y$8,Info!#REF!="بله"),AH56*(LOOKUP(AJ56,Rates!$T$2:$T$108,Rates!#REF!)),IF(AND(AK56&lt;&gt;"",AK56&lt;=Rates!$Y$8,Info!#REF!="خیر"),AH56*(LOOKUP(AK56,Rates!$T$2:$T$108,Rates!#REF!)),0)*(1-Info!$F$29))</f>
        <v/>
      </c>
      <c r="W56" s="239">
        <f>IF(AJ56&lt;&gt;"",X56*LOOKUP(Info!$I$18,Rates!$O$2:$O$9,Rates!$M$2:$M$9)/100,0)</f>
        <v/>
      </c>
      <c r="X56" s="239">
        <f>IF(AJ56&lt;=Rates!$Y$4,0.0008*AF56*Info!$F$12,0)</f>
        <v/>
      </c>
      <c r="Y56" s="239">
        <f>IF(AJ56&lt;&gt;"",Z56*(LOOKUP(Info!$I$18,Rates!$O$2:$O$9,Rates!$N$2:$N$9/100)),0)</f>
        <v/>
      </c>
      <c r="Z56" s="238">
        <f>IF(AND(AJ56&lt;=(Rates!$Y$3),AD56&lt;&gt;""),(1-Info!$I$27)*0.0008*AF56*Info!$I$12,0)</f>
        <v/>
      </c>
      <c r="AA56" s="238">
        <f>IF(AJ56&lt;=60,(LOOKUP(AJ56,Rates!$T$2:$T$108,Rates!#REF!))*AC56/1000000*(1-Info!$I$29),0)</f>
        <v/>
      </c>
      <c r="AB56" s="236">
        <f>IF(AJ56&lt;&gt;"",(AF56*LOOKUP(AJ56,Rates!$T$2:$T$108,Rates!$S$2:$S$108))/SQRT(1+IF(AL56&lt;=10,Rates!$Y$5,Rates!$Y$6)),"")</f>
        <v/>
      </c>
      <c r="AC56" s="240">
        <f>IF(AND(AJ56&lt;&gt;"",AJ56&lt;=Rates!$Y$2),MIN(0.5*AF56,300000000,AC55*(1+Info!$F$10)),"")</f>
        <v/>
      </c>
      <c r="AD56" s="240">
        <f>IF(AND(AJ56&lt;&gt;"",AJ56&lt;=60),AF56*Info!$L$16,"")</f>
        <v/>
      </c>
      <c r="AE56" s="68">
        <f>IF(AND(AJ56&lt;&gt;"",AJ56&lt;=70),AF56*(1+Info!$L$14),"")</f>
        <v/>
      </c>
      <c r="AF56" s="68">
        <f>IF(AJ56&lt;&gt;"",AF55*(1+Info!$F$10),"")</f>
        <v/>
      </c>
      <c r="AG56" s="51">
        <f>IF(AJ56&lt;&gt;"",AI56+AG55,"")</f>
        <v/>
      </c>
      <c r="AH56" s="42">
        <f>IF(AJ56&lt;&gt;"",AI56*Rates!$Y$9,"")</f>
        <v/>
      </c>
      <c r="AI56" s="51">
        <f>IF(AJ56&lt;&gt;"",AI55*(1+Info!$F$8),"")</f>
        <v/>
      </c>
      <c r="AJ56" s="57">
        <f>IF(AL56&lt;&gt;"",Info!$F$6+AL56-1,"")</f>
        <v/>
      </c>
      <c r="AK56" s="66">
        <f>IF(AL56&lt;&gt;"",Info!$C$6+AL56-1,"")</f>
        <v/>
      </c>
      <c r="AL56" s="69">
        <f>IF(AL55&lt;&gt;"",IF(AL55+1&lt;=Info!$I$6,AL55+1,""),"")</f>
        <v/>
      </c>
    </row>
    <row r="57">
      <c r="A57" s="236">
        <f>IF(AJ57&lt;&gt;"",D57+D57*(IF(AL57&gt;4,0.1,LOOKUP(Info!$C$10,Rates!$D$2:$D$4,Rates!$C$2:$C$4))+0.85*(Info!$I$22-(IF(AL57&gt;4,0.1,LOOKUP(Info!$C$10,Rates!$D$2:$D$4,Rates!$C$2:$C$4)))))*LOOKUP(Info!$C$8,Rates!$I$2:$I$7,Rates!$G$2:$G$7)+A56*(1+IF(AL57&gt;4,0.1,LOOKUP(Info!$C$10,Rates!$D$2:$D$4,Rates!$C$2:$C$4))+0.85*(Info!$I$22-IF(AL57&gt;4,0.1,LOOKUP(Info!$C$10,Rates!$D$2:$D$4,Rates!$C$2:$C$4)))),"")</f>
        <v/>
      </c>
      <c r="B57" s="236">
        <f>IF(AJ57&lt;&gt;"",IF(AL57&gt;=8,C57,C57*LOOKUP(AL57,Rates!$AG$2:$AG$8,Rates!$AF$2:$AF$8)),"")</f>
        <v/>
      </c>
      <c r="C57" s="236">
        <f>IF(AJ57&lt;&gt;"",D57*(1+IF(AL57&gt;4,0.1,LOOKUP(Info!$C$10,Rates!$D$2:$D$5,Rates!$B$2:$B$5))*LOOKUP(Info!$C$8,Rates!$I$2:$I$7,Rates!$G$2:$G$7))+C56*(1+IF(AL57&gt;4,0.1,LOOKUP(Info!$C$10,Rates!$D$2:$D$5,Rates!$B$2:$B$5))),"")</f>
        <v/>
      </c>
      <c r="D57" s="236">
        <f>IF(AJ57&lt;&gt;"",AI57-(H57+G57+F57+E57+P57+Q57)+IF(Info!$C$20&gt;0,IF(AND(AL57&lt;=Info!$F$20,AL57&gt;=Info!$I$20),Info!$C$20,0),0),"")</f>
        <v/>
      </c>
      <c r="E57" s="236">
        <f>IF(AJ57&lt;&gt;"",(LOOKUP(Info!$C$22,Rates!$AD$2:$AD$4,Rates!$AC$2:$AC$4))*(H57+P57+Q57),"")</f>
        <v/>
      </c>
      <c r="F57" s="236">
        <f>IF(AJ57&lt;&gt;"",(LOOKUP(Info!$C$22,Rates!$AD$2:$AD$4,Rates!$AA$2:$AA$4))*(H57+P57+Q57),"")</f>
        <v/>
      </c>
      <c r="G57" s="236">
        <f>IF(AJ57&lt;&gt;"",(LOOKUP(Info!$C$22,Rates!$AD$2:$AD$4,Rates!$AB$2:$AB$4))*(H57+P57+Q57),"")</f>
        <v/>
      </c>
      <c r="H57" s="236">
        <f>IF(AJ57&lt;&gt;"",I57+J57+AB57,"")</f>
        <v/>
      </c>
      <c r="I57" s="236">
        <f>IF(AJ57&lt;&gt;"",LOOKUP(Info!$C$8,Rates!$I$2:$I$7,Rates!$H$2:$H$7)*(J57+P57+Q57+AB57),"")</f>
        <v/>
      </c>
      <c r="J57" s="244">
        <f>IF(L57="",0,L57)+IF(N57="",0,N57)+IF(O57="",0,O57)</f>
        <v/>
      </c>
      <c r="K57" s="244">
        <f>M57+0.7*M56+0.7*0.5*M55+0.7*0.25*M54+0.7*0.25*M53</f>
        <v/>
      </c>
      <c r="L57" s="244">
        <f>IF(M57&lt;&gt;"",L56+40/100*M56+M57-17.5/100*M52,0)</f>
        <v/>
      </c>
      <c r="M57" s="244">
        <f>IF(#REF!&lt;&gt;"",(1-Info!$C$25)*IF(MIN(30/1000*$AF$2,0.75*#REF!)=30/1000*AF56,30/1000*(AF57-AF56),0.75*(#REF!-#REF!)),"")</f>
        <v/>
      </c>
      <c r="N57" s="244" t="n">
        <v>0</v>
      </c>
      <c r="O57" s="244">
        <f>IF(AJ57&lt;&gt;"",0.07*AI57*(1-Info!$F$25),0)</f>
        <v/>
      </c>
      <c r="P57" s="238">
        <f>IF(AJ57&lt;&gt;"",Y57+W57+U57+S57+R57,0)</f>
        <v/>
      </c>
      <c r="Q57" s="238">
        <f>IF(AJ57&lt;&gt;"",AA57+Z57+X57+V57+T57,0)</f>
        <v/>
      </c>
      <c r="R57" s="238">
        <f>IF(AJ57&lt;&gt;"",(AB57+AA57+V57+T57)*Info!$L$20,0)</f>
        <v/>
      </c>
      <c r="S57" s="238">
        <f>IF(AJ57&lt;&gt;"",T57*(LOOKUP(Info!$I$18,Rates!$O$2:$O$9,Rates!$L$2:$L$9)/100),0)</f>
        <v/>
      </c>
      <c r="T57" s="238">
        <f>IF(AJ57&lt;&gt;"",IF(Info!$F$14="بله",V57*Rates!$Y$7,0),0)</f>
        <v/>
      </c>
      <c r="U57" s="238">
        <f>IF(AJ57&lt;&gt;"",IF(Info!#REF!="بله",V57*(LOOKUP(Info!$I$18,Rates!$O$2:$O$9,Rates!$L$2:$L$9)/100),V57*(LOOKUP(Info!$F$18,Rates!$O$2:$O$9,Rates!$L$2:$L$9)/100)),0)</f>
        <v/>
      </c>
      <c r="V57" s="239">
        <f>IF(AND(AJ57&lt;&gt;"",AJ57&lt;=Rates!$Y$8,Info!#REF!="بله"),AH57*(LOOKUP(AJ57,Rates!$T$2:$T$108,Rates!#REF!)),IF(AND(AK57&lt;&gt;"",AK57&lt;=Rates!$Y$8,Info!#REF!="خیر"),AH57*(LOOKUP(AK57,Rates!$T$2:$T$108,Rates!#REF!)),0)*(1-Info!$F$29))</f>
        <v/>
      </c>
      <c r="W57" s="239">
        <f>IF(AJ57&lt;&gt;"",X57*LOOKUP(Info!$I$18,Rates!$O$2:$O$9,Rates!$M$2:$M$9)/100,0)</f>
        <v/>
      </c>
      <c r="X57" s="239">
        <f>IF(AJ57&lt;=Rates!$Y$4,0.0008*AF57*Info!$F$12,0)</f>
        <v/>
      </c>
      <c r="Y57" s="239">
        <f>IF(AJ57&lt;&gt;"",Z57*(LOOKUP(Info!$I$18,Rates!$O$2:$O$9,Rates!$N$2:$N$9/100)),0)</f>
        <v/>
      </c>
      <c r="Z57" s="238">
        <f>IF(AND(AJ57&lt;=(Rates!$Y$3),AD57&lt;&gt;""),(1-Info!$I$27)*0.0008*AF57*Info!$I$12,0)</f>
        <v/>
      </c>
      <c r="AA57" s="238">
        <f>IF(AJ57&lt;=60,(LOOKUP(AJ57,Rates!$T$2:$T$108,Rates!#REF!))*AC57/1000000*(1-Info!$I$29),0)</f>
        <v/>
      </c>
      <c r="AB57" s="236">
        <f>IF(AJ57&lt;&gt;"",(AF57*LOOKUP(AJ57,Rates!$T$2:$T$108,Rates!$S$2:$S$108))/SQRT(1+IF(AL57&lt;=10,Rates!$Y$5,Rates!$Y$6)),"")</f>
        <v/>
      </c>
      <c r="AC57" s="240">
        <f>IF(AND(AJ57&lt;&gt;"",AJ57&lt;=Rates!$Y$2),MIN(0.5*AF57,300000000,AC56*(1+Info!$F$10)),"")</f>
        <v/>
      </c>
      <c r="AD57" s="240">
        <f>IF(AND(AJ57&lt;&gt;"",AJ57&lt;=60),AF57*Info!$L$16,"")</f>
        <v/>
      </c>
      <c r="AE57" s="68">
        <f>IF(AND(AJ57&lt;&gt;"",AJ57&lt;=70),AF57*(1+Info!$L$14),"")</f>
        <v/>
      </c>
      <c r="AF57" s="68">
        <f>IF(AJ57&lt;&gt;"",AF56*(1+Info!$F$10),"")</f>
        <v/>
      </c>
      <c r="AG57" s="51">
        <f>IF(AJ57&lt;&gt;"",AI57+AG56,"")</f>
        <v/>
      </c>
      <c r="AH57" s="42">
        <f>IF(AJ57&lt;&gt;"",AI57*Rates!$Y$9,"")</f>
        <v/>
      </c>
      <c r="AI57" s="51">
        <f>IF(AJ57&lt;&gt;"",AI56*(1+Info!$F$8),"")</f>
        <v/>
      </c>
      <c r="AJ57" s="57">
        <f>IF(AL57&lt;&gt;"",Info!$F$6+AL57-1,"")</f>
        <v/>
      </c>
      <c r="AK57" s="66">
        <f>IF(AL57&lt;&gt;"",Info!$C$6+AL57-1,"")</f>
        <v/>
      </c>
      <c r="AL57" s="69">
        <f>IF(AL56&lt;&gt;"",IF(AL56+1&lt;=Info!$I$6,AL56+1,""),"")</f>
        <v/>
      </c>
    </row>
    <row r="58">
      <c r="A58" s="236">
        <f>IF(AJ58&lt;&gt;"",D58+D58*(IF(AL58&gt;4,0.1,LOOKUP(Info!$C$10,Rates!$D$2:$D$4,Rates!$C$2:$C$4))+0.85*(Info!$I$22-(IF(AL58&gt;4,0.1,LOOKUP(Info!$C$10,Rates!$D$2:$D$4,Rates!$C$2:$C$4)))))*LOOKUP(Info!$C$8,Rates!$I$2:$I$7,Rates!$G$2:$G$7)+A57*(1+IF(AL58&gt;4,0.1,LOOKUP(Info!$C$10,Rates!$D$2:$D$4,Rates!$C$2:$C$4))+0.85*(Info!$I$22-IF(AL58&gt;4,0.1,LOOKUP(Info!$C$10,Rates!$D$2:$D$4,Rates!$C$2:$C$4)))),"")</f>
        <v/>
      </c>
      <c r="B58" s="236">
        <f>IF(AJ58&lt;&gt;"",IF(AL58&gt;=8,C58,C58*LOOKUP(AL58,Rates!$AG$2:$AG$8,Rates!$AF$2:$AF$8)),"")</f>
        <v/>
      </c>
      <c r="C58" s="236">
        <f>IF(AJ58&lt;&gt;"",D58*(1+IF(AL58&gt;4,0.1,LOOKUP(Info!$C$10,Rates!$D$2:$D$5,Rates!$B$2:$B$5))*LOOKUP(Info!$C$8,Rates!$I$2:$I$7,Rates!$G$2:$G$7))+C57*(1+IF(AL58&gt;4,0.1,LOOKUP(Info!$C$10,Rates!$D$2:$D$5,Rates!$B$2:$B$5))),"")</f>
        <v/>
      </c>
      <c r="D58" s="236">
        <f>IF(AJ58&lt;&gt;"",AI58-(H58+G58+F58+E58+P58+Q58)+IF(Info!$C$20&gt;0,IF(AND(AL58&lt;=Info!$F$20,AL58&gt;=Info!$I$20),Info!$C$20,0),0),"")</f>
        <v/>
      </c>
      <c r="E58" s="236">
        <f>IF(AJ58&lt;&gt;"",(LOOKUP(Info!$C$22,Rates!$AD$2:$AD$4,Rates!$AC$2:$AC$4))*(H58+P58+Q58),"")</f>
        <v/>
      </c>
      <c r="F58" s="236">
        <f>IF(AJ58&lt;&gt;"",(LOOKUP(Info!$C$22,Rates!$AD$2:$AD$4,Rates!$AA$2:$AA$4))*(H58+P58+Q58),"")</f>
        <v/>
      </c>
      <c r="G58" s="236">
        <f>IF(AJ58&lt;&gt;"",(LOOKUP(Info!$C$22,Rates!$AD$2:$AD$4,Rates!$AB$2:$AB$4))*(H58+P58+Q58),"")</f>
        <v/>
      </c>
      <c r="H58" s="236">
        <f>IF(AJ58&lt;&gt;"",I58+J58+AB58,"")</f>
        <v/>
      </c>
      <c r="I58" s="236">
        <f>IF(AJ58&lt;&gt;"",LOOKUP(Info!$C$8,Rates!$I$2:$I$7,Rates!$H$2:$H$7)*(J58+P58+Q58+AB58),"")</f>
        <v/>
      </c>
      <c r="J58" s="244">
        <f>IF(L58="",0,L58)+IF(N58="",0,N58)+IF(O58="",0,O58)</f>
        <v/>
      </c>
      <c r="K58" s="244">
        <f>M58+0.7*M57+0.7*0.5*M56+0.7*0.25*M55+0.7*0.25*M54</f>
        <v/>
      </c>
      <c r="L58" s="244">
        <f>IF(M58&lt;&gt;"",L57+40/100*M57+M58-17.5/100*M53,0)</f>
        <v/>
      </c>
      <c r="M58" s="244">
        <f>IF(#REF!&lt;&gt;"",(1-Info!$C$25)*IF(MIN(30/1000*$AF$2,0.75*#REF!)=30/1000*AF57,30/1000*(AF58-AF57),0.75*(#REF!-#REF!)),"")</f>
        <v/>
      </c>
      <c r="N58" s="244" t="n">
        <v>0</v>
      </c>
      <c r="O58" s="244">
        <f>IF(AJ58&lt;&gt;"",0.07*AI58*(1-Info!$F$25),0)</f>
        <v/>
      </c>
      <c r="P58" s="238">
        <f>IF(AJ58&lt;&gt;"",Y58+W58+U58+S58+R58,0)</f>
        <v/>
      </c>
      <c r="Q58" s="238">
        <f>IF(AJ58&lt;&gt;"",AA58+Z58+X58+V58+T58,0)</f>
        <v/>
      </c>
      <c r="R58" s="238">
        <f>IF(AJ58&lt;&gt;"",(AB58+AA58+V58+T58)*Info!$L$20,0)</f>
        <v/>
      </c>
      <c r="S58" s="238">
        <f>IF(AJ58&lt;&gt;"",T58*(LOOKUP(Info!$I$18,Rates!$O$2:$O$9,Rates!$L$2:$L$9)/100),0)</f>
        <v/>
      </c>
      <c r="T58" s="238">
        <f>IF(AJ58&lt;&gt;"",IF(Info!$F$14="بله",V58*Rates!$Y$7,0),0)</f>
        <v/>
      </c>
      <c r="U58" s="238">
        <f>IF(AJ58&lt;&gt;"",IF(Info!#REF!="بله",V58*(LOOKUP(Info!$I$18,Rates!$O$2:$O$9,Rates!$L$2:$L$9)/100),V58*(LOOKUP(Info!$F$18,Rates!$O$2:$O$9,Rates!$L$2:$L$9)/100)),0)</f>
        <v/>
      </c>
      <c r="V58" s="239">
        <f>IF(AND(AJ58&lt;&gt;"",AJ58&lt;=Rates!$Y$8,Info!#REF!="بله"),AH58*(LOOKUP(AJ58,Rates!$T$2:$T$108,Rates!#REF!)),IF(AND(AK58&lt;&gt;"",AK58&lt;=Rates!$Y$8,Info!#REF!="خیر"),AH58*(LOOKUP(AK58,Rates!$T$2:$T$108,Rates!#REF!)),0)*(1-Info!$F$29))</f>
        <v/>
      </c>
      <c r="W58" s="239">
        <f>IF(AJ58&lt;&gt;"",X58*LOOKUP(Info!$I$18,Rates!$O$2:$O$9,Rates!$M$2:$M$9)/100,0)</f>
        <v/>
      </c>
      <c r="X58" s="239">
        <f>IF(AJ58&lt;=Rates!$Y$4,0.0008*AF58*Info!$F$12,0)</f>
        <v/>
      </c>
      <c r="Y58" s="239">
        <f>IF(AJ58&lt;&gt;"",Z58*(LOOKUP(Info!$I$18,Rates!$O$2:$O$9,Rates!$N$2:$N$9/100)),0)</f>
        <v/>
      </c>
      <c r="Z58" s="238">
        <f>IF(AND(AJ58&lt;=(Rates!$Y$3),AD58&lt;&gt;""),(1-Info!$I$27)*0.0008*AF58*Info!$I$12,0)</f>
        <v/>
      </c>
      <c r="AA58" s="238">
        <f>IF(AJ58&lt;=60,(LOOKUP(AJ58,Rates!$T$2:$T$108,Rates!#REF!))*AC58/1000000*(1-Info!$I$29),0)</f>
        <v/>
      </c>
      <c r="AB58" s="236">
        <f>IF(AJ58&lt;&gt;"",(AF58*LOOKUP(AJ58,Rates!$T$2:$T$108,Rates!$S$2:$S$108))/SQRT(1+IF(AL58&lt;=10,Rates!$Y$5,Rates!$Y$6)),"")</f>
        <v/>
      </c>
      <c r="AC58" s="240">
        <f>IF(AND(AJ58&lt;&gt;"",AJ58&lt;=Rates!$Y$2),MIN(0.5*AF58,300000000,AC57*(1+Info!$F$10)),"")</f>
        <v/>
      </c>
      <c r="AD58" s="240">
        <f>IF(AND(AJ58&lt;&gt;"",AJ58&lt;=60),AF58*Info!$L$16,"")</f>
        <v/>
      </c>
      <c r="AE58" s="68">
        <f>IF(AND(AJ58&lt;&gt;"",AJ58&lt;=70),AF58*(1+Info!$L$14),"")</f>
        <v/>
      </c>
      <c r="AF58" s="68">
        <f>IF(AJ58&lt;&gt;"",AF57*(1+Info!$F$10),"")</f>
        <v/>
      </c>
      <c r="AG58" s="51">
        <f>IF(AJ58&lt;&gt;"",AI58+AG57,"")</f>
        <v/>
      </c>
      <c r="AH58" s="42">
        <f>IF(AJ58&lt;&gt;"",AI58*Rates!$Y$9,"")</f>
        <v/>
      </c>
      <c r="AI58" s="51">
        <f>IF(AJ58&lt;&gt;"",AI57*(1+Info!$F$8),"")</f>
        <v/>
      </c>
      <c r="AJ58" s="57">
        <f>IF(AL58&lt;&gt;"",Info!$F$6+AL58-1,"")</f>
        <v/>
      </c>
      <c r="AK58" s="66">
        <f>IF(AL58&lt;&gt;"",Info!$C$6+AL58-1,"")</f>
        <v/>
      </c>
      <c r="AL58" s="69">
        <f>IF(AL57&lt;&gt;"",IF(AL57+1&lt;=Info!$I$6,AL57+1,""),"")</f>
        <v/>
      </c>
    </row>
    <row r="59">
      <c r="A59" s="236">
        <f>IF(AJ59&lt;&gt;"",D59+D59*(IF(AL59&gt;4,0.1,LOOKUP(Info!$C$10,Rates!$D$2:$D$4,Rates!$C$2:$C$4))+0.85*(Info!$I$22-(IF(AL59&gt;4,0.1,LOOKUP(Info!$C$10,Rates!$D$2:$D$4,Rates!$C$2:$C$4)))))*LOOKUP(Info!$C$8,Rates!$I$2:$I$7,Rates!$G$2:$G$7)+A58*(1+IF(AL59&gt;4,0.1,LOOKUP(Info!$C$10,Rates!$D$2:$D$4,Rates!$C$2:$C$4))+0.85*(Info!$I$22-IF(AL59&gt;4,0.1,LOOKUP(Info!$C$10,Rates!$D$2:$D$4,Rates!$C$2:$C$4)))),"")</f>
        <v/>
      </c>
      <c r="B59" s="236">
        <f>IF(AJ59&lt;&gt;"",IF(AL59&gt;=8,C59,C59*LOOKUP(AL59,Rates!$AG$2:$AG$8,Rates!$AF$2:$AF$8)),"")</f>
        <v/>
      </c>
      <c r="C59" s="236">
        <f>IF(AJ59&lt;&gt;"",D59*(1+IF(AL59&gt;4,0.1,LOOKUP(Info!$C$10,Rates!$D$2:$D$5,Rates!$B$2:$B$5))*LOOKUP(Info!$C$8,Rates!$I$2:$I$7,Rates!$G$2:$G$7))+C58*(1+IF(AL59&gt;4,0.1,LOOKUP(Info!$C$10,Rates!$D$2:$D$5,Rates!$B$2:$B$5))),"")</f>
        <v/>
      </c>
      <c r="D59" s="236">
        <f>IF(AJ59&lt;&gt;"",AI59-(H59+G59+F59+E59+P59+Q59)+IF(Info!$C$20&gt;0,IF(AND(AL59&lt;=Info!$F$20,AL59&gt;=Info!$I$20),Info!$C$20,0),0),"")</f>
        <v/>
      </c>
      <c r="E59" s="236">
        <f>IF(AJ59&lt;&gt;"",(LOOKUP(Info!$C$22,Rates!$AD$2:$AD$4,Rates!$AC$2:$AC$4))*(H59+P59+Q59),"")</f>
        <v/>
      </c>
      <c r="F59" s="236">
        <f>IF(AJ59&lt;&gt;"",(LOOKUP(Info!$C$22,Rates!$AD$2:$AD$4,Rates!$AA$2:$AA$4))*(H59+P59+Q59),"")</f>
        <v/>
      </c>
      <c r="G59" s="236">
        <f>IF(AJ59&lt;&gt;"",(LOOKUP(Info!$C$22,Rates!$AD$2:$AD$4,Rates!$AB$2:$AB$4))*(H59+P59+Q59),"")</f>
        <v/>
      </c>
      <c r="H59" s="236">
        <f>IF(AJ59&lt;&gt;"",I59+J59+AB59,"")</f>
        <v/>
      </c>
      <c r="I59" s="236">
        <f>IF(AJ59&lt;&gt;"",LOOKUP(Info!$C$8,Rates!$I$2:$I$7,Rates!$H$2:$H$7)*(J59+P59+Q59+AB59),"")</f>
        <v/>
      </c>
      <c r="J59" s="244">
        <f>IF(L59="",0,L59)+IF(N59="",0,N59)+IF(O59="",0,O59)</f>
        <v/>
      </c>
      <c r="K59" s="244">
        <f>M59+0.7*M58+0.7*0.5*M57+0.7*0.25*M56+0.7*0.25*M55</f>
        <v/>
      </c>
      <c r="L59" s="244">
        <f>IF(M59&lt;&gt;"",L58+40/100*M58+M59-17.5/100*M54,0)</f>
        <v/>
      </c>
      <c r="M59" s="244">
        <f>IF(#REF!&lt;&gt;"",(1-Info!$C$25)*IF(MIN(30/1000*$AF$2,0.75*#REF!)=30/1000*AF58,30/1000*(AF59-AF58),0.75*(#REF!-#REF!)),"")</f>
        <v/>
      </c>
      <c r="N59" s="244" t="n">
        <v>0</v>
      </c>
      <c r="O59" s="244">
        <f>IF(AJ59&lt;&gt;"",0.07*AI59*(1-Info!$F$25),0)</f>
        <v/>
      </c>
      <c r="P59" s="238">
        <f>IF(AJ59&lt;&gt;"",Y59+W59+U59+S59+R59,0)</f>
        <v/>
      </c>
      <c r="Q59" s="238">
        <f>IF(AJ59&lt;&gt;"",AA59+Z59+X59+V59+T59,0)</f>
        <v/>
      </c>
      <c r="R59" s="238">
        <f>IF(AJ59&lt;&gt;"",(AB59+AA59+V59+T59)*Info!$L$20,0)</f>
        <v/>
      </c>
      <c r="S59" s="238">
        <f>IF(AJ59&lt;&gt;"",T59*(LOOKUP(Info!$I$18,Rates!$O$2:$O$9,Rates!$L$2:$L$9)/100),0)</f>
        <v/>
      </c>
      <c r="T59" s="238">
        <f>IF(AJ59&lt;&gt;"",IF(Info!$F$14="بله",V59*Rates!$Y$7,0),0)</f>
        <v/>
      </c>
      <c r="U59" s="238">
        <f>IF(AJ59&lt;&gt;"",IF(Info!#REF!="بله",V59*(LOOKUP(Info!$I$18,Rates!$O$2:$O$9,Rates!$L$2:$L$9)/100),V59*(LOOKUP(Info!$F$18,Rates!$O$2:$O$9,Rates!$L$2:$L$9)/100)),0)</f>
        <v/>
      </c>
      <c r="V59" s="239">
        <f>IF(AND(AJ59&lt;&gt;"",AJ59&lt;=Rates!$Y$8,Info!#REF!="بله"),AH59*(LOOKUP(AJ59,Rates!$T$2:$T$108,Rates!#REF!)),IF(AND(AK59&lt;&gt;"",AK59&lt;=Rates!$Y$8,Info!#REF!="خیر"),AH59*(LOOKUP(AK59,Rates!$T$2:$T$108,Rates!#REF!)),0)*(1-Info!$F$29))</f>
        <v/>
      </c>
      <c r="W59" s="239">
        <f>IF(AJ59&lt;&gt;"",X59*LOOKUP(Info!$I$18,Rates!$O$2:$O$9,Rates!$M$2:$M$9)/100,0)</f>
        <v/>
      </c>
      <c r="X59" s="239">
        <f>IF(AJ59&lt;=Rates!$Y$4,0.0008*AF59*Info!$F$12,0)</f>
        <v/>
      </c>
      <c r="Y59" s="239">
        <f>IF(AJ59&lt;&gt;"",Z59*(LOOKUP(Info!$I$18,Rates!$O$2:$O$9,Rates!$N$2:$N$9/100)),0)</f>
        <v/>
      </c>
      <c r="Z59" s="238">
        <f>IF(AND(AJ59&lt;=(Rates!$Y$3),AD59&lt;&gt;""),(1-Info!$I$27)*0.0008*AF59*Info!$I$12,0)</f>
        <v/>
      </c>
      <c r="AA59" s="238">
        <f>IF(AJ59&lt;=60,(LOOKUP(AJ59,Rates!$T$2:$T$108,Rates!#REF!))*AC59/1000000*(1-Info!$I$29),0)</f>
        <v/>
      </c>
      <c r="AB59" s="236">
        <f>IF(AJ59&lt;&gt;"",(AF59*LOOKUP(AJ59,Rates!$T$2:$T$108,Rates!$S$2:$S$108))/SQRT(1+IF(AL59&lt;=10,Rates!$Y$5,Rates!$Y$6)),"")</f>
        <v/>
      </c>
      <c r="AC59" s="240">
        <f>IF(AND(AJ59&lt;&gt;"",AJ59&lt;=Rates!$Y$2),MIN(0.5*AF59,300000000,AC58*(1+Info!$F$10)),"")</f>
        <v/>
      </c>
      <c r="AD59" s="240">
        <f>IF(AND(AJ59&lt;&gt;"",AJ59&lt;=60),AF59*Info!$L$16,"")</f>
        <v/>
      </c>
      <c r="AE59" s="68">
        <f>IF(AND(AJ59&lt;&gt;"",AJ59&lt;=70),AF59*(1+Info!$L$14),"")</f>
        <v/>
      </c>
      <c r="AF59" s="68">
        <f>IF(AJ59&lt;&gt;"",AF58*(1+Info!$F$10),"")</f>
        <v/>
      </c>
      <c r="AG59" s="51">
        <f>IF(AJ59&lt;&gt;"",AI59+AG58,"")</f>
        <v/>
      </c>
      <c r="AH59" s="42">
        <f>IF(AJ59&lt;&gt;"",AI59*Rates!$Y$9,"")</f>
        <v/>
      </c>
      <c r="AI59" s="51">
        <f>IF(AJ59&lt;&gt;"",AI58*(1+Info!$F$8),"")</f>
        <v/>
      </c>
      <c r="AJ59" s="57">
        <f>IF(AL59&lt;&gt;"",Info!$F$6+AL59-1,"")</f>
        <v/>
      </c>
      <c r="AK59" s="66">
        <f>IF(AL59&lt;&gt;"",Info!$C$6+AL59-1,"")</f>
        <v/>
      </c>
      <c r="AL59" s="69">
        <f>IF(AL58&lt;&gt;"",IF(AL58+1&lt;=Info!$I$6,AL58+1,""),"")</f>
        <v/>
      </c>
    </row>
    <row r="60">
      <c r="A60" s="236">
        <f>IF(AJ60&lt;&gt;"",D60+D60*(IF(AL60&gt;4,0.1,LOOKUP(Info!$C$10,Rates!$D$2:$D$4,Rates!$C$2:$C$4))+0.85*(Info!$I$22-(IF(AL60&gt;4,0.1,LOOKUP(Info!$C$10,Rates!$D$2:$D$4,Rates!$C$2:$C$4)))))*LOOKUP(Info!$C$8,Rates!$I$2:$I$7,Rates!$G$2:$G$7)+A59*(1+IF(AL60&gt;4,0.1,LOOKUP(Info!$C$10,Rates!$D$2:$D$4,Rates!$C$2:$C$4))+0.85*(Info!$I$22-IF(AL60&gt;4,0.1,LOOKUP(Info!$C$10,Rates!$D$2:$D$4,Rates!$C$2:$C$4)))),"")</f>
        <v/>
      </c>
      <c r="B60" s="236">
        <f>IF(AJ60&lt;&gt;"",IF(AL60&gt;=8,C60,C60*LOOKUP(AL60,Rates!$AG$2:$AG$8,Rates!$AF$2:$AF$8)),"")</f>
        <v/>
      </c>
      <c r="C60" s="236">
        <f>IF(AJ60&lt;&gt;"",D60*(1+IF(AL60&gt;4,0.1,LOOKUP(Info!$C$10,Rates!$D$2:$D$5,Rates!$B$2:$B$5))*LOOKUP(Info!$C$8,Rates!$I$2:$I$7,Rates!$G$2:$G$7))+C59*(1+IF(AL60&gt;4,0.1,LOOKUP(Info!$C$10,Rates!$D$2:$D$5,Rates!$B$2:$B$5))),"")</f>
        <v/>
      </c>
      <c r="D60" s="236">
        <f>IF(AJ60&lt;&gt;"",AI60-(H60+G60+F60+E60+P60+Q60)+IF(Info!$C$20&gt;0,IF(AND(AL60&lt;=Info!$F$20,AL60&gt;=Info!$I$20),Info!$C$20,0),0),"")</f>
        <v/>
      </c>
      <c r="E60" s="236">
        <f>IF(AJ60&lt;&gt;"",(LOOKUP(Info!$C$22,Rates!$AD$2:$AD$4,Rates!$AC$2:$AC$4))*(H60+P60+Q60),"")</f>
        <v/>
      </c>
      <c r="F60" s="236">
        <f>IF(AJ60&lt;&gt;"",(LOOKUP(Info!$C$22,Rates!$AD$2:$AD$4,Rates!$AA$2:$AA$4))*(H60+P60+Q60),"")</f>
        <v/>
      </c>
      <c r="G60" s="236">
        <f>IF(AJ60&lt;&gt;"",(LOOKUP(Info!$C$22,Rates!$AD$2:$AD$4,Rates!$AB$2:$AB$4))*(H60+P60+Q60),"")</f>
        <v/>
      </c>
      <c r="H60" s="236">
        <f>IF(AJ60&lt;&gt;"",I60+J60+AB60,"")</f>
        <v/>
      </c>
      <c r="I60" s="236">
        <f>IF(AJ60&lt;&gt;"",LOOKUP(Info!$C$8,Rates!$I$2:$I$7,Rates!$H$2:$H$7)*(J60+P60+Q60+AB60),"")</f>
        <v/>
      </c>
      <c r="J60" s="244">
        <f>IF(L60="",0,L60)+IF(N60="",0,N60)+IF(O60="",0,O60)</f>
        <v/>
      </c>
      <c r="K60" s="244">
        <f>M60+0.7*M59+0.7*0.5*M58+0.7*0.25*M57+0.7*0.25*M56</f>
        <v/>
      </c>
      <c r="L60" s="244">
        <f>IF(M60&lt;&gt;"",L59+40/100*M59+M60-17.5/100*M55,0)</f>
        <v/>
      </c>
      <c r="M60" s="244">
        <f>IF(#REF!&lt;&gt;"",(1-Info!$C$25)*IF(MIN(30/1000*$AF$2,0.75*#REF!)=30/1000*AF59,30/1000*(AF60-AF59),0.75*(#REF!-#REF!)),"")</f>
        <v/>
      </c>
      <c r="N60" s="244" t="n">
        <v>0</v>
      </c>
      <c r="O60" s="244">
        <f>IF(AJ60&lt;&gt;"",0.07*AI60*(1-Info!$F$25),0)</f>
        <v/>
      </c>
      <c r="P60" s="238">
        <f>IF(AJ60&lt;&gt;"",Y60+W60+U60+S60+R60,0)</f>
        <v/>
      </c>
      <c r="Q60" s="238">
        <f>IF(AJ60&lt;&gt;"",AA60+Z60+X60+V60+T60,0)</f>
        <v/>
      </c>
      <c r="R60" s="238">
        <f>IF(AJ60&lt;&gt;"",(AB60+AA60+V60+T60)*Info!$L$20,0)</f>
        <v/>
      </c>
      <c r="S60" s="238">
        <f>IF(AJ60&lt;&gt;"",T60*(LOOKUP(Info!$I$18,Rates!$O$2:$O$9,Rates!$L$2:$L$9)/100),0)</f>
        <v/>
      </c>
      <c r="T60" s="238">
        <f>IF(AJ60&lt;&gt;"",IF(Info!$F$14="بله",V60*Rates!$Y$7,0),0)</f>
        <v/>
      </c>
      <c r="U60" s="238">
        <f>IF(AJ60&lt;&gt;"",IF(Info!#REF!="بله",V60*(LOOKUP(Info!$I$18,Rates!$O$2:$O$9,Rates!$L$2:$L$9)/100),V60*(LOOKUP(Info!$F$18,Rates!$O$2:$O$9,Rates!$L$2:$L$9)/100)),0)</f>
        <v/>
      </c>
      <c r="V60" s="239">
        <f>IF(AND(AJ60&lt;&gt;"",AJ60&lt;=Rates!$Y$8,Info!#REF!="بله"),AH60*(LOOKUP(AJ60,Rates!$T$2:$T$108,Rates!#REF!)),IF(AND(AK60&lt;&gt;"",AK60&lt;=Rates!$Y$8,Info!#REF!="خیر"),AH60*(LOOKUP(AK60,Rates!$T$2:$T$108,Rates!#REF!)),0)*(1-Info!$F$29))</f>
        <v/>
      </c>
      <c r="W60" s="239">
        <f>IF(AJ60&lt;&gt;"",X60*LOOKUP(Info!$I$18,Rates!$O$2:$O$9,Rates!$M$2:$M$9)/100,0)</f>
        <v/>
      </c>
      <c r="X60" s="239">
        <f>IF(AJ60&lt;=Rates!$Y$4,0.0008*AF60*Info!$F$12,0)</f>
        <v/>
      </c>
      <c r="Y60" s="239">
        <f>IF(AJ60&lt;&gt;"",Z60*(LOOKUP(Info!$I$18,Rates!$O$2:$O$9,Rates!$N$2:$N$9/100)),0)</f>
        <v/>
      </c>
      <c r="Z60" s="238">
        <f>IF(AND(AJ60&lt;=(Rates!$Y$3),AD60&lt;&gt;""),(1-Info!$I$27)*0.0008*AF60*Info!$I$12,0)</f>
        <v/>
      </c>
      <c r="AA60" s="238">
        <f>IF(AJ60&lt;=60,(LOOKUP(AJ60,Rates!$T$2:$T$108,Rates!#REF!))*AC60/1000000*(1-Info!$I$29),0)</f>
        <v/>
      </c>
      <c r="AB60" s="236">
        <f>IF(AJ60&lt;&gt;"",(AF60*LOOKUP(AJ60,Rates!$T$2:$T$108,Rates!$S$2:$S$108))/SQRT(1+IF(AL60&lt;=10,Rates!$Y$5,Rates!$Y$6)),"")</f>
        <v/>
      </c>
      <c r="AC60" s="240">
        <f>IF(AND(AJ60&lt;&gt;"",AJ60&lt;=Rates!$Y$2),MIN(0.5*AF60,300000000,AC59*(1+Info!$F$10)),"")</f>
        <v/>
      </c>
      <c r="AD60" s="240">
        <f>IF(AND(AJ60&lt;&gt;"",AJ60&lt;=60),AF60*Info!$L$16,"")</f>
        <v/>
      </c>
      <c r="AE60" s="68">
        <f>IF(AND(AJ60&lt;&gt;"",AJ60&lt;=70),AF60*(1+Info!$L$14),"")</f>
        <v/>
      </c>
      <c r="AF60" s="68">
        <f>IF(AJ60&lt;&gt;"",AF59*(1+Info!$F$10),"")</f>
        <v/>
      </c>
      <c r="AG60" s="51">
        <f>IF(AJ60&lt;&gt;"",AI60+AG59,"")</f>
        <v/>
      </c>
      <c r="AH60" s="42">
        <f>IF(AJ60&lt;&gt;"",AI60*Rates!$Y$9,"")</f>
        <v/>
      </c>
      <c r="AI60" s="51">
        <f>IF(AJ60&lt;&gt;"",AI59*(1+Info!$F$8),"")</f>
        <v/>
      </c>
      <c r="AJ60" s="57">
        <f>IF(AL60&lt;&gt;"",Info!$F$6+AL60-1,"")</f>
        <v/>
      </c>
      <c r="AK60" s="66">
        <f>IF(AL60&lt;&gt;"",Info!$C$6+AL60-1,"")</f>
        <v/>
      </c>
      <c r="AL60" s="69">
        <f>IF(AL59&lt;&gt;"",IF(AL59+1&lt;=Info!$I$6,AL59+1,""),"")</f>
        <v/>
      </c>
    </row>
    <row r="61">
      <c r="A61" s="236">
        <f>IF(AJ61&lt;&gt;"",D61+D61*(IF(AL61&gt;4,0.1,LOOKUP(Info!$C$10,Rates!$D$2:$D$4,Rates!$C$2:$C$4))+0.85*(Info!$I$22-(IF(AL61&gt;4,0.1,LOOKUP(Info!$C$10,Rates!$D$2:$D$4,Rates!$C$2:$C$4)))))*LOOKUP(Info!$C$8,Rates!$I$2:$I$7,Rates!$G$2:$G$7)+A60*(1+IF(AL61&gt;4,0.1,LOOKUP(Info!$C$10,Rates!$D$2:$D$4,Rates!$C$2:$C$4))+0.85*(Info!$I$22-IF(AL61&gt;4,0.1,LOOKUP(Info!$C$10,Rates!$D$2:$D$4,Rates!$C$2:$C$4)))),"")</f>
        <v/>
      </c>
      <c r="B61" s="236">
        <f>IF(AJ61&lt;&gt;"",IF(AL61&gt;=8,C61,C61*LOOKUP(AL61,Rates!$AG$2:$AG$8,Rates!$AF$2:$AF$8)),"")</f>
        <v/>
      </c>
      <c r="C61" s="236">
        <f>IF(AJ61&lt;&gt;"",D61*(1+IF(AL61&gt;4,0.1,LOOKUP(Info!$C$10,Rates!$D$2:$D$5,Rates!$B$2:$B$5))*LOOKUP(Info!$C$8,Rates!$I$2:$I$7,Rates!$G$2:$G$7))+C60*(1+IF(AL61&gt;4,0.1,LOOKUP(Info!$C$10,Rates!$D$2:$D$5,Rates!$B$2:$B$5))),"")</f>
        <v/>
      </c>
      <c r="D61" s="236">
        <f>IF(AJ61&lt;&gt;"",AI61-(H61+G61+F61+E61+P61+Q61)+IF(Info!$C$20&gt;0,IF(AND(AL61&lt;=Info!$F$20,AL61&gt;=Info!$I$20),Info!$C$20,0),0),"")</f>
        <v/>
      </c>
      <c r="E61" s="236">
        <f>IF(AJ61&lt;&gt;"",(LOOKUP(Info!$C$22,Rates!$AD$2:$AD$4,Rates!$AC$2:$AC$4))*(H61+P61+Q61),"")</f>
        <v/>
      </c>
      <c r="F61" s="236">
        <f>IF(AJ61&lt;&gt;"",(LOOKUP(Info!$C$22,Rates!$AD$2:$AD$4,Rates!$AA$2:$AA$4))*(H61+P61+Q61),"")</f>
        <v/>
      </c>
      <c r="G61" s="236">
        <f>IF(AJ61&lt;&gt;"",(LOOKUP(Info!$C$22,Rates!$AD$2:$AD$4,Rates!$AB$2:$AB$4))*(H61+P61+Q61),"")</f>
        <v/>
      </c>
      <c r="H61" s="236">
        <f>IF(AJ61&lt;&gt;"",I61+J61+AB61,"")</f>
        <v/>
      </c>
      <c r="I61" s="236">
        <f>IF(AJ61&lt;&gt;"",LOOKUP(Info!$C$8,Rates!$I$2:$I$7,Rates!$H$2:$H$7)*(J61+P61+Q61+AB61),"")</f>
        <v/>
      </c>
      <c r="J61" s="244">
        <f>IF(L61="",0,L61)+IF(N61="",0,N61)+IF(O61="",0,O61)</f>
        <v/>
      </c>
      <c r="K61" s="244">
        <f>M61+0.7*M60+0.7*0.5*M59+0.7*0.25*M58+0.7*0.25*M57</f>
        <v/>
      </c>
      <c r="L61" s="244">
        <f>IF(M61&lt;&gt;"",L60+40/100*M60+M61-17.5/100*M56,0)</f>
        <v/>
      </c>
      <c r="M61" s="244">
        <f>IF(#REF!&lt;&gt;"",(1-Info!$C$25)*IF(MIN(30/1000*$AF$2,0.75*#REF!)=30/1000*AF60,30/1000*(AF61-AF60),0.75*(#REF!-#REF!)),"")</f>
        <v/>
      </c>
      <c r="N61" s="244" t="n">
        <v>0</v>
      </c>
      <c r="O61" s="244">
        <f>IF(AJ61&lt;&gt;"",0.07*AI61*(1-Info!$F$25),0)</f>
        <v/>
      </c>
      <c r="P61" s="238">
        <f>IF(AJ61&lt;&gt;"",Y61+W61+U61+S61+R61,0)</f>
        <v/>
      </c>
      <c r="Q61" s="238">
        <f>IF(AJ61&lt;&gt;"",AA61+Z61+X61+V61+T61,0)</f>
        <v/>
      </c>
      <c r="R61" s="238">
        <f>IF(AJ61&lt;&gt;"",(AB61+AA61+V61+T61)*Info!$L$20,0)</f>
        <v/>
      </c>
      <c r="S61" s="238">
        <f>IF(AJ61&lt;&gt;"",T61*(LOOKUP(Info!$I$18,Rates!$O$2:$O$9,Rates!$L$2:$L$9)/100),0)</f>
        <v/>
      </c>
      <c r="T61" s="238">
        <f>IF(AJ61&lt;&gt;"",IF(Info!$F$14="بله",V61*Rates!$Y$7,0),0)</f>
        <v/>
      </c>
      <c r="U61" s="238">
        <f>IF(AJ61&lt;&gt;"",IF(Info!#REF!="بله",V61*(LOOKUP(Info!$I$18,Rates!$O$2:$O$9,Rates!$L$2:$L$9)/100),V61*(LOOKUP(Info!$F$18,Rates!$O$2:$O$9,Rates!$L$2:$L$9)/100)),0)</f>
        <v/>
      </c>
      <c r="V61" s="239">
        <f>IF(AND(AJ61&lt;&gt;"",AJ61&lt;=Rates!$Y$8,Info!#REF!="بله"),AH61*(LOOKUP(AJ61,Rates!$T$2:$T$108,Rates!#REF!)),IF(AND(AK61&lt;&gt;"",AK61&lt;=Rates!$Y$8,Info!#REF!="خیر"),AH61*(LOOKUP(AK61,Rates!$T$2:$T$108,Rates!#REF!)),0)*(1-Info!$F$29))</f>
        <v/>
      </c>
      <c r="W61" s="239">
        <f>IF(AJ61&lt;&gt;"",X61*LOOKUP(Info!$I$18,Rates!$O$2:$O$9,Rates!$M$2:$M$9)/100,0)</f>
        <v/>
      </c>
      <c r="X61" s="239">
        <f>IF(AJ61&lt;=Rates!$Y$4,0.0008*AF61*Info!$F$12,0)</f>
        <v/>
      </c>
      <c r="Y61" s="239">
        <f>IF(AJ61&lt;&gt;"",Z61*(LOOKUP(Info!$I$18,Rates!$O$2:$O$9,Rates!$N$2:$N$9/100)),0)</f>
        <v/>
      </c>
      <c r="Z61" s="238">
        <f>IF(AND(AJ61&lt;=(Rates!$Y$3),AD61&lt;&gt;""),(1-Info!$I$27)*0.0008*AF61*Info!$I$12,0)</f>
        <v/>
      </c>
      <c r="AA61" s="238">
        <f>IF(AJ61&lt;=60,(LOOKUP(AJ61,Rates!$T$2:$T$108,Rates!#REF!))*AC61/1000000*(1-Info!$I$29),0)</f>
        <v/>
      </c>
      <c r="AB61" s="236">
        <f>IF(AJ61&lt;&gt;"",(AF61*LOOKUP(AJ61,Rates!$T$2:$T$108,Rates!$S$2:$S$108))/SQRT(1+IF(AL61&lt;=10,Rates!$Y$5,Rates!$Y$6)),"")</f>
        <v/>
      </c>
      <c r="AC61" s="240">
        <f>IF(AND(AJ61&lt;&gt;"",AJ61&lt;=Rates!$Y$2),MIN(0.5*AF61,300000000,AC60*(1+Info!$F$10)),"")</f>
        <v/>
      </c>
      <c r="AD61" s="240">
        <f>IF(AND(AJ61&lt;&gt;"",AJ61&lt;=60),AF61*Info!$L$16,"")</f>
        <v/>
      </c>
      <c r="AE61" s="68">
        <f>IF(AND(AJ61&lt;&gt;"",AJ61&lt;=70),AF61*(1+Info!$L$14),"")</f>
        <v/>
      </c>
      <c r="AF61" s="68">
        <f>IF(AJ61&lt;&gt;"",AF60*(1+Info!$F$10),"")</f>
        <v/>
      </c>
      <c r="AG61" s="51">
        <f>IF(AJ61&lt;&gt;"",AI61+AG60,"")</f>
        <v/>
      </c>
      <c r="AH61" s="42">
        <f>IF(AJ61&lt;&gt;"",AI61*Rates!$Y$9,"")</f>
        <v/>
      </c>
      <c r="AI61" s="51">
        <f>IF(AJ61&lt;&gt;"",AI60*(1+Info!$F$8),"")</f>
        <v/>
      </c>
      <c r="AJ61" s="57">
        <f>IF(AL61&lt;&gt;"",Info!$F$6+AL61-1,"")</f>
        <v/>
      </c>
      <c r="AK61" s="66">
        <f>IF(AL61&lt;&gt;"",Info!$C$6+AL61-1,"")</f>
        <v/>
      </c>
      <c r="AL61" s="69">
        <f>IF(AL60&lt;&gt;"",IF(AL60+1&lt;=Info!$I$6,AL60+1,""),"")</f>
        <v/>
      </c>
    </row>
    <row r="62">
      <c r="A62" s="236">
        <f>IF(AJ62&lt;&gt;"",D62+D62*(IF(AL62&gt;4,0.1,LOOKUP(Info!$C$10,Rates!$D$2:$D$4,Rates!$C$2:$C$4))+0.85*(Info!$I$22-(IF(AL62&gt;4,0.1,LOOKUP(Info!$C$10,Rates!$D$2:$D$4,Rates!$C$2:$C$4)))))*LOOKUP(Info!$C$8,Rates!$I$2:$I$7,Rates!$G$2:$G$7)+A61*(1+IF(AL62&gt;4,0.1,LOOKUP(Info!$C$10,Rates!$D$2:$D$4,Rates!$C$2:$C$4))+0.85*(Info!$I$22-IF(AL62&gt;4,0.1,LOOKUP(Info!$C$10,Rates!$D$2:$D$4,Rates!$C$2:$C$4)))),"")</f>
        <v/>
      </c>
      <c r="B62" s="236">
        <f>IF(AJ62&lt;&gt;"",IF(AL62&gt;=8,C62,C62*LOOKUP(AL62,Rates!$AG$2:$AG$8,Rates!$AF$2:$AF$8)),"")</f>
        <v/>
      </c>
      <c r="C62" s="236">
        <f>IF(AJ62&lt;&gt;"",D62*(1+IF(AL62&gt;4,0.1,LOOKUP(Info!$C$10,Rates!$D$2:$D$5,Rates!$B$2:$B$5))*LOOKUP(Info!$C$8,Rates!$I$2:$I$7,Rates!$G$2:$G$7))+C61*(1+IF(AL62&gt;4,0.1,LOOKUP(Info!$C$10,Rates!$D$2:$D$5,Rates!$B$2:$B$5))),"")</f>
        <v/>
      </c>
      <c r="D62" s="236">
        <f>IF(AJ62&lt;&gt;"",AI62-(H62+G62+F62+E62+P62+Q62)+IF(Info!$C$20&gt;0,IF(AND(AL62&lt;=Info!$F$20,AL62&gt;=Info!$I$20),Info!$C$20,0),0),"")</f>
        <v/>
      </c>
      <c r="E62" s="236">
        <f>IF(AJ62&lt;&gt;"",(LOOKUP(Info!$C$22,Rates!$AD$2:$AD$4,Rates!$AC$2:$AC$4))*(H62+P62+Q62),"")</f>
        <v/>
      </c>
      <c r="F62" s="236">
        <f>IF(AJ62&lt;&gt;"",(LOOKUP(Info!$C$22,Rates!$AD$2:$AD$4,Rates!$AA$2:$AA$4))*(H62+P62+Q62),"")</f>
        <v/>
      </c>
      <c r="G62" s="236">
        <f>IF(AJ62&lt;&gt;"",(LOOKUP(Info!$C$22,Rates!$AD$2:$AD$4,Rates!$AB$2:$AB$4))*(H62+P62+Q62),"")</f>
        <v/>
      </c>
      <c r="H62" s="236">
        <f>IF(AJ62&lt;&gt;"",I62+J62+AB62,"")</f>
        <v/>
      </c>
      <c r="I62" s="236">
        <f>IF(AJ62&lt;&gt;"",LOOKUP(Info!$C$8,Rates!$I$2:$I$7,Rates!$H$2:$H$7)*(J62+P62+Q62+AB62),"")</f>
        <v/>
      </c>
      <c r="J62" s="244">
        <f>IF(L62="",0,L62)+IF(N62="",0,N62)+IF(O62="",0,O62)</f>
        <v/>
      </c>
      <c r="K62" s="244">
        <f>M62+0.7*M61+0.7*0.5*M60+0.7*0.25*M59+0.7*0.25*M58</f>
        <v/>
      </c>
      <c r="L62" s="244">
        <f>IF(M62&lt;&gt;"",L61+40/100*M61+M62-17.5/100*M57,0)</f>
        <v/>
      </c>
      <c r="M62" s="244">
        <f>IF(#REF!&lt;&gt;"",(1-Info!$C$25)*IF(MIN(30/1000*$AF$2,0.75*#REF!)=30/1000*AF61,30/1000*(AF62-AF61),0.75*(#REF!-#REF!)),"")</f>
        <v/>
      </c>
      <c r="N62" s="244" t="n">
        <v>0</v>
      </c>
      <c r="O62" s="244">
        <f>IF(AJ62&lt;&gt;"",0.07*AI62*(1-Info!$F$25),0)</f>
        <v/>
      </c>
      <c r="P62" s="238">
        <f>IF(AJ62&lt;&gt;"",Y62+W62+U62+S62+R62,0)</f>
        <v/>
      </c>
      <c r="Q62" s="238">
        <f>IF(AJ62&lt;&gt;"",AA62+Z62+X62+V62+T62,0)</f>
        <v/>
      </c>
      <c r="R62" s="238">
        <f>IF(AJ62&lt;&gt;"",(AB62+AA62+V62+T62)*Info!$L$20,0)</f>
        <v/>
      </c>
      <c r="S62" s="238">
        <f>IF(AJ62&lt;&gt;"",T62*(LOOKUP(Info!$I$18,Rates!$O$2:$O$9,Rates!$L$2:$L$9)/100),0)</f>
        <v/>
      </c>
      <c r="T62" s="238">
        <f>IF(AJ62&lt;&gt;"",IF(Info!$F$14="بله",V62*Rates!$Y$7,0),0)</f>
        <v/>
      </c>
      <c r="U62" s="238">
        <f>IF(AJ62&lt;&gt;"",IF(Info!#REF!="بله",V62*(LOOKUP(Info!$I$18,Rates!$O$2:$O$9,Rates!$L$2:$L$9)/100),V62*(LOOKUP(Info!$F$18,Rates!$O$2:$O$9,Rates!$L$2:$L$9)/100)),0)</f>
        <v/>
      </c>
      <c r="V62" s="239">
        <f>IF(AND(AJ62&lt;&gt;"",AJ62&lt;=Rates!$Y$8,Info!#REF!="بله"),AH62*(LOOKUP(AJ62,Rates!$T$2:$T$108,Rates!#REF!)),IF(AND(AK62&lt;&gt;"",AK62&lt;=Rates!$Y$8,Info!#REF!="خیر"),AH62*(LOOKUP(AK62,Rates!$T$2:$T$108,Rates!#REF!)),0)*(1-Info!$F$29))</f>
        <v/>
      </c>
      <c r="W62" s="239">
        <f>IF(AJ62&lt;&gt;"",X62*LOOKUP(Info!$I$18,Rates!$O$2:$O$9,Rates!$M$2:$M$9)/100,0)</f>
        <v/>
      </c>
      <c r="X62" s="239">
        <f>IF(AJ62&lt;=Rates!$Y$4,0.0008*AF62*Info!$F$12,0)</f>
        <v/>
      </c>
      <c r="Y62" s="239">
        <f>IF(AJ62&lt;&gt;"",Z62*(LOOKUP(Info!$I$18,Rates!$O$2:$O$9,Rates!$N$2:$N$9/100)),0)</f>
        <v/>
      </c>
      <c r="Z62" s="238">
        <f>IF(AND(AJ62&lt;=(Rates!$Y$3),AD62&lt;&gt;""),(1-Info!$I$27)*0.0008*AF62*Info!$I$12,0)</f>
        <v/>
      </c>
      <c r="AA62" s="238">
        <f>IF(AJ62&lt;=60,(LOOKUP(AJ62,Rates!$T$2:$T$108,Rates!#REF!))*AC62/1000000*(1-Info!$I$29),0)</f>
        <v/>
      </c>
      <c r="AB62" s="236">
        <f>IF(AJ62&lt;&gt;"",(AF62*LOOKUP(AJ62,Rates!$T$2:$T$108,Rates!$S$2:$S$108))/SQRT(1+IF(AL62&lt;=10,Rates!$Y$5,Rates!$Y$6)),"")</f>
        <v/>
      </c>
      <c r="AC62" s="240">
        <f>IF(AND(AJ62&lt;&gt;"",AJ62&lt;=Rates!$Y$2),MIN(0.5*AF62,300000000,AC61*(1+Info!$F$10)),"")</f>
        <v/>
      </c>
      <c r="AD62" s="240">
        <f>IF(AND(AJ62&lt;&gt;"",AJ62&lt;=60),AF62*Info!$L$16,"")</f>
        <v/>
      </c>
      <c r="AE62" s="68">
        <f>IF(AND(AJ62&lt;&gt;"",AJ62&lt;=70),AF62*(1+Info!$L$14),"")</f>
        <v/>
      </c>
      <c r="AF62" s="68">
        <f>IF(AJ62&lt;&gt;"",AF61*(1+Info!$F$10),"")</f>
        <v/>
      </c>
      <c r="AG62" s="51">
        <f>IF(AJ62&lt;&gt;"",AI62+AG61,"")</f>
        <v/>
      </c>
      <c r="AH62" s="42">
        <f>IF(AJ62&lt;&gt;"",AI62*Rates!$Y$9,"")</f>
        <v/>
      </c>
      <c r="AI62" s="51">
        <f>IF(AJ62&lt;&gt;"",AI61*(1+Info!$F$8),"")</f>
        <v/>
      </c>
      <c r="AJ62" s="57">
        <f>IF(AL62&lt;&gt;"",Info!$F$6+AL62-1,"")</f>
        <v/>
      </c>
      <c r="AK62" s="66">
        <f>IF(AL62&lt;&gt;"",Info!$C$6+AL62-1,"")</f>
        <v/>
      </c>
      <c r="AL62" s="69">
        <f>IF(AL61&lt;&gt;"",IF(AL61+1&lt;=Info!$I$6,AL61+1,""),"")</f>
        <v/>
      </c>
    </row>
    <row r="63">
      <c r="A63" s="236">
        <f>IF(AJ63&lt;&gt;"",D63+D63*(IF(AL63&gt;4,0.1,LOOKUP(Info!$C$10,Rates!$D$2:$D$4,Rates!$C$2:$C$4))+0.85*(Info!$I$22-(IF(AL63&gt;4,0.1,LOOKUP(Info!$C$10,Rates!$D$2:$D$4,Rates!$C$2:$C$4)))))*LOOKUP(Info!$C$8,Rates!$I$2:$I$7,Rates!$G$2:$G$7)+A62*(1+IF(AL63&gt;4,0.1,LOOKUP(Info!$C$10,Rates!$D$2:$D$4,Rates!$C$2:$C$4))+0.85*(Info!$I$22-IF(AL63&gt;4,0.1,LOOKUP(Info!$C$10,Rates!$D$2:$D$4,Rates!$C$2:$C$4)))),"")</f>
        <v/>
      </c>
      <c r="B63" s="236">
        <f>IF(AJ63&lt;&gt;"",IF(AL63&gt;=8,C63,C63*LOOKUP(AL63,Rates!$AG$2:$AG$8,Rates!$AF$2:$AF$8)),"")</f>
        <v/>
      </c>
      <c r="C63" s="236">
        <f>IF(AJ63&lt;&gt;"",D63*(1+IF(AL63&gt;4,0.1,LOOKUP(Info!$C$10,Rates!$D$2:$D$5,Rates!$B$2:$B$5))*LOOKUP(Info!$C$8,Rates!$I$2:$I$7,Rates!$G$2:$G$7))+C62*(1+IF(AL63&gt;4,0.1,LOOKUP(Info!$C$10,Rates!$D$2:$D$5,Rates!$B$2:$B$5))),"")</f>
        <v/>
      </c>
      <c r="D63" s="236">
        <f>IF(AJ63&lt;&gt;"",AI63-(H63+G63+F63+E63+P63+Q63)+IF(Info!$C$20&gt;0,IF(AND(AL63&lt;=Info!$F$20,AL63&gt;=Info!$I$20),Info!$C$20,0),0),"")</f>
        <v/>
      </c>
      <c r="E63" s="236">
        <f>IF(AJ63&lt;&gt;"",(LOOKUP(Info!$C$22,Rates!$AD$2:$AD$4,Rates!$AC$2:$AC$4))*(H63+P63+Q63),"")</f>
        <v/>
      </c>
      <c r="F63" s="236">
        <f>IF(AJ63&lt;&gt;"",(LOOKUP(Info!$C$22,Rates!$AD$2:$AD$4,Rates!$AA$2:$AA$4))*(H63+P63+Q63),"")</f>
        <v/>
      </c>
      <c r="G63" s="236">
        <f>IF(AJ63&lt;&gt;"",(LOOKUP(Info!$C$22,Rates!$AD$2:$AD$4,Rates!$AB$2:$AB$4))*(H63+P63+Q63),"")</f>
        <v/>
      </c>
      <c r="H63" s="236">
        <f>IF(AJ63&lt;&gt;"",I63+J63+AB63,"")</f>
        <v/>
      </c>
      <c r="I63" s="236">
        <f>IF(AJ63&lt;&gt;"",LOOKUP(Info!$C$8,Rates!$I$2:$I$7,Rates!$H$2:$H$7)*(J63+P63+Q63+AB63),"")</f>
        <v/>
      </c>
      <c r="J63" s="244">
        <f>IF(L63="",0,L63)+IF(N63="",0,N63)+IF(O63="",0,O63)</f>
        <v/>
      </c>
      <c r="K63" s="244">
        <f>M63+0.7*M62+0.7*0.5*M61+0.7*0.25*M60+0.7*0.25*M59</f>
        <v/>
      </c>
      <c r="L63" s="244">
        <f>IF(M63&lt;&gt;"",L62+40/100*M62+M63-17.5/100*M58,0)</f>
        <v/>
      </c>
      <c r="M63" s="244">
        <f>IF(#REF!&lt;&gt;"",(1-Info!$C$25)*IF(MIN(30/1000*$AF$2,0.75*#REF!)=30/1000*AF62,30/1000*(AF63-AF62),0.75*(#REF!-#REF!)),"")</f>
        <v/>
      </c>
      <c r="N63" s="244" t="n">
        <v>0</v>
      </c>
      <c r="O63" s="244">
        <f>IF(AJ63&lt;&gt;"",0.07*AI63*(1-Info!$F$25),0)</f>
        <v/>
      </c>
      <c r="P63" s="238">
        <f>IF(AJ63&lt;&gt;"",Y63+W63+U63+S63+R63,0)</f>
        <v/>
      </c>
      <c r="Q63" s="238">
        <f>IF(AJ63&lt;&gt;"",AA63+Z63+X63+V63+T63,0)</f>
        <v/>
      </c>
      <c r="R63" s="238">
        <f>IF(AJ63&lt;&gt;"",(AB63+AA63+V63+T63)*Info!$L$20,0)</f>
        <v/>
      </c>
      <c r="S63" s="238">
        <f>IF(AJ63&lt;&gt;"",T63*(LOOKUP(Info!$I$18,Rates!$O$2:$O$9,Rates!$L$2:$L$9)/100),0)</f>
        <v/>
      </c>
      <c r="T63" s="238">
        <f>IF(AJ63&lt;&gt;"",IF(Info!$F$14="بله",V63*Rates!$Y$7,0),0)</f>
        <v/>
      </c>
      <c r="U63" s="238">
        <f>IF(AJ63&lt;&gt;"",IF(Info!#REF!="بله",V63*(LOOKUP(Info!$I$18,Rates!$O$2:$O$9,Rates!$L$2:$L$9)/100),V63*(LOOKUP(Info!$F$18,Rates!$O$2:$O$9,Rates!$L$2:$L$9)/100)),0)</f>
        <v/>
      </c>
      <c r="V63" s="239">
        <f>IF(AND(AJ63&lt;&gt;"",AJ63&lt;=Rates!$Y$8,Info!#REF!="بله"),AH63*(LOOKUP(AJ63,Rates!$T$2:$T$108,Rates!#REF!)),IF(AND(AK63&lt;&gt;"",AK63&lt;=Rates!$Y$8,Info!#REF!="خیر"),AH63*(LOOKUP(AK63,Rates!$T$2:$T$108,Rates!#REF!)),0)*(1-Info!$F$29))</f>
        <v/>
      </c>
      <c r="W63" s="239">
        <f>IF(AJ63&lt;&gt;"",X63*LOOKUP(Info!$I$18,Rates!$O$2:$O$9,Rates!$M$2:$M$9)/100,0)</f>
        <v/>
      </c>
      <c r="X63" s="239">
        <f>IF(AJ63&lt;=Rates!$Y$4,0.0008*AF63*Info!$F$12,0)</f>
        <v/>
      </c>
      <c r="Y63" s="239">
        <f>IF(AJ63&lt;&gt;"",Z63*(LOOKUP(Info!$I$18,Rates!$O$2:$O$9,Rates!$N$2:$N$9/100)),0)</f>
        <v/>
      </c>
      <c r="Z63" s="238">
        <f>IF(AND(AJ63&lt;=(Rates!$Y$3),AD63&lt;&gt;""),(1-Info!$I$27)*0.0008*AF63*Info!$I$12,0)</f>
        <v/>
      </c>
      <c r="AA63" s="238">
        <f>IF(AJ63&lt;=60,(LOOKUP(AJ63,Rates!$T$2:$T$108,Rates!#REF!))*AC63/1000000*(1-Info!$I$29),0)</f>
        <v/>
      </c>
      <c r="AB63" s="236">
        <f>IF(AJ63&lt;&gt;"",(AF63*LOOKUP(AJ63,Rates!$T$2:$T$108,Rates!$S$2:$S$108))/SQRT(1+IF(AL63&lt;=10,Rates!$Y$5,Rates!$Y$6)),"")</f>
        <v/>
      </c>
      <c r="AC63" s="240">
        <f>IF(AND(AJ63&lt;&gt;"",AJ63&lt;=Rates!$Y$2),MIN(0.5*AF63,300000000,AC62*(1+Info!$F$10)),"")</f>
        <v/>
      </c>
      <c r="AD63" s="240">
        <f>IF(AND(AJ63&lt;&gt;"",AJ63&lt;=60),AF63*Info!$L$16,"")</f>
        <v/>
      </c>
      <c r="AE63" s="68">
        <f>IF(AND(AJ63&lt;&gt;"",AJ63&lt;=70),AF63*(1+Info!$L$14),"")</f>
        <v/>
      </c>
      <c r="AF63" s="68">
        <f>IF(AJ63&lt;&gt;"",AF62*(1+Info!$F$10),"")</f>
        <v/>
      </c>
      <c r="AG63" s="51">
        <f>IF(AJ63&lt;&gt;"",AI63+AG62,"")</f>
        <v/>
      </c>
      <c r="AH63" s="42">
        <f>IF(AJ63&lt;&gt;"",AI63*Rates!$Y$9,"")</f>
        <v/>
      </c>
      <c r="AI63" s="51">
        <f>IF(AJ63&lt;&gt;"",AI62*(1+Info!$F$8),"")</f>
        <v/>
      </c>
      <c r="AJ63" s="57">
        <f>IF(AL63&lt;&gt;"",Info!$F$6+AL63-1,"")</f>
        <v/>
      </c>
      <c r="AK63" s="66">
        <f>IF(AL63&lt;&gt;"",Info!$C$6+AL63-1,"")</f>
        <v/>
      </c>
      <c r="AL63" s="69">
        <f>IF(AL62&lt;&gt;"",IF(AL62+1&lt;=Info!$I$6,AL62+1,""),"")</f>
        <v/>
      </c>
    </row>
    <row r="64">
      <c r="A64" s="236">
        <f>IF(AJ64&lt;&gt;"",D64+D64*(IF(AL64&gt;4,0.1,LOOKUP(Info!$C$10,Rates!$D$2:$D$4,Rates!$C$2:$C$4))+0.85*(Info!$I$22-(IF(AL64&gt;4,0.1,LOOKUP(Info!$C$10,Rates!$D$2:$D$4,Rates!$C$2:$C$4)))))*LOOKUP(Info!$C$8,Rates!$I$2:$I$7,Rates!$G$2:$G$7)+A63*(1+IF(AL64&gt;4,0.1,LOOKUP(Info!$C$10,Rates!$D$2:$D$4,Rates!$C$2:$C$4))+0.85*(Info!$I$22-IF(AL64&gt;4,0.1,LOOKUP(Info!$C$10,Rates!$D$2:$D$4,Rates!$C$2:$C$4)))),"")</f>
        <v/>
      </c>
      <c r="B64" s="236">
        <f>IF(AJ64&lt;&gt;"",IF(AL64&gt;=8,C64,C64*LOOKUP(AL64,Rates!$AG$2:$AG$8,Rates!$AF$2:$AF$8)),"")</f>
        <v/>
      </c>
      <c r="C64" s="236">
        <f>IF(AJ64&lt;&gt;"",D64*(1+IF(AL64&gt;4,0.1,LOOKUP(Info!$C$10,Rates!$D$2:$D$5,Rates!$B$2:$B$5))*LOOKUP(Info!$C$8,Rates!$I$2:$I$7,Rates!$G$2:$G$7))+C63*(1+IF(AL64&gt;4,0.1,LOOKUP(Info!$C$10,Rates!$D$2:$D$5,Rates!$B$2:$B$5))),"")</f>
        <v/>
      </c>
      <c r="D64" s="236">
        <f>IF(AJ64&lt;&gt;"",AI64-(H64+G64+F64+E64+P64+Q64)+IF(Info!$C$20&gt;0,IF(AND(AL64&lt;=Info!$F$20,AL64&gt;=Info!$I$20),Info!$C$20,0),0),"")</f>
        <v/>
      </c>
      <c r="E64" s="236">
        <f>IF(AJ64&lt;&gt;"",(LOOKUP(Info!$C$22,Rates!$AD$2:$AD$4,Rates!$AC$2:$AC$4))*(H64+P64+Q64),"")</f>
        <v/>
      </c>
      <c r="F64" s="236">
        <f>IF(AJ64&lt;&gt;"",(LOOKUP(Info!$C$22,Rates!$AD$2:$AD$4,Rates!$AA$2:$AA$4))*(H64+P64+Q64),"")</f>
        <v/>
      </c>
      <c r="G64" s="236">
        <f>IF(AJ64&lt;&gt;"",(LOOKUP(Info!$C$22,Rates!$AD$2:$AD$4,Rates!$AB$2:$AB$4))*(H64+P64+Q64),"")</f>
        <v/>
      </c>
      <c r="H64" s="236">
        <f>IF(AJ64&lt;&gt;"",I64+J64+AB64,"")</f>
        <v/>
      </c>
      <c r="I64" s="236">
        <f>IF(AJ64&lt;&gt;"",LOOKUP(Info!$C$8,Rates!$I$2:$I$7,Rates!$H$2:$H$7)*(J64+P64+Q64+AB64),"")</f>
        <v/>
      </c>
      <c r="J64" s="244">
        <f>IF(L64="",0,L64)+IF(N64="",0,N64)+IF(O64="",0,O64)</f>
        <v/>
      </c>
      <c r="K64" s="244">
        <f>M64+0.7*M63+0.7*0.5*M62+0.7*0.25*M61+0.7*0.25*M60</f>
        <v/>
      </c>
      <c r="L64" s="244">
        <f>IF(M64&lt;&gt;"",L63+40/100*M63+M64-17.5/100*M59,0)</f>
        <v/>
      </c>
      <c r="M64" s="244">
        <f>IF(#REF!&lt;&gt;"",(1-Info!$C$25)*IF(MIN(30/1000*$AF$2,0.75*#REF!)=30/1000*AF63,30/1000*(AF64-AF63),0.75*(#REF!-#REF!)),"")</f>
        <v/>
      </c>
      <c r="N64" s="244" t="n">
        <v>0</v>
      </c>
      <c r="O64" s="244">
        <f>IF(AJ64&lt;&gt;"",0.07*AI64*(1-Info!$F$25),0)</f>
        <v/>
      </c>
      <c r="P64" s="238">
        <f>IF(AJ64&lt;&gt;"",Y64+W64+U64+S64+R64,0)</f>
        <v/>
      </c>
      <c r="Q64" s="238">
        <f>IF(AJ64&lt;&gt;"",AA64+Z64+X64+V64+T64,0)</f>
        <v/>
      </c>
      <c r="R64" s="238">
        <f>IF(AJ64&lt;&gt;"",(AB64+AA64+V64+T64)*Info!$L$20,0)</f>
        <v/>
      </c>
      <c r="S64" s="238">
        <f>IF(AJ64&lt;&gt;"",T64*(LOOKUP(Info!$I$18,Rates!$O$2:$O$9,Rates!$L$2:$L$9)/100),0)</f>
        <v/>
      </c>
      <c r="T64" s="238">
        <f>IF(AJ64&lt;&gt;"",IF(Info!$F$14="بله",V64*Rates!$Y$7,0),0)</f>
        <v/>
      </c>
      <c r="U64" s="238">
        <f>IF(AJ64&lt;&gt;"",IF(Info!#REF!="بله",V64*(LOOKUP(Info!$I$18,Rates!$O$2:$O$9,Rates!$L$2:$L$9)/100),V64*(LOOKUP(Info!$F$18,Rates!$O$2:$O$9,Rates!$L$2:$L$9)/100)),0)</f>
        <v/>
      </c>
      <c r="V64" s="239">
        <f>IF(AND(AJ64&lt;&gt;"",AJ64&lt;=Rates!$Y$8,Info!#REF!="بله"),AH64*(LOOKUP(AJ64,Rates!$T$2:$T$108,Rates!#REF!)),IF(AND(AK64&lt;&gt;"",AK64&lt;=Rates!$Y$8,Info!#REF!="خیر"),AH64*(LOOKUP(AK64,Rates!$T$2:$T$108,Rates!#REF!)),0)*(1-Info!$F$29))</f>
        <v/>
      </c>
      <c r="W64" s="239">
        <f>IF(AJ64&lt;&gt;"",X64*LOOKUP(Info!$I$18,Rates!$O$2:$O$9,Rates!$M$2:$M$9)/100,0)</f>
        <v/>
      </c>
      <c r="X64" s="239">
        <f>IF(AJ64&lt;=Rates!$Y$4,0.0008*AF64*Info!$F$12,0)</f>
        <v/>
      </c>
      <c r="Y64" s="239">
        <f>IF(AJ64&lt;&gt;"",Z64*(LOOKUP(Info!$I$18,Rates!$O$2:$O$9,Rates!$N$2:$N$9/100)),0)</f>
        <v/>
      </c>
      <c r="Z64" s="238">
        <f>IF(AND(AJ64&lt;=(Rates!$Y$3),AD64&lt;&gt;""),(1-Info!$I$27)*0.0008*AF64*Info!$I$12,0)</f>
        <v/>
      </c>
      <c r="AA64" s="238">
        <f>IF(AJ64&lt;=60,(LOOKUP(AJ64,Rates!$T$2:$T$108,Rates!#REF!))*AC64/1000000*(1-Info!$I$29),0)</f>
        <v/>
      </c>
      <c r="AB64" s="236">
        <f>IF(AJ64&lt;&gt;"",(AF64*LOOKUP(AJ64,Rates!$T$2:$T$108,Rates!$S$2:$S$108))/SQRT(1+IF(AL64&lt;=10,Rates!$Y$5,Rates!$Y$6)),"")</f>
        <v/>
      </c>
      <c r="AC64" s="240">
        <f>IF(AND(AJ64&lt;&gt;"",AJ64&lt;=Rates!$Y$2),MIN(0.5*AF64,300000000,AC63*(1+Info!$F$10)),"")</f>
        <v/>
      </c>
      <c r="AD64" s="240">
        <f>IF(AND(AJ64&lt;&gt;"",AJ64&lt;=60),AF64*Info!$L$16,"")</f>
        <v/>
      </c>
      <c r="AE64" s="68">
        <f>IF(AND(AJ64&lt;&gt;"",AJ64&lt;=70),AF64*(1+Info!$L$14),"")</f>
        <v/>
      </c>
      <c r="AF64" s="68">
        <f>IF(AJ64&lt;&gt;"",AF63*(1+Info!$F$10),"")</f>
        <v/>
      </c>
      <c r="AG64" s="51">
        <f>IF(AJ64&lt;&gt;"",AI64+AG63,"")</f>
        <v/>
      </c>
      <c r="AH64" s="42">
        <f>IF(AJ64&lt;&gt;"",AI64*Rates!$Y$9,"")</f>
        <v/>
      </c>
      <c r="AI64" s="51">
        <f>IF(AJ64&lt;&gt;"",AI63*(1+Info!$F$8),"")</f>
        <v/>
      </c>
      <c r="AJ64" s="57">
        <f>IF(AL64&lt;&gt;"",Info!$F$6+AL64-1,"")</f>
        <v/>
      </c>
      <c r="AK64" s="66">
        <f>IF(AL64&lt;&gt;"",Info!$C$6+AL64-1,"")</f>
        <v/>
      </c>
      <c r="AL64" s="69">
        <f>IF(AL63&lt;&gt;"",IF(AL63+1&lt;=Info!$I$6,AL63+1,""),"")</f>
        <v/>
      </c>
    </row>
    <row r="65">
      <c r="A65" s="236">
        <f>IF(AJ65&lt;&gt;"",D65+D65*(IF(AL65&gt;4,0.1,LOOKUP(Info!$C$10,Rates!$D$2:$D$4,Rates!$C$2:$C$4))+0.85*(Info!$I$22-(IF(AL65&gt;4,0.1,LOOKUP(Info!$C$10,Rates!$D$2:$D$4,Rates!$C$2:$C$4)))))*LOOKUP(Info!$C$8,Rates!$I$2:$I$7,Rates!$G$2:$G$7)+A64*(1+IF(AL65&gt;4,0.1,LOOKUP(Info!$C$10,Rates!$D$2:$D$4,Rates!$C$2:$C$4))+0.85*(Info!$I$22-IF(AL65&gt;4,0.1,LOOKUP(Info!$C$10,Rates!$D$2:$D$4,Rates!$C$2:$C$4)))),"")</f>
        <v/>
      </c>
      <c r="B65" s="236">
        <f>IF(AJ65&lt;&gt;"",IF(AL65&gt;=8,C65,C65*LOOKUP(AL65,Rates!$AG$2:$AG$8,Rates!$AF$2:$AF$8)),"")</f>
        <v/>
      </c>
      <c r="C65" s="236">
        <f>IF(AJ65&lt;&gt;"",D65*(1+IF(AL65&gt;4,0.1,LOOKUP(Info!$C$10,Rates!$D$2:$D$5,Rates!$B$2:$B$5))*LOOKUP(Info!$C$8,Rates!$I$2:$I$7,Rates!$G$2:$G$7))+C64*(1+IF(AL65&gt;4,0.1,LOOKUP(Info!$C$10,Rates!$D$2:$D$5,Rates!$B$2:$B$5))),"")</f>
        <v/>
      </c>
      <c r="D65" s="236">
        <f>IF(AJ65&lt;&gt;"",AI65-(H65+G65+F65+E65+P65+Q65)+IF(Info!$C$20&gt;0,IF(AND(AL65&lt;=Info!$F$20,AL65&gt;=Info!$I$20),Info!$C$20,0),0),"")</f>
        <v/>
      </c>
      <c r="E65" s="236">
        <f>IF(AJ65&lt;&gt;"",(LOOKUP(Info!$C$22,Rates!$AD$2:$AD$4,Rates!$AC$2:$AC$4))*(H65+P65+Q65),"")</f>
        <v/>
      </c>
      <c r="F65" s="236">
        <f>IF(AJ65&lt;&gt;"",(LOOKUP(Info!$C$22,Rates!$AD$2:$AD$4,Rates!$AA$2:$AA$4))*(H65+P65+Q65),"")</f>
        <v/>
      </c>
      <c r="G65" s="236">
        <f>IF(AJ65&lt;&gt;"",(LOOKUP(Info!$C$22,Rates!$AD$2:$AD$4,Rates!$AB$2:$AB$4))*(H65+P65+Q65),"")</f>
        <v/>
      </c>
      <c r="H65" s="236">
        <f>IF(AJ65&lt;&gt;"",I65+J65+AB65,"")</f>
        <v/>
      </c>
      <c r="I65" s="236">
        <f>IF(AJ65&lt;&gt;"",LOOKUP(Info!$C$8,Rates!$I$2:$I$7,Rates!$H$2:$H$7)*(J65+P65+Q65+AB65),"")</f>
        <v/>
      </c>
      <c r="J65" s="244">
        <f>IF(L65="",0,L65)+IF(N65="",0,N65)+IF(O65="",0,O65)</f>
        <v/>
      </c>
      <c r="K65" s="244">
        <f>M65+0.7*M64+0.7*0.5*M63+0.7*0.25*M62+0.7*0.25*M61</f>
        <v/>
      </c>
      <c r="L65" s="244">
        <f>IF(M65&lt;&gt;"",L64+40/100*M64+M65-17.5/100*M60,0)</f>
        <v/>
      </c>
      <c r="M65" s="244">
        <f>IF(#REF!&lt;&gt;"",(1-Info!$C$25)*IF(MIN(30/1000*$AF$2,0.75*#REF!)=30/1000*AF64,30/1000*(AF65-AF64),0.75*(#REF!-#REF!)),"")</f>
        <v/>
      </c>
      <c r="N65" s="244" t="n">
        <v>0</v>
      </c>
      <c r="O65" s="244">
        <f>IF(AJ65&lt;&gt;"",0.07*AI65*(1-Info!$F$25),0)</f>
        <v/>
      </c>
      <c r="P65" s="238">
        <f>IF(AJ65&lt;&gt;"",Y65+W65+U65+S65+R65,0)</f>
        <v/>
      </c>
      <c r="Q65" s="238">
        <f>IF(AJ65&lt;&gt;"",AA65+Z65+X65+V65+T65,0)</f>
        <v/>
      </c>
      <c r="R65" s="238">
        <f>IF(AJ65&lt;&gt;"",(AB65+AA65+V65+T65)*Info!$L$20,0)</f>
        <v/>
      </c>
      <c r="S65" s="238">
        <f>IF(AJ65&lt;&gt;"",T65*(LOOKUP(Info!$I$18,Rates!$O$2:$O$9,Rates!$L$2:$L$9)/100),0)</f>
        <v/>
      </c>
      <c r="T65" s="238">
        <f>IF(AJ65&lt;&gt;"",IF(Info!$F$14="بله",V65*Rates!$Y$7,0),0)</f>
        <v/>
      </c>
      <c r="U65" s="238">
        <f>IF(AJ65&lt;&gt;"",IF(Info!#REF!="بله",V65*(LOOKUP(Info!$I$18,Rates!$O$2:$O$9,Rates!$L$2:$L$9)/100),V65*(LOOKUP(Info!$F$18,Rates!$O$2:$O$9,Rates!$L$2:$L$9)/100)),0)</f>
        <v/>
      </c>
      <c r="V65" s="239">
        <f>IF(AND(AJ65&lt;&gt;"",AJ65&lt;=Rates!$Y$8,Info!#REF!="بله"),AH65*(LOOKUP(AJ65,Rates!$T$2:$T$108,Rates!#REF!)),IF(AND(AK65&lt;&gt;"",AK65&lt;=Rates!$Y$8,Info!#REF!="خیر"),AH65*(LOOKUP(AK65,Rates!$T$2:$T$108,Rates!#REF!)),0)*(1-Info!$F$29))</f>
        <v/>
      </c>
      <c r="W65" s="239">
        <f>IF(AJ65&lt;&gt;"",X65*LOOKUP(Info!$I$18,Rates!$O$2:$O$9,Rates!$M$2:$M$9)/100,0)</f>
        <v/>
      </c>
      <c r="X65" s="239">
        <f>IF(AJ65&lt;=Rates!$Y$4,0.0008*AF65*Info!$F$12,0)</f>
        <v/>
      </c>
      <c r="Y65" s="239">
        <f>IF(AJ65&lt;&gt;"",Z65*(LOOKUP(Info!$I$18,Rates!$O$2:$O$9,Rates!$N$2:$N$9/100)),0)</f>
        <v/>
      </c>
      <c r="Z65" s="238">
        <f>IF(AND(AJ65&lt;=(Rates!$Y$3),AD65&lt;&gt;""),(1-Info!$I$27)*0.0008*AF65*Info!$I$12,0)</f>
        <v/>
      </c>
      <c r="AA65" s="238">
        <f>IF(AJ65&lt;=60,(LOOKUP(AJ65,Rates!$T$2:$T$108,Rates!#REF!))*AC65/1000000*(1-Info!$I$29),0)</f>
        <v/>
      </c>
      <c r="AB65" s="236">
        <f>IF(AJ65&lt;&gt;"",(AF65*LOOKUP(AJ65,Rates!$T$2:$T$108,Rates!$S$2:$S$108))/SQRT(1+IF(AL65&lt;=10,Rates!$Y$5,Rates!$Y$6)),"")</f>
        <v/>
      </c>
      <c r="AC65" s="240">
        <f>IF(AND(AJ65&lt;&gt;"",AJ65&lt;=Rates!$Y$2),MIN(0.5*AF65,300000000,AC64*(1+Info!$F$10)),"")</f>
        <v/>
      </c>
      <c r="AD65" s="240">
        <f>IF(AND(AJ65&lt;&gt;"",AJ65&lt;=60),AF65*Info!$L$16,"")</f>
        <v/>
      </c>
      <c r="AE65" s="68">
        <f>IF(AND(AJ65&lt;&gt;"",AJ65&lt;=70),AF65*(1+Info!$L$14),"")</f>
        <v/>
      </c>
      <c r="AF65" s="68">
        <f>IF(AJ65&lt;&gt;"",AF64*(1+Info!$F$10),"")</f>
        <v/>
      </c>
      <c r="AG65" s="51">
        <f>IF(AJ65&lt;&gt;"",AI65+AG64,"")</f>
        <v/>
      </c>
      <c r="AH65" s="42">
        <f>IF(AJ65&lt;&gt;"",AI65*Rates!$Y$9,"")</f>
        <v/>
      </c>
      <c r="AI65" s="51">
        <f>IF(AJ65&lt;&gt;"",AI64*(1+Info!$F$8),"")</f>
        <v/>
      </c>
      <c r="AJ65" s="57">
        <f>IF(AL65&lt;&gt;"",Info!$F$6+AL65-1,"")</f>
        <v/>
      </c>
      <c r="AK65" s="66">
        <f>IF(AL65&lt;&gt;"",Info!$C$6+AL65-1,"")</f>
        <v/>
      </c>
      <c r="AL65" s="69">
        <f>IF(AL64&lt;&gt;"",IF(AL64+1&lt;=Info!$I$6,AL64+1,""),"")</f>
        <v/>
      </c>
    </row>
    <row r="66">
      <c r="A66" s="236">
        <f>IF(AJ66&lt;&gt;"",D66+D66*(IF(AL66&gt;4,0.1,LOOKUP(Info!$C$10,Rates!$D$2:$D$4,Rates!$C$2:$C$4))+0.85*(Info!$I$22-(IF(AL66&gt;4,0.1,LOOKUP(Info!$C$10,Rates!$D$2:$D$4,Rates!$C$2:$C$4)))))*LOOKUP(Info!$C$8,Rates!$I$2:$I$7,Rates!$G$2:$G$7)+A65*(1+IF(AL66&gt;4,0.1,LOOKUP(Info!$C$10,Rates!$D$2:$D$4,Rates!$C$2:$C$4))+0.85*(Info!$I$22-IF(AL66&gt;4,0.1,LOOKUP(Info!$C$10,Rates!$D$2:$D$4,Rates!$C$2:$C$4)))),"")</f>
        <v/>
      </c>
      <c r="B66" s="236">
        <f>IF(AJ66&lt;&gt;"",IF(AL66&gt;=8,C66,C66*LOOKUP(AL66,Rates!$AG$2:$AG$8,Rates!$AF$2:$AF$8)),"")</f>
        <v/>
      </c>
      <c r="C66" s="236">
        <f>IF(AJ66&lt;&gt;"",D66*(1+IF(AL66&gt;4,0.1,LOOKUP(Info!$C$10,Rates!$D$2:$D$5,Rates!$B$2:$B$5))*LOOKUP(Info!$C$8,Rates!$I$2:$I$7,Rates!$G$2:$G$7))+C65*(1+IF(AL66&gt;4,0.1,LOOKUP(Info!$C$10,Rates!$D$2:$D$5,Rates!$B$2:$B$5))),"")</f>
        <v/>
      </c>
      <c r="D66" s="236">
        <f>IF(AJ66&lt;&gt;"",AI66-(H66+G66+F66+E66+P66+Q66)+IF(Info!$C$20&gt;0,IF(AND(AL66&lt;=Info!$F$20,AL66&gt;=Info!$I$20),Info!$C$20,0),0),"")</f>
        <v/>
      </c>
      <c r="E66" s="236">
        <f>IF(AJ66&lt;&gt;"",(LOOKUP(Info!$C$22,Rates!$AD$2:$AD$4,Rates!$AC$2:$AC$4))*(H66+P66+Q66),"")</f>
        <v/>
      </c>
      <c r="F66" s="236">
        <f>IF(AJ66&lt;&gt;"",(LOOKUP(Info!$C$22,Rates!$AD$2:$AD$4,Rates!$AA$2:$AA$4))*(H66+P66+Q66),"")</f>
        <v/>
      </c>
      <c r="G66" s="236">
        <f>IF(AJ66&lt;&gt;"",(LOOKUP(Info!$C$22,Rates!$AD$2:$AD$4,Rates!$AB$2:$AB$4))*(H66+P66+Q66),"")</f>
        <v/>
      </c>
      <c r="H66" s="236">
        <f>IF(AJ66&lt;&gt;"",I66+J66+AB66,"")</f>
        <v/>
      </c>
      <c r="I66" s="236">
        <f>IF(AJ66&lt;&gt;"",LOOKUP(Info!$C$8,Rates!$I$2:$I$7,Rates!$H$2:$H$7)*(J66+P66+Q66+AB66),"")</f>
        <v/>
      </c>
      <c r="J66" s="244">
        <f>IF(L66="",0,L66)+IF(N66="",0,N66)+IF(O66="",0,O66)</f>
        <v/>
      </c>
      <c r="K66" s="244">
        <f>M66+0.7*M65+0.7*0.5*M64+0.7*0.25*M63+0.7*0.25*M62</f>
        <v/>
      </c>
      <c r="L66" s="244">
        <f>IF(M66&lt;&gt;"",L65+40/100*M65+M66-17.5/100*M61,0)</f>
        <v/>
      </c>
      <c r="M66" s="244">
        <f>IF(#REF!&lt;&gt;"",(1-Info!$C$25)*IF(MIN(30/1000*$AF$2,0.75*#REF!)=30/1000*AF65,30/1000*(AF66-AF65),0.75*(#REF!-#REF!)),"")</f>
        <v/>
      </c>
      <c r="N66" s="244" t="n">
        <v>0</v>
      </c>
      <c r="O66" s="244">
        <f>IF(AJ66&lt;&gt;"",0.07*AI66*(1-Info!$F$25),0)</f>
        <v/>
      </c>
      <c r="P66" s="238">
        <f>IF(AJ66&lt;&gt;"",Y66+W66+U66+S66+R66,0)</f>
        <v/>
      </c>
      <c r="Q66" s="238">
        <f>IF(AJ66&lt;&gt;"",AA66+Z66+X66+V66+T66,0)</f>
        <v/>
      </c>
      <c r="R66" s="238">
        <f>IF(AJ66&lt;&gt;"",(AB66+AA66+V66+T66)*Info!$L$20,0)</f>
        <v/>
      </c>
      <c r="S66" s="238">
        <f>IF(AJ66&lt;&gt;"",T66*(LOOKUP(Info!$I$18,Rates!$O$2:$O$9,Rates!$L$2:$L$9)/100),0)</f>
        <v/>
      </c>
      <c r="T66" s="238">
        <f>IF(AJ66&lt;&gt;"",IF(Info!$F$14="بله",V66*Rates!$Y$7,0),0)</f>
        <v/>
      </c>
      <c r="U66" s="238">
        <f>IF(AJ66&lt;&gt;"",IF(Info!#REF!="بله",V66*(LOOKUP(Info!$I$18,Rates!$O$2:$O$9,Rates!$L$2:$L$9)/100),V66*(LOOKUP(Info!$F$18,Rates!$O$2:$O$9,Rates!$L$2:$L$9)/100)),0)</f>
        <v/>
      </c>
      <c r="V66" s="239">
        <f>IF(AND(AJ66&lt;&gt;"",AJ66&lt;=Rates!$Y$8,Info!#REF!="بله"),AH66*(LOOKUP(AJ66,Rates!$T$2:$T$108,Rates!#REF!)),IF(AND(AK66&lt;&gt;"",AK66&lt;=Rates!$Y$8,Info!#REF!="خیر"),AH66*(LOOKUP(AK66,Rates!$T$2:$T$108,Rates!#REF!)),0)*(1-Info!$F$29))</f>
        <v/>
      </c>
      <c r="W66" s="239">
        <f>IF(AJ66&lt;&gt;"",X66*LOOKUP(Info!$I$18,Rates!$O$2:$O$9,Rates!$M$2:$M$9)/100,0)</f>
        <v/>
      </c>
      <c r="X66" s="239">
        <f>IF(AJ66&lt;=Rates!$Y$4,0.0008*AF66*Info!$F$12,0)</f>
        <v/>
      </c>
      <c r="Y66" s="239">
        <f>IF(AJ66&lt;&gt;"",Z66*(LOOKUP(Info!$I$18,Rates!$O$2:$O$9,Rates!$N$2:$N$9/100)),0)</f>
        <v/>
      </c>
      <c r="Z66" s="238">
        <f>IF(AND(AJ66&lt;=(Rates!$Y$3),AD66&lt;&gt;""),(1-Info!$I$27)*0.0008*AF66*Info!$I$12,0)</f>
        <v/>
      </c>
      <c r="AA66" s="238">
        <f>IF(AJ66&lt;=60,(LOOKUP(AJ66,Rates!$T$2:$T$108,Rates!#REF!))*AC66/1000000*(1-Info!$I$29),0)</f>
        <v/>
      </c>
      <c r="AB66" s="236">
        <f>IF(AJ66&lt;&gt;"",(AF66*LOOKUP(AJ66,Rates!$T$2:$T$108,Rates!$S$2:$S$108))/SQRT(1+IF(AL66&lt;=10,Rates!$Y$5,Rates!$Y$6)),"")</f>
        <v/>
      </c>
      <c r="AC66" s="240">
        <f>IF(AND(AJ66&lt;&gt;"",AJ66&lt;=Rates!$Y$2),MIN(0.5*AF66,300000000,AC65*(1+Info!$F$10)),"")</f>
        <v/>
      </c>
      <c r="AD66" s="240">
        <f>IF(AND(AJ66&lt;&gt;"",AJ66&lt;=60),AF66*Info!$L$16,"")</f>
        <v/>
      </c>
      <c r="AE66" s="68">
        <f>IF(AND(AJ66&lt;&gt;"",AJ66&lt;=70),AF66*(1+Info!$L$14),"")</f>
        <v/>
      </c>
      <c r="AF66" s="68">
        <f>IF(AJ66&lt;&gt;"",AF65*(1+Info!$F$10),"")</f>
        <v/>
      </c>
      <c r="AG66" s="51">
        <f>IF(AJ66&lt;&gt;"",AI66+AG65,"")</f>
        <v/>
      </c>
      <c r="AH66" s="42">
        <f>IF(AJ66&lt;&gt;"",AI66*Rates!$Y$9,"")</f>
        <v/>
      </c>
      <c r="AI66" s="51">
        <f>IF(AJ66&lt;&gt;"",AI65*(1+Info!$F$8),"")</f>
        <v/>
      </c>
      <c r="AJ66" s="57">
        <f>IF(AL66&lt;&gt;"",Info!$F$6+AL66-1,"")</f>
        <v/>
      </c>
      <c r="AK66" s="66">
        <f>IF(AL66&lt;&gt;"",Info!$C$6+AL66-1,"")</f>
        <v/>
      </c>
      <c r="AL66" s="69">
        <f>IF(AL65&lt;&gt;"",IF(AL65+1&lt;=Info!$I$6,AL65+1,""),"")</f>
        <v/>
      </c>
    </row>
    <row r="67">
      <c r="A67" s="236">
        <f>IF(AJ67&lt;&gt;"",D67+D67*(IF(AL67&gt;4,0.1,LOOKUP(Info!$C$10,Rates!$D$2:$D$4,Rates!$C$2:$C$4))+0.85*(Info!$I$22-(IF(AL67&gt;4,0.1,LOOKUP(Info!$C$10,Rates!$D$2:$D$4,Rates!$C$2:$C$4)))))*LOOKUP(Info!$C$8,Rates!$I$2:$I$7,Rates!$G$2:$G$7)+A66*(1+IF(AL67&gt;4,0.1,LOOKUP(Info!$C$10,Rates!$D$2:$D$4,Rates!$C$2:$C$4))+0.85*(Info!$I$22-IF(AL67&gt;4,0.1,LOOKUP(Info!$C$10,Rates!$D$2:$D$4,Rates!$C$2:$C$4)))),"")</f>
        <v/>
      </c>
      <c r="B67" s="236">
        <f>IF(AJ67&lt;&gt;"",IF(AL67&gt;=8,C67,C67*LOOKUP(AL67,Rates!$AG$2:$AG$8,Rates!$AF$2:$AF$8)),"")</f>
        <v/>
      </c>
      <c r="C67" s="236">
        <f>IF(AJ67&lt;&gt;"",D67*(1+IF(AL67&gt;4,0.1,LOOKUP(Info!$C$10,Rates!$D$2:$D$5,Rates!$B$2:$B$5))*LOOKUP(Info!$C$8,Rates!$I$2:$I$7,Rates!$G$2:$G$7))+C66*(1+IF(AL67&gt;4,0.1,LOOKUP(Info!$C$10,Rates!$D$2:$D$5,Rates!$B$2:$B$5))),"")</f>
        <v/>
      </c>
      <c r="D67" s="236">
        <f>IF(AJ67&lt;&gt;"",AI67-(H67+G67+F67+E67+P67+Q67)+IF(Info!$C$20&gt;0,IF(AND(AL67&lt;=Info!$F$20,AL67&gt;=Info!$I$20),Info!$C$20,0),0),"")</f>
        <v/>
      </c>
      <c r="E67" s="236">
        <f>IF(AJ67&lt;&gt;"",(LOOKUP(Info!$C$22,Rates!$AD$2:$AD$4,Rates!$AC$2:$AC$4))*(H67+P67+Q67),"")</f>
        <v/>
      </c>
      <c r="F67" s="236">
        <f>IF(AJ67&lt;&gt;"",(LOOKUP(Info!$C$22,Rates!$AD$2:$AD$4,Rates!$AA$2:$AA$4))*(H67+P67+Q67),"")</f>
        <v/>
      </c>
      <c r="G67" s="236">
        <f>IF(AJ67&lt;&gt;"",(LOOKUP(Info!$C$22,Rates!$AD$2:$AD$4,Rates!$AB$2:$AB$4))*(H67+P67+Q67),"")</f>
        <v/>
      </c>
      <c r="H67" s="236">
        <f>IF(AJ67&lt;&gt;"",I67+J67+AB67,"")</f>
        <v/>
      </c>
      <c r="I67" s="236">
        <f>IF(AJ67&lt;&gt;"",LOOKUP(Info!$C$8,Rates!$I$2:$I$7,Rates!$H$2:$H$7)*(J67+P67+Q67+AB67),"")</f>
        <v/>
      </c>
      <c r="J67" s="244">
        <f>IF(L67="",0,L67)+IF(N67="",0,N67)+IF(O67="",0,O67)</f>
        <v/>
      </c>
      <c r="K67" s="244">
        <f>M67+0.7*M66+0.7*0.5*M65+0.7*0.25*M64+0.7*0.25*M63</f>
        <v/>
      </c>
      <c r="L67" s="244">
        <f>IF(M67&lt;&gt;"",L66+40/100*M66+M67-17.5/100*M62,0)</f>
        <v/>
      </c>
      <c r="M67" s="244">
        <f>IF(#REF!&lt;&gt;"",(1-Info!$C$25)*IF(MIN(30/1000*$AF$2,0.75*#REF!)=30/1000*AF66,30/1000*(AF67-AF66),0.75*(#REF!-#REF!)),"")</f>
        <v/>
      </c>
      <c r="N67" s="244" t="n">
        <v>0</v>
      </c>
      <c r="O67" s="244">
        <f>IF(AJ67&lt;&gt;"",0.07*AI67*(1-Info!$F$25),0)</f>
        <v/>
      </c>
      <c r="P67" s="238">
        <f>IF(AJ67&lt;&gt;"",Y67+W67+U67+S67+R67,0)</f>
        <v/>
      </c>
      <c r="Q67" s="238">
        <f>IF(AJ67&lt;&gt;"",AA67+Z67+X67+V67+T67,0)</f>
        <v/>
      </c>
      <c r="R67" s="238">
        <f>IF(AJ67&lt;&gt;"",(AB67+AA67+V67+T67)*Info!$L$20,0)</f>
        <v/>
      </c>
      <c r="S67" s="238">
        <f>IF(AJ67&lt;&gt;"",T67*(LOOKUP(Info!$I$18,Rates!$O$2:$O$9,Rates!$L$2:$L$9)/100),0)</f>
        <v/>
      </c>
      <c r="T67" s="238">
        <f>IF(AJ67&lt;&gt;"",IF(Info!$F$14="بله",V67*Rates!$Y$7,0),0)</f>
        <v/>
      </c>
      <c r="U67" s="238">
        <f>IF(AJ67&lt;&gt;"",IF(Info!#REF!="بله",V67*(LOOKUP(Info!$I$18,Rates!$O$2:$O$9,Rates!$L$2:$L$9)/100),V67*(LOOKUP(Info!$F$18,Rates!$O$2:$O$9,Rates!$L$2:$L$9)/100)),0)</f>
        <v/>
      </c>
      <c r="V67" s="239">
        <f>IF(AND(AJ67&lt;&gt;"",AJ67&lt;=Rates!$Y$8,Info!#REF!="بله"),AH67*(LOOKUP(AJ67,Rates!$T$2:$T$108,Rates!#REF!)),IF(AND(AK67&lt;&gt;"",AK67&lt;=Rates!$Y$8,Info!#REF!="خیر"),AH67*(LOOKUP(AK67,Rates!$T$2:$T$108,Rates!#REF!)),0)*(1-Info!$F$29))</f>
        <v/>
      </c>
      <c r="W67" s="239">
        <f>IF(AJ67&lt;&gt;"",X67*LOOKUP(Info!$I$18,Rates!$O$2:$O$9,Rates!$M$2:$M$9)/100,0)</f>
        <v/>
      </c>
      <c r="X67" s="239">
        <f>IF(AJ67&lt;=Rates!$Y$4,0.0008*AF67*Info!$F$12,0)</f>
        <v/>
      </c>
      <c r="Y67" s="239">
        <f>IF(AJ67&lt;&gt;"",Z67*(LOOKUP(Info!$I$18,Rates!$O$2:$O$9,Rates!$N$2:$N$9/100)),0)</f>
        <v/>
      </c>
      <c r="Z67" s="238">
        <f>IF(AND(AJ67&lt;=(Rates!$Y$3),AD67&lt;&gt;""),(1-Info!$I$27)*0.0008*AF67*Info!$I$12,0)</f>
        <v/>
      </c>
      <c r="AA67" s="238">
        <f>IF(AJ67&lt;=60,(LOOKUP(AJ67,Rates!$T$2:$T$108,Rates!#REF!))*AC67/1000000*(1-Info!$I$29),0)</f>
        <v/>
      </c>
      <c r="AB67" s="236">
        <f>IF(AJ67&lt;&gt;"",(AF67*LOOKUP(AJ67,Rates!$T$2:$T$108,Rates!$S$2:$S$108))/SQRT(1+IF(AL67&lt;=10,Rates!$Y$5,Rates!$Y$6)),"")</f>
        <v/>
      </c>
      <c r="AC67" s="240">
        <f>IF(AND(AJ67&lt;&gt;"",AJ67&lt;=Rates!$Y$2),MIN(0.5*AF67,300000000,AC66*(1+Info!$F$10)),"")</f>
        <v/>
      </c>
      <c r="AD67" s="240">
        <f>IF(AND(AJ67&lt;&gt;"",AJ67&lt;=60),AF67*Info!$L$16,"")</f>
        <v/>
      </c>
      <c r="AE67" s="68">
        <f>IF(AND(AJ67&lt;&gt;"",AJ67&lt;=70),AF67*(1+Info!$L$14),"")</f>
        <v/>
      </c>
      <c r="AF67" s="68">
        <f>IF(AJ67&lt;&gt;"",AF66*(1+Info!$F$10),"")</f>
        <v/>
      </c>
      <c r="AG67" s="51">
        <f>IF(AJ67&lt;&gt;"",AI67+AG66,"")</f>
        <v/>
      </c>
      <c r="AH67" s="42">
        <f>IF(AJ67&lt;&gt;"",AI67*Rates!$Y$9,"")</f>
        <v/>
      </c>
      <c r="AI67" s="51">
        <f>IF(AJ67&lt;&gt;"",AI66*(1+Info!$F$8),"")</f>
        <v/>
      </c>
      <c r="AJ67" s="57">
        <f>IF(AL67&lt;&gt;"",Info!$F$6+AL67-1,"")</f>
        <v/>
      </c>
      <c r="AK67" s="66">
        <f>IF(AL67&lt;&gt;"",Info!$C$6+AL67-1,"")</f>
        <v/>
      </c>
      <c r="AL67" s="69">
        <f>IF(AL66&lt;&gt;"",IF(AL66+1&lt;=Info!$I$6,AL66+1,""),"")</f>
        <v/>
      </c>
    </row>
    <row r="68">
      <c r="A68" s="236">
        <f>IF(AJ68&lt;&gt;"",D68+D68*(IF(AL68&gt;4,0.1,LOOKUP(Info!$C$10,Rates!$D$2:$D$4,Rates!$C$2:$C$4))+0.85*(Info!$I$22-(IF(AL68&gt;4,0.1,LOOKUP(Info!$C$10,Rates!$D$2:$D$4,Rates!$C$2:$C$4)))))*LOOKUP(Info!$C$8,Rates!$I$2:$I$7,Rates!$G$2:$G$7)+A67*(1+IF(AL68&gt;4,0.1,LOOKUP(Info!$C$10,Rates!$D$2:$D$4,Rates!$C$2:$C$4))+0.85*(Info!$I$22-IF(AL68&gt;4,0.1,LOOKUP(Info!$C$10,Rates!$D$2:$D$4,Rates!$C$2:$C$4)))),"")</f>
        <v/>
      </c>
      <c r="B68" s="236">
        <f>IF(AJ68&lt;&gt;"",IF(AL68&gt;=8,C68,C68*LOOKUP(AL68,Rates!$AG$2:$AG$8,Rates!$AF$2:$AF$8)),"")</f>
        <v/>
      </c>
      <c r="C68" s="236">
        <f>IF(AJ68&lt;&gt;"",D68*(1+IF(AL68&gt;4,0.1,LOOKUP(Info!$C$10,Rates!$D$2:$D$5,Rates!$B$2:$B$5))*LOOKUP(Info!$C$8,Rates!$I$2:$I$7,Rates!$G$2:$G$7))+C67*(1+IF(AL68&gt;4,0.1,LOOKUP(Info!$C$10,Rates!$D$2:$D$5,Rates!$B$2:$B$5))),"")</f>
        <v/>
      </c>
      <c r="D68" s="236">
        <f>IF(AJ68&lt;&gt;"",AI68-(H68+G68+F68+E68+P68+Q68)+IF(Info!$C$20&gt;0,IF(AND(AL68&lt;=Info!$F$20,AL68&gt;=Info!$I$20),Info!$C$20,0),0),"")</f>
        <v/>
      </c>
      <c r="E68" s="236">
        <f>IF(AJ68&lt;&gt;"",(LOOKUP(Info!$C$22,Rates!$AD$2:$AD$4,Rates!$AC$2:$AC$4))*(H68+P68+Q68),"")</f>
        <v/>
      </c>
      <c r="F68" s="236">
        <f>IF(AJ68&lt;&gt;"",(LOOKUP(Info!$C$22,Rates!$AD$2:$AD$4,Rates!$AA$2:$AA$4))*(H68+P68+Q68),"")</f>
        <v/>
      </c>
      <c r="G68" s="236">
        <f>IF(AJ68&lt;&gt;"",(LOOKUP(Info!$C$22,Rates!$AD$2:$AD$4,Rates!$AB$2:$AB$4))*(H68+P68+Q68),"")</f>
        <v/>
      </c>
      <c r="H68" s="236">
        <f>IF(AJ68&lt;&gt;"",I68+J68+AB68,"")</f>
        <v/>
      </c>
      <c r="I68" s="236">
        <f>IF(AJ68&lt;&gt;"",LOOKUP(Info!$C$8,Rates!$I$2:$I$7,Rates!$H$2:$H$7)*(J68+P68+Q68+AB68),"")</f>
        <v/>
      </c>
      <c r="J68" s="244">
        <f>IF(L68="",0,L68)+IF(N68="",0,N68)+IF(O68="",0,O68)</f>
        <v/>
      </c>
      <c r="K68" s="244">
        <f>M68+0.7*M67+0.7*0.5*M66+0.7*0.25*M65+0.7*0.25*M64</f>
        <v/>
      </c>
      <c r="L68" s="244">
        <f>IF(M68&lt;&gt;"",L67+40/100*M67+M68-17.5/100*M63,0)</f>
        <v/>
      </c>
      <c r="M68" s="244">
        <f>IF(#REF!&lt;&gt;"",(1-Info!$C$25)*IF(MIN(30/1000*$AF$2,0.75*#REF!)=30/1000*AF67,30/1000*(AF68-AF67),0.75*(#REF!-#REF!)),"")</f>
        <v/>
      </c>
      <c r="N68" s="244" t="n">
        <v>0</v>
      </c>
      <c r="O68" s="244">
        <f>IF(AJ68&lt;&gt;"",0.07*AI68*(1-Info!$F$25),0)</f>
        <v/>
      </c>
      <c r="P68" s="238">
        <f>IF(AJ68&lt;&gt;"",Y68+W68+U68+S68+R68,0)</f>
        <v/>
      </c>
      <c r="Q68" s="238">
        <f>IF(AJ68&lt;&gt;"",AA68+Z68+X68+V68+T68,0)</f>
        <v/>
      </c>
      <c r="R68" s="238">
        <f>IF(AJ68&lt;&gt;"",(AB68+AA68+V68+T68)*Info!$L$20,0)</f>
        <v/>
      </c>
      <c r="S68" s="238">
        <f>IF(AJ68&lt;&gt;"",T68*(LOOKUP(Info!$I$18,Rates!$O$2:$O$9,Rates!$L$2:$L$9)/100),0)</f>
        <v/>
      </c>
      <c r="T68" s="238">
        <f>IF(AJ68&lt;&gt;"",IF(Info!$F$14="بله",V68*Rates!$Y$7,0),0)</f>
        <v/>
      </c>
      <c r="U68" s="238">
        <f>IF(AJ68&lt;&gt;"",IF(Info!#REF!="بله",V68*(LOOKUP(Info!$I$18,Rates!$O$2:$O$9,Rates!$L$2:$L$9)/100),V68*(LOOKUP(Info!$F$18,Rates!$O$2:$O$9,Rates!$L$2:$L$9)/100)),0)</f>
        <v/>
      </c>
      <c r="V68" s="239">
        <f>IF(AND(AJ68&lt;&gt;"",AJ68&lt;=Rates!$Y$8,Info!#REF!="بله"),AH68*(LOOKUP(AJ68,Rates!$T$2:$T$108,Rates!#REF!)),IF(AND(AK68&lt;&gt;"",AK68&lt;=Rates!$Y$8,Info!#REF!="خیر"),AH68*(LOOKUP(AK68,Rates!$T$2:$T$108,Rates!#REF!)),0)*(1-Info!$F$29))</f>
        <v/>
      </c>
      <c r="W68" s="239">
        <f>IF(AJ68&lt;&gt;"",X68*LOOKUP(Info!$I$18,Rates!$O$2:$O$9,Rates!$M$2:$M$9)/100,0)</f>
        <v/>
      </c>
      <c r="X68" s="239">
        <f>IF(AJ68&lt;=Rates!$Y$4,0.0008*AF68*Info!$F$12,0)</f>
        <v/>
      </c>
      <c r="Y68" s="239">
        <f>IF(AJ68&lt;&gt;"",Z68*(LOOKUP(Info!$I$18,Rates!$O$2:$O$9,Rates!$N$2:$N$9/100)),0)</f>
        <v/>
      </c>
      <c r="Z68" s="238">
        <f>IF(AND(AJ68&lt;=(Rates!$Y$3),AD68&lt;&gt;""),(1-Info!$I$27)*0.0008*AF68*Info!$I$12,0)</f>
        <v/>
      </c>
      <c r="AA68" s="238">
        <f>IF(AJ68&lt;=60,(LOOKUP(AJ68,Rates!$T$2:$T$108,Rates!#REF!))*AC68/1000000*(1-Info!$I$29),0)</f>
        <v/>
      </c>
      <c r="AB68" s="236">
        <f>IF(AJ68&lt;&gt;"",(AF68*LOOKUP(AJ68,Rates!$T$2:$T$108,Rates!$S$2:$S$108))/SQRT(1+IF(AL68&lt;=10,Rates!$Y$5,Rates!$Y$6)),"")</f>
        <v/>
      </c>
      <c r="AC68" s="240">
        <f>IF(AND(AJ68&lt;&gt;"",AJ68&lt;=Rates!$Y$2),MIN(0.5*AF68,300000000,AC67*(1+Info!$F$10)),"")</f>
        <v/>
      </c>
      <c r="AD68" s="240">
        <f>IF(AND(AJ68&lt;&gt;"",AJ68&lt;=60),AF68*Info!$L$16,"")</f>
        <v/>
      </c>
      <c r="AE68" s="68">
        <f>IF(AND(AJ68&lt;&gt;"",AJ68&lt;=70),AF68*(1+Info!$L$14),"")</f>
        <v/>
      </c>
      <c r="AF68" s="68">
        <f>IF(AJ68&lt;&gt;"",AF67*(1+Info!$F$10),"")</f>
        <v/>
      </c>
      <c r="AG68" s="51">
        <f>IF(AJ68&lt;&gt;"",AI68+AG67,"")</f>
        <v/>
      </c>
      <c r="AH68" s="42">
        <f>IF(AJ68&lt;&gt;"",AI68*Rates!$Y$9,"")</f>
        <v/>
      </c>
      <c r="AI68" s="51">
        <f>IF(AJ68&lt;&gt;"",AI67*(1+Info!$F$8),"")</f>
        <v/>
      </c>
      <c r="AJ68" s="57">
        <f>IF(AL68&lt;&gt;"",Info!$F$6+AL68-1,"")</f>
        <v/>
      </c>
      <c r="AK68" s="66">
        <f>IF(AL68&lt;&gt;"",Info!$C$6+AL68-1,"")</f>
        <v/>
      </c>
      <c r="AL68" s="69">
        <f>IF(AL67&lt;&gt;"",IF(AL67+1&lt;=Info!$I$6,AL67+1,""),"")</f>
        <v/>
      </c>
    </row>
    <row r="69">
      <c r="A69" s="236">
        <f>IF(AJ69&lt;&gt;"",D69+D69*(IF(AL69&gt;4,0.1,LOOKUP(Info!$C$10,Rates!$D$2:$D$4,Rates!$C$2:$C$4))+0.85*(Info!$I$22-(IF(AL69&gt;4,0.1,LOOKUP(Info!$C$10,Rates!$D$2:$D$4,Rates!$C$2:$C$4)))))*LOOKUP(Info!$C$8,Rates!$I$2:$I$7,Rates!$G$2:$G$7)+A68*(1+IF(AL69&gt;4,0.1,LOOKUP(Info!$C$10,Rates!$D$2:$D$4,Rates!$C$2:$C$4))+0.85*(Info!$I$22-IF(AL69&gt;4,0.1,LOOKUP(Info!$C$10,Rates!$D$2:$D$4,Rates!$C$2:$C$4)))),"")</f>
        <v/>
      </c>
      <c r="B69" s="236">
        <f>IF(AJ69&lt;&gt;"",IF(AL69&gt;=8,C69,C69*LOOKUP(AL69,Rates!$AG$2:$AG$8,Rates!$AF$2:$AF$8)),"")</f>
        <v/>
      </c>
      <c r="C69" s="236">
        <f>IF(AJ69&lt;&gt;"",D69*(1+IF(AL69&gt;4,0.1,LOOKUP(Info!$C$10,Rates!$D$2:$D$5,Rates!$B$2:$B$5))*LOOKUP(Info!$C$8,Rates!$I$2:$I$7,Rates!$G$2:$G$7))+C68*(1+IF(AL69&gt;4,0.1,LOOKUP(Info!$C$10,Rates!$D$2:$D$5,Rates!$B$2:$B$5))),"")</f>
        <v/>
      </c>
      <c r="D69" s="236">
        <f>IF(AJ69&lt;&gt;"",AI69-(H69+G69+F69+E69+P69+Q69)+IF(Info!$C$20&gt;0,IF(AND(AL69&lt;=Info!$F$20,AL69&gt;=Info!$I$20),Info!$C$20,0),0),"")</f>
        <v/>
      </c>
      <c r="E69" s="236">
        <f>IF(AJ69&lt;&gt;"",(LOOKUP(Info!$C$22,Rates!$AD$2:$AD$4,Rates!$AC$2:$AC$4))*(H69+P69+Q69),"")</f>
        <v/>
      </c>
      <c r="F69" s="236">
        <f>IF(AJ69&lt;&gt;"",(LOOKUP(Info!$C$22,Rates!$AD$2:$AD$4,Rates!$AA$2:$AA$4))*(H69+P69+Q69),"")</f>
        <v/>
      </c>
      <c r="G69" s="236">
        <f>IF(AJ69&lt;&gt;"",(LOOKUP(Info!$C$22,Rates!$AD$2:$AD$4,Rates!$AB$2:$AB$4))*(H69+P69+Q69),"")</f>
        <v/>
      </c>
      <c r="H69" s="236">
        <f>IF(AJ69&lt;&gt;"",I69+J69+AB69,"")</f>
        <v/>
      </c>
      <c r="I69" s="236">
        <f>IF(AJ69&lt;&gt;"",LOOKUP(Info!$C$8,Rates!$I$2:$I$7,Rates!$H$2:$H$7)*(J69+P69+Q69+AB69),"")</f>
        <v/>
      </c>
      <c r="J69" s="244">
        <f>IF(L69="",0,L69)+IF(N69="",0,N69)+IF(O69="",0,O69)</f>
        <v/>
      </c>
      <c r="K69" s="244">
        <f>M69+0.7*M68+0.7*0.5*M67+0.7*0.25*M66+0.7*0.25*M65</f>
        <v/>
      </c>
      <c r="L69" s="244">
        <f>IF(M69&lt;&gt;"",L68+40/100*M68+M69-17.5/100*M64,0)</f>
        <v/>
      </c>
      <c r="M69" s="244">
        <f>IF(#REF!&lt;&gt;"",(1-Info!$C$25)*IF(MIN(30/1000*$AF$2,0.75*#REF!)=30/1000*AF68,30/1000*(AF69-AF68),0.75*(#REF!-#REF!)),"")</f>
        <v/>
      </c>
      <c r="N69" s="244" t="n">
        <v>0</v>
      </c>
      <c r="O69" s="244">
        <f>IF(AJ69&lt;&gt;"",0.07*AI69*(1-Info!$F$25),0)</f>
        <v/>
      </c>
      <c r="P69" s="238">
        <f>IF(AJ69&lt;&gt;"",Y69+W69+U69+S69+R69,0)</f>
        <v/>
      </c>
      <c r="Q69" s="238">
        <f>IF(AJ69&lt;&gt;"",AA69+Z69+X69+V69+T69,0)</f>
        <v/>
      </c>
      <c r="R69" s="238">
        <f>IF(AJ69&lt;&gt;"",(AB69+AA69+V69+T69)*Info!$L$20,0)</f>
        <v/>
      </c>
      <c r="S69" s="238">
        <f>IF(AJ69&lt;&gt;"",T69*(LOOKUP(Info!$I$18,Rates!$O$2:$O$9,Rates!$L$2:$L$9)/100),0)</f>
        <v/>
      </c>
      <c r="T69" s="238">
        <f>IF(AJ69&lt;&gt;"",IF(Info!$F$14="بله",V69*Rates!$Y$7,0),0)</f>
        <v/>
      </c>
      <c r="U69" s="238">
        <f>IF(AJ69&lt;&gt;"",IF(Info!#REF!="بله",V69*(LOOKUP(Info!$I$18,Rates!$O$2:$O$9,Rates!$L$2:$L$9)/100),V69*(LOOKUP(Info!$F$18,Rates!$O$2:$O$9,Rates!$L$2:$L$9)/100)),0)</f>
        <v/>
      </c>
      <c r="V69" s="239">
        <f>IF(AND(AJ69&lt;&gt;"",AJ69&lt;=Rates!$Y$8,Info!#REF!="بله"),AH69*(LOOKUP(AJ69,Rates!$T$2:$T$108,Rates!#REF!)),IF(AND(AK69&lt;&gt;"",AK69&lt;=Rates!$Y$8,Info!#REF!="خیر"),AH69*(LOOKUP(AK69,Rates!$T$2:$T$108,Rates!#REF!)),0)*(1-Info!$F$29))</f>
        <v/>
      </c>
      <c r="W69" s="239">
        <f>IF(AJ69&lt;&gt;"",X69*LOOKUP(Info!$I$18,Rates!$O$2:$O$9,Rates!$M$2:$M$9)/100,0)</f>
        <v/>
      </c>
      <c r="X69" s="239">
        <f>IF(AJ69&lt;=Rates!$Y$4,0.0008*AF69*Info!$F$12,0)</f>
        <v/>
      </c>
      <c r="Y69" s="239">
        <f>IF(AJ69&lt;&gt;"",Z69*(LOOKUP(Info!$I$18,Rates!$O$2:$O$9,Rates!$N$2:$N$9/100)),0)</f>
        <v/>
      </c>
      <c r="Z69" s="238">
        <f>IF(AND(AJ69&lt;=(Rates!$Y$3),AD69&lt;&gt;""),(1-Info!$I$27)*0.0008*AF69*Info!$I$12,0)</f>
        <v/>
      </c>
      <c r="AA69" s="238">
        <f>IF(AJ69&lt;=60,(LOOKUP(AJ69,Rates!$T$2:$T$108,Rates!#REF!))*AC69/1000000*(1-Info!$I$29),0)</f>
        <v/>
      </c>
      <c r="AB69" s="236">
        <f>IF(AJ69&lt;&gt;"",(AF69*LOOKUP(AJ69,Rates!$T$2:$T$108,Rates!$S$2:$S$108))/SQRT(1+IF(AL69&lt;=10,Rates!$Y$5,Rates!$Y$6)),"")</f>
        <v/>
      </c>
      <c r="AC69" s="240">
        <f>IF(AND(AJ69&lt;&gt;"",AJ69&lt;=Rates!$Y$2),MIN(0.5*AF69,300000000,AC68*(1+Info!$F$10)),"")</f>
        <v/>
      </c>
      <c r="AD69" s="240">
        <f>IF(AND(AJ69&lt;&gt;"",AJ69&lt;=60),AF69*Info!$L$16,"")</f>
        <v/>
      </c>
      <c r="AE69" s="68">
        <f>IF(AND(AJ69&lt;&gt;"",AJ69&lt;=70),AF69*(1+Info!$L$14),"")</f>
        <v/>
      </c>
      <c r="AF69" s="68">
        <f>IF(AJ69&lt;&gt;"",AF68*(1+Info!$F$10),"")</f>
        <v/>
      </c>
      <c r="AG69" s="51">
        <f>IF(AJ69&lt;&gt;"",AI69+AG68,"")</f>
        <v/>
      </c>
      <c r="AH69" s="42">
        <f>IF(AJ69&lt;&gt;"",AI69*Rates!$Y$9,"")</f>
        <v/>
      </c>
      <c r="AI69" s="51">
        <f>IF(AJ69&lt;&gt;"",AI68*(1+Info!$F$8),"")</f>
        <v/>
      </c>
      <c r="AJ69" s="57">
        <f>IF(AL69&lt;&gt;"",Info!$F$6+AL69-1,"")</f>
        <v/>
      </c>
      <c r="AK69" s="66">
        <f>IF(AL69&lt;&gt;"",Info!$C$6+AL69-1,"")</f>
        <v/>
      </c>
      <c r="AL69" s="69">
        <f>IF(AL68&lt;&gt;"",IF(AL68+1&lt;=Info!$I$6,AL68+1,""),"")</f>
        <v/>
      </c>
    </row>
    <row r="70">
      <c r="A70" s="236">
        <f>IF(AJ70&lt;&gt;"",D70+D70*(IF(AL70&gt;4,0.1,LOOKUP(Info!$C$10,Rates!$D$2:$D$4,Rates!$C$2:$C$4))+0.85*(Info!$I$22-(IF(AL70&gt;4,0.1,LOOKUP(Info!$C$10,Rates!$D$2:$D$4,Rates!$C$2:$C$4)))))*LOOKUP(Info!$C$8,Rates!$I$2:$I$7,Rates!$G$2:$G$7)+A69*(1+IF(AL70&gt;4,0.1,LOOKUP(Info!$C$10,Rates!$D$2:$D$4,Rates!$C$2:$C$4))+0.85*(Info!$I$22-IF(AL70&gt;4,0.1,LOOKUP(Info!$C$10,Rates!$D$2:$D$4,Rates!$C$2:$C$4)))),"")</f>
        <v/>
      </c>
      <c r="B70" s="236">
        <f>IF(AJ70&lt;&gt;"",IF(AL70&gt;=8,C70,C70*LOOKUP(AL70,Rates!$AG$2:$AG$8,Rates!$AF$2:$AF$8)),"")</f>
        <v/>
      </c>
      <c r="C70" s="236">
        <f>IF(AJ70&lt;&gt;"",D70*(1+IF(AL70&gt;4,0.1,LOOKUP(Info!$C$10,Rates!$D$2:$D$5,Rates!$B$2:$B$5))*LOOKUP(Info!$C$8,Rates!$I$2:$I$7,Rates!$G$2:$G$7))+C69*(1+IF(AL70&gt;4,0.1,LOOKUP(Info!$C$10,Rates!$D$2:$D$5,Rates!$B$2:$B$5))),"")</f>
        <v/>
      </c>
      <c r="D70" s="236">
        <f>IF(AJ70&lt;&gt;"",AI70-(H70+G70+F70+E70+P70+Q70)+IF(Info!$C$20&gt;0,IF(AND(AL70&lt;=Info!$F$20,AL70&gt;=Info!$I$20),Info!$C$20,0),0),"")</f>
        <v/>
      </c>
      <c r="E70" s="236">
        <f>IF(AJ70&lt;&gt;"",(LOOKUP(Info!$C$22,Rates!$AD$2:$AD$4,Rates!$AC$2:$AC$4))*(H70+P70+Q70),"")</f>
        <v/>
      </c>
      <c r="F70" s="236">
        <f>IF(AJ70&lt;&gt;"",(LOOKUP(Info!$C$22,Rates!$AD$2:$AD$4,Rates!$AA$2:$AA$4))*(H70+P70+Q70),"")</f>
        <v/>
      </c>
      <c r="G70" s="236">
        <f>IF(AJ70&lt;&gt;"",(LOOKUP(Info!$C$22,Rates!$AD$2:$AD$4,Rates!$AB$2:$AB$4))*(H70+P70+Q70),"")</f>
        <v/>
      </c>
      <c r="H70" s="236">
        <f>IF(AJ70&lt;&gt;"",I70+J70+AB70,"")</f>
        <v/>
      </c>
      <c r="I70" s="236">
        <f>IF(AJ70&lt;&gt;"",LOOKUP(Info!$C$8,Rates!$I$2:$I$7,Rates!$H$2:$H$7)*(J70+P70+Q70+AB70),"")</f>
        <v/>
      </c>
      <c r="J70" s="244">
        <f>IF(L70="",0,L70)+IF(N70="",0,N70)+IF(O70="",0,O70)</f>
        <v/>
      </c>
      <c r="K70" s="244">
        <f>M70+0.7*M69+0.7*0.5*M68+0.7*0.25*M67+0.7*0.25*M66</f>
        <v/>
      </c>
      <c r="L70" s="244">
        <f>IF(M70&lt;&gt;"",L69+40/100*M69+M70-17.5/100*M65,0)</f>
        <v/>
      </c>
      <c r="M70" s="244">
        <f>IF(#REF!&lt;&gt;"",(1-Info!$C$25)*IF(MIN(30/1000*$AF$2,0.75*#REF!)=30/1000*AF69,30/1000*(AF70-AF69),0.75*(#REF!-#REF!)),"")</f>
        <v/>
      </c>
      <c r="N70" s="244" t="n">
        <v>0</v>
      </c>
      <c r="O70" s="244">
        <f>IF(AJ70&lt;&gt;"",0.07*AI70*(1-Info!$F$25),0)</f>
        <v/>
      </c>
      <c r="P70" s="238">
        <f>IF(AJ70&lt;&gt;"",Y70+W70+U70+S70+R70,0)</f>
        <v/>
      </c>
      <c r="Q70" s="238">
        <f>IF(AJ70&lt;&gt;"",AA70+Z70+X70+V70+T70,0)</f>
        <v/>
      </c>
      <c r="R70" s="238">
        <f>IF(AJ70&lt;&gt;"",(AB70+AA70+V70+T70)*Info!$L$20,0)</f>
        <v/>
      </c>
      <c r="S70" s="238">
        <f>IF(AJ70&lt;&gt;"",T70*(LOOKUP(Info!$I$18,Rates!$O$2:$O$9,Rates!$L$2:$L$9)/100),0)</f>
        <v/>
      </c>
      <c r="T70" s="238">
        <f>IF(AJ70&lt;&gt;"",IF(Info!$F$14="بله",V70*Rates!$Y$7,0),0)</f>
        <v/>
      </c>
      <c r="U70" s="238">
        <f>IF(AJ70&lt;&gt;"",IF(Info!#REF!="بله",V70*(LOOKUP(Info!$I$18,Rates!$O$2:$O$9,Rates!$L$2:$L$9)/100),V70*(LOOKUP(Info!$F$18,Rates!$O$2:$O$9,Rates!$L$2:$L$9)/100)),0)</f>
        <v/>
      </c>
      <c r="V70" s="239">
        <f>IF(AND(AJ70&lt;&gt;"",AJ70&lt;=Rates!$Y$8,Info!#REF!="بله"),AH70*(LOOKUP(AJ70,Rates!$T$2:$T$108,Rates!#REF!)),IF(AND(AK70&lt;&gt;"",AK70&lt;=Rates!$Y$8,Info!#REF!="خیر"),AH70*(LOOKUP(AK70,Rates!$T$2:$T$108,Rates!#REF!)),0)*(1-Info!$F$29))</f>
        <v/>
      </c>
      <c r="W70" s="239">
        <f>IF(AJ70&lt;&gt;"",X70*LOOKUP(Info!$I$18,Rates!$O$2:$O$9,Rates!$M$2:$M$9)/100,0)</f>
        <v/>
      </c>
      <c r="X70" s="239">
        <f>IF(AJ70&lt;=Rates!$Y$4,0.0008*AF70*Info!$F$12,0)</f>
        <v/>
      </c>
      <c r="Y70" s="239">
        <f>IF(AJ70&lt;&gt;"",Z70*(LOOKUP(Info!$I$18,Rates!$O$2:$O$9,Rates!$N$2:$N$9/100)),0)</f>
        <v/>
      </c>
      <c r="Z70" s="238">
        <f>IF(AND(AJ70&lt;=(Rates!$Y$3),AD70&lt;&gt;""),(1-Info!$I$27)*0.0008*AF70*Info!$I$12,0)</f>
        <v/>
      </c>
      <c r="AA70" s="238">
        <f>IF(AJ70&lt;=60,(LOOKUP(AJ70,Rates!$T$2:$T$108,Rates!#REF!))*AC70/1000000*(1-Info!$I$29),0)</f>
        <v/>
      </c>
      <c r="AB70" s="236">
        <f>IF(AJ70&lt;&gt;"",(AF70*LOOKUP(AJ70,Rates!$T$2:$T$108,Rates!$S$2:$S$108))/SQRT(1+IF(AL70&lt;=10,Rates!$Y$5,Rates!$Y$6)),"")</f>
        <v/>
      </c>
      <c r="AC70" s="240">
        <f>IF(AND(AJ70&lt;&gt;"",AJ70&lt;=Rates!$Y$2),MIN(0.5*AF70,300000000,AC69*(1+Info!$F$10)),"")</f>
        <v/>
      </c>
      <c r="AD70" s="240">
        <f>IF(AND(AJ70&lt;&gt;"",AJ70&lt;=60),AF70*Info!$L$16,"")</f>
        <v/>
      </c>
      <c r="AE70" s="68">
        <f>IF(AND(AJ70&lt;&gt;"",AJ70&lt;=70),AF70*(1+Info!$L$14),"")</f>
        <v/>
      </c>
      <c r="AF70" s="68">
        <f>IF(AJ70&lt;&gt;"",AF69*(1+Info!$F$10),"")</f>
        <v/>
      </c>
      <c r="AG70" s="51">
        <f>IF(AJ70&lt;&gt;"",AI70+AG69,"")</f>
        <v/>
      </c>
      <c r="AH70" s="42">
        <f>IF(AJ70&lt;&gt;"",AI70*Rates!$Y$9,"")</f>
        <v/>
      </c>
      <c r="AI70" s="51">
        <f>IF(AJ70&lt;&gt;"",AI69*(1+Info!$F$8),"")</f>
        <v/>
      </c>
      <c r="AJ70" s="57">
        <f>IF(AL70&lt;&gt;"",Info!$F$6+AL70-1,"")</f>
        <v/>
      </c>
      <c r="AK70" s="66">
        <f>IF(AL70&lt;&gt;"",Info!$C$6+AL70-1,"")</f>
        <v/>
      </c>
      <c r="AL70" s="69">
        <f>IF(AL69&lt;&gt;"",IF(AL69+1&lt;=Info!$I$6,AL69+1,""),"")</f>
        <v/>
      </c>
    </row>
    <row r="71" ht="15.75" customHeight="1" thickBot="1">
      <c r="A71" s="236">
        <f>IF(AJ71&lt;&gt;"",D71+D71*(IF(AL71&gt;4,0.1,LOOKUP(Info!$C$10,Rates!$D$2:$D$4,Rates!$C$2:$C$4))+0.85*(Info!$I$22-(IF(AL71&gt;4,0.1,LOOKUP(Info!$C$10,Rates!$D$2:$D$4,Rates!$C$2:$C$4)))))*LOOKUP(Info!$C$8,Rates!$I$2:$I$7,Rates!$G$2:$G$7)+A70*(1+IF(AL71&gt;4,0.1,LOOKUP(Info!$C$10,Rates!$D$2:$D$4,Rates!$C$2:$C$4))+0.85*(Info!$I$22-IF(AL71&gt;4,0.1,LOOKUP(Info!$C$10,Rates!$D$2:$D$4,Rates!$C$2:$C$4)))),"")</f>
        <v/>
      </c>
      <c r="B71" s="236">
        <f>IF(AJ71&lt;&gt;"",IF(AL71&gt;=8,C71,C71*LOOKUP(AL71,Rates!$AG$2:$AG$8,Rates!$AF$2:$AF$8)),"")</f>
        <v/>
      </c>
      <c r="C71" s="236">
        <f>IF(AJ71&lt;&gt;"",D71*(1+IF(AL71&gt;4,0.1,LOOKUP(Info!$C$10,Rates!$D$2:$D$5,Rates!$B$2:$B$5))*LOOKUP(Info!$C$8,Rates!$I$2:$I$7,Rates!$G$2:$G$7))+C70*(1+IF(AL71&gt;4,0.1,LOOKUP(Info!$C$10,Rates!$D$2:$D$5,Rates!$B$2:$B$5))),"")</f>
        <v/>
      </c>
      <c r="D71" s="236">
        <f>IF(AJ71&lt;&gt;"",AI71-(H71+G71+F71+E71+P71+Q71)+IF(Info!$C$20&gt;0,IF(AND(AL71&lt;=Info!$F$20,AL71&gt;=Info!$I$20),Info!$C$20,0),0),"")</f>
        <v/>
      </c>
      <c r="E71" s="236">
        <f>IF(AJ71&lt;&gt;"",(LOOKUP(Info!$C$22,Rates!$AD$2:$AD$4,Rates!$AC$2:$AC$4))*(H71+P71+Q71),"")</f>
        <v/>
      </c>
      <c r="F71" s="236">
        <f>IF(AJ71&lt;&gt;"",(LOOKUP(Info!$C$22,Rates!$AD$2:$AD$4,Rates!$AA$2:$AA$4))*(H71+P71+Q71),"")</f>
        <v/>
      </c>
      <c r="G71" s="236">
        <f>IF(AJ71&lt;&gt;"",(LOOKUP(Info!$C$22,Rates!$AD$2:$AD$4,Rates!$AB$2:$AB$4))*(H71+P71+Q71),"")</f>
        <v/>
      </c>
      <c r="H71" s="236">
        <f>IF(AJ71&lt;&gt;"",I71+J71+AB71,"")</f>
        <v/>
      </c>
      <c r="I71" s="236">
        <f>IF(AJ71&lt;&gt;"",LOOKUP(Info!$C$8,Rates!$I$2:$I$7,Rates!$H$2:$H$7)*(J71+P71+Q71+AB71),"")</f>
        <v/>
      </c>
      <c r="J71" s="244">
        <f>IF(L71="",0,L71)+IF(N71="",0,N71)+IF(O71="",0,O71)</f>
        <v/>
      </c>
      <c r="K71" s="244">
        <f>M71+0.7*M70+0.7*0.5*M69+0.7*0.25*M68+0.7*0.25*M67</f>
        <v/>
      </c>
      <c r="L71" s="244">
        <f>IF(M71&lt;&gt;"",L70+40/100*M70+M71-17.5/100*M66,0)</f>
        <v/>
      </c>
      <c r="M71" s="248">
        <f>IF(#REF!&lt;&gt;"",(1-Info!$C$25)*IF(MIN(30/1000*$AF$2,0.75*#REF!)=30/1000*AF70,30/1000*(AF71-AF70),0.75*(#REF!-#REF!)),"")</f>
        <v/>
      </c>
      <c r="N71" s="244" t="n">
        <v>0</v>
      </c>
      <c r="O71" s="244">
        <f>IF(AJ71&lt;&gt;"",0.07*AI71*(1-Info!$F$25),0)</f>
        <v/>
      </c>
      <c r="P71" s="238">
        <f>IF(AJ71&lt;&gt;"",Y71+W71+U71+S71+R71,0)</f>
        <v/>
      </c>
      <c r="Q71" s="238">
        <f>IF(AJ71&lt;&gt;"",AA71+Z71+X71+V71+T71,0)</f>
        <v/>
      </c>
      <c r="R71" s="238">
        <f>IF(AJ71&lt;&gt;"",(AB71+AA71+V71+T71)*Info!$L$20,0)</f>
        <v/>
      </c>
      <c r="S71" s="238">
        <f>IF(AJ71&lt;&gt;"",T71*(LOOKUP(Info!$I$18,Rates!$O$2:$O$9,Rates!$L$2:$L$9)/100),0)</f>
        <v/>
      </c>
      <c r="T71" s="238">
        <f>IF(AJ71&lt;&gt;"",IF(Info!$F$14="بله",V71*Rates!$Y$7,0),0)</f>
        <v/>
      </c>
      <c r="U71" s="238">
        <f>IF(AJ71&lt;&gt;"",IF(Info!#REF!="بله",V71*(LOOKUP(Info!$I$18,Rates!$O$2:$O$9,Rates!$L$2:$L$9)/100),V71*(LOOKUP(Info!$F$18,Rates!$O$2:$O$9,Rates!$L$2:$L$9)/100)),0)</f>
        <v/>
      </c>
      <c r="V71" s="239">
        <f>IF(AND(AJ71&lt;&gt;"",AJ71&lt;=Rates!$Y$8,Info!#REF!="بله"),AH71*(LOOKUP(AJ71,Rates!$T$2:$T$108,Rates!#REF!)),IF(AND(AK71&lt;&gt;"",AK71&lt;=Rates!$Y$8,Info!#REF!="خیر"),AH71*(LOOKUP(AK71,Rates!$T$2:$T$108,Rates!#REF!)),0)*(1-Info!$F$29))</f>
        <v/>
      </c>
      <c r="W71" s="239">
        <f>IF(AJ71&lt;&gt;"",X71*LOOKUP(Info!$I$18,Rates!$O$2:$O$9,Rates!$M$2:$M$9)/100,0)</f>
        <v/>
      </c>
      <c r="X71" s="239">
        <f>IF(AJ71&lt;=Rates!$Y$4,0.0008*AF71*Info!$F$12,0)</f>
        <v/>
      </c>
      <c r="Y71" s="239">
        <f>IF(AJ71&lt;&gt;"",Z71*(LOOKUP(Info!$I$18,Rates!$O$2:$O$9,Rates!$N$2:$N$9/100)),0)</f>
        <v/>
      </c>
      <c r="Z71" s="238">
        <f>IF(AND(AJ71&lt;=(Rates!$Y$3),AD71&lt;&gt;""),(1-Info!$I$27)*0.0008*AF71*Info!$I$12,0)</f>
        <v/>
      </c>
      <c r="AA71" s="238">
        <f>IF(AJ71&lt;=60,(LOOKUP(AJ71,Rates!$T$2:$T$108,Rates!#REF!))*AC71/1000000*(1-Info!$I$29),0)</f>
        <v/>
      </c>
      <c r="AB71" s="236">
        <f>IF(AJ71&lt;&gt;"",(AF71*LOOKUP(AJ71,Rates!$T$2:$T$108,Rates!$S$2:$S$108))/SQRT(1+IF(AL71&lt;=10,Rates!$Y$5,Rates!$Y$6)),"")</f>
        <v/>
      </c>
      <c r="AC71" s="240">
        <f>IF(AND(AJ71&lt;&gt;"",AJ71&lt;=Rates!$Y$2),MIN(0.5*AF71,300000000,AC70*(1+Info!$F$10)),"")</f>
        <v/>
      </c>
      <c r="AD71" s="240">
        <f>IF(AND(AJ71&lt;&gt;"",AJ71&lt;=60),AF71*Info!$L$16,"")</f>
        <v/>
      </c>
      <c r="AE71" s="68">
        <f>IF(AND(AJ71&lt;&gt;"",AJ71&lt;=70),AF71*(1+Info!$L$14),"")</f>
        <v/>
      </c>
      <c r="AF71" s="68">
        <f>IF(AJ71&lt;&gt;"",AF70*(1+Info!$F$10),"")</f>
        <v/>
      </c>
      <c r="AG71" s="51">
        <f>IF(AJ71&lt;&gt;"",AI71+AG70,"")</f>
        <v/>
      </c>
      <c r="AH71" s="42">
        <f>IF(AJ71&lt;&gt;"",AI71*Rates!$Y$9,"")</f>
        <v/>
      </c>
      <c r="AI71" s="51">
        <f>IF(AJ71&lt;&gt;"",AI70*(1+Info!$F$8),"")</f>
        <v/>
      </c>
      <c r="AJ71" s="57">
        <f>IF(AL71&lt;&gt;"",Info!$F$6+AL71-1,"")</f>
        <v/>
      </c>
      <c r="AK71" s="66">
        <f>IF(AL71&lt;&gt;"",Info!$C$6+AL71-1,"")</f>
        <v/>
      </c>
      <c r="AL71" s="69">
        <f>IF(AL70&lt;&gt;"",IF(AL70+1&lt;=Info!$I$6,AL70+1,""),"")</f>
        <v/>
      </c>
    </row>
    <row r="78">
      <c r="A78" s="250" t="n"/>
      <c r="B78" s="250" t="n"/>
    </row>
    <row r="79">
      <c r="A79" s="250" t="n"/>
      <c r="B79" s="250" t="n"/>
    </row>
    <row r="80">
      <c r="A80" s="250" t="n"/>
      <c r="B80" s="250" t="n"/>
    </row>
    <row r="81">
      <c r="A81" s="250" t="n"/>
      <c r="B81" s="250" t="n"/>
    </row>
    <row r="82">
      <c r="A82" s="250" t="n"/>
      <c r="B82" s="250" t="n"/>
    </row>
    <row r="83">
      <c r="A83" s="250" t="n"/>
      <c r="B83" s="250" t="n"/>
    </row>
    <row r="84">
      <c r="A84" s="250" t="n"/>
      <c r="B84" s="250" t="n"/>
    </row>
    <row r="85">
      <c r="A85" s="250" t="n"/>
      <c r="B85" s="250" t="n"/>
    </row>
    <row r="86">
      <c r="A86" s="250" t="n"/>
      <c r="B86" s="250" t="n"/>
    </row>
    <row r="87">
      <c r="A87" s="250" t="n"/>
      <c r="B87" s="250" t="n"/>
    </row>
  </sheetData>
  <pageMargins left="0.7" right="0.7" top="0.75" bottom="0.75" header="0.3" footer="0.3"/>
  <pageSetup orientation="portrait" paperSize="9"/>
</worksheet>
</file>

<file path=xl/worksheets/sheet7.xml><?xml version="1.0" encoding="utf-8"?>
<worksheet xmlns="http://schemas.openxmlformats.org/spreadsheetml/2006/main">
  <sheetPr>
    <outlinePr summaryBelow="1" summaryRight="1"/>
    <pageSetUpPr/>
  </sheetPr>
  <dimension ref="A1:AG108"/>
  <sheetViews>
    <sheetView rightToLeft="1" topLeftCell="A9" zoomScale="91" zoomScaleNormal="91" workbookViewId="0">
      <selection activeCell="E37" sqref="E37"/>
    </sheetView>
  </sheetViews>
  <sheetFormatPr baseColWidth="8" defaultColWidth="9.14453125" defaultRowHeight="15"/>
  <cols>
    <col width="15.46875" customWidth="1" style="19" min="1" max="1"/>
    <col width="11.97265625" customWidth="1" style="71" min="2" max="2"/>
    <col width="12.10546875" customWidth="1" style="71" min="3" max="3"/>
    <col width="16.6796875" customWidth="1" style="71" min="4" max="4"/>
    <col width="15.87109375" customWidth="1" style="71" min="5" max="5"/>
    <col width="14.390625" customWidth="1" style="71" min="6" max="6"/>
    <col width="10.76171875" customWidth="1" style="71" min="7" max="8"/>
    <col width="10.625" customWidth="1" style="71" min="9" max="9"/>
    <col width="12.64453125" customWidth="1" style="71" min="10" max="10"/>
    <col width="9.14453125" customWidth="1" style="71" min="11" max="11"/>
    <col width="10.76171875" customWidth="1" style="71" min="12" max="12"/>
    <col width="15.73828125" customWidth="1" style="71" min="13" max="13"/>
    <col width="13.31640625" customWidth="1" style="71" min="14" max="14"/>
    <col width="17.484375" customWidth="1" style="71" min="15" max="15"/>
    <col width="7.12890625" customWidth="1" style="71" min="16" max="17"/>
    <col width="36.859375" customWidth="1" style="71" min="18" max="18"/>
    <col width="11.97265625" customWidth="1" style="71" min="19" max="19"/>
    <col width="4.03515625" customWidth="1" style="71" min="20" max="20"/>
    <col width="19.37109375" customWidth="1" style="71" min="21" max="21"/>
    <col width="17.62109375" customWidth="1" style="71" min="22" max="22"/>
    <col width="18.5625" customWidth="1" style="71" min="23" max="23"/>
    <col width="13.44921875" customWidth="1" style="71" min="24" max="24"/>
    <col width="8.609375" customWidth="1" style="19" min="25" max="25"/>
    <col width="38.203125" customWidth="1" style="19" min="26" max="26"/>
    <col width="18.16015625" customWidth="1" style="19" min="27" max="27"/>
    <col width="18.0234375" customWidth="1" style="19" min="28" max="28"/>
    <col width="9.55078125" customWidth="1" style="19" min="29" max="29"/>
    <col width="13.1796875" customWidth="1" style="19" min="30" max="30"/>
    <col width="9.14453125" customWidth="1" style="19" min="31" max="32"/>
    <col width="3.62890625" customWidth="1" style="19" min="33" max="33"/>
    <col width="9.14453125" customWidth="1" style="19" min="34" max="34"/>
    <col width="9.14453125" customWidth="1" style="19" min="35" max="16384"/>
  </cols>
  <sheetData>
    <row r="1" ht="39.75" customFormat="1" customHeight="1" s="93">
      <c r="A1" s="99" t="inlineStr">
        <is>
          <t>نرخ سال پنجم به بعد</t>
        </is>
      </c>
      <c r="B1" s="99" t="inlineStr">
        <is>
          <t>نرخ دو سال دوم</t>
        </is>
      </c>
      <c r="C1" s="99" t="inlineStr">
        <is>
          <t>نرخ دو سال اول</t>
        </is>
      </c>
      <c r="D1" s="88" t="inlineStr">
        <is>
          <t>طرح</t>
        </is>
      </c>
      <c r="E1" s="88" t="inlineStr">
        <is>
          <t>متوسط قطعی 5 سال آخر</t>
        </is>
      </c>
      <c r="F1" s="88" t="inlineStr">
        <is>
          <t>تعداد اقساط در سال</t>
        </is>
      </c>
      <c r="G1" s="88" t="inlineStr">
        <is>
          <t>مضرب اقساط</t>
        </is>
      </c>
      <c r="H1" s="88" t="inlineStr">
        <is>
          <t>ضریب تقسیط</t>
        </is>
      </c>
      <c r="I1" s="88" t="inlineStr">
        <is>
          <t>روش پرداخت</t>
        </is>
      </c>
      <c r="J1" s="88" t="inlineStr">
        <is>
          <t>کد روش پرداخت</t>
        </is>
      </c>
      <c r="K1" s="89" t="n"/>
      <c r="L1" s="88" t="inlineStr">
        <is>
          <t>درصد معافیت</t>
        </is>
      </c>
      <c r="M1" s="88" t="inlineStr">
        <is>
          <t>درصد از کار افتادگی</t>
        </is>
      </c>
      <c r="N1" s="88" t="inlineStr">
        <is>
          <t>درصد فوت حادثه</t>
        </is>
      </c>
      <c r="O1" s="88" t="inlineStr">
        <is>
          <t>طبقه شغلی</t>
        </is>
      </c>
      <c r="P1" s="88" t="inlineStr">
        <is>
          <t>کد داخلی</t>
        </is>
      </c>
      <c r="Q1" s="88" t="inlineStr">
        <is>
          <t>طرح امراض خاص</t>
        </is>
      </c>
      <c r="R1" s="90" t="inlineStr">
        <is>
          <t>نرخ حق بیمه بر اساس درصدی از حق بیمه سالانه</t>
        </is>
      </c>
      <c r="S1" s="91" t="inlineStr">
        <is>
          <t>q_x</t>
        </is>
      </c>
      <c r="T1" s="90" t="inlineStr">
        <is>
          <t>سن</t>
        </is>
      </c>
      <c r="U1" s="95" t="inlineStr">
        <is>
          <t>نرخ امراض پایه برای هر 1000000 ریال سرمایه</t>
        </is>
      </c>
      <c r="V1" s="95" t="inlineStr">
        <is>
          <t>نرخ امراض آسایش برای هر 1000000 ریال سرمایه</t>
        </is>
      </c>
      <c r="W1" s="95" t="inlineStr">
        <is>
          <t>نرخ امراض ممتاز برای هر 1000000 ریال سرمایه</t>
        </is>
      </c>
      <c r="X1" s="90" t="inlineStr">
        <is>
          <t>نرخ امراض معمولی برای هر 1000000 ریال سرمایه</t>
        </is>
      </c>
      <c r="Y1" s="92" t="inlineStr">
        <is>
          <t>مقدار</t>
        </is>
      </c>
      <c r="Z1" s="92" t="inlineStr">
        <is>
          <t>عنوان</t>
        </is>
      </c>
      <c r="AA1" s="92" t="inlineStr">
        <is>
          <t>درصد عوارض شهرداری</t>
        </is>
      </c>
      <c r="AB1" s="92" t="inlineStr">
        <is>
          <t>درصد مالیات بر ارزش افزوده</t>
        </is>
      </c>
      <c r="AC1" s="92" t="inlineStr">
        <is>
          <t>مالیات سلامت</t>
        </is>
      </c>
      <c r="AD1" s="96" t="inlineStr">
        <is>
          <t>سال</t>
        </is>
      </c>
      <c r="AF1" s="92" t="inlineStr">
        <is>
          <t>نرخ بازخریدی</t>
        </is>
      </c>
      <c r="AG1" s="92" t="inlineStr">
        <is>
          <t>سال</t>
        </is>
      </c>
    </row>
    <row r="2">
      <c r="A2" s="100" t="n">
        <v>0</v>
      </c>
      <c r="B2" s="100" t="n">
        <v>0</v>
      </c>
      <c r="C2" s="100" t="n">
        <v>0</v>
      </c>
      <c r="D2" s="73" t="n"/>
      <c r="E2" s="208" t="n"/>
      <c r="F2" s="208" t="n">
        <v>3</v>
      </c>
      <c r="G2" s="208" t="n">
        <v>0.66</v>
      </c>
      <c r="H2" s="208" t="n">
        <v>0.04</v>
      </c>
      <c r="I2" s="73" t="inlineStr">
        <is>
          <t>چهار ماهه</t>
        </is>
      </c>
      <c r="J2" s="73" t="n">
        <v>1</v>
      </c>
      <c r="L2" s="208" t="n">
        <v>200</v>
      </c>
      <c r="M2" s="208" t="n">
        <v>200</v>
      </c>
      <c r="N2" s="208" t="n">
        <v>200</v>
      </c>
      <c r="O2" s="73" t="inlineStr">
        <is>
          <t>طبقه پنج</t>
        </is>
      </c>
      <c r="P2" s="74" t="n">
        <v>7</v>
      </c>
      <c r="Q2" s="74" t="inlineStr">
        <is>
          <t>معمولی</t>
        </is>
      </c>
      <c r="R2" s="75" t="n">
        <v>1.5</v>
      </c>
      <c r="S2" s="251" t="n">
        <v>0.01734000000000002</v>
      </c>
      <c r="T2" s="120" t="n">
        <v>0</v>
      </c>
      <c r="U2" s="75" t="n">
        <v>296.1402967028897</v>
      </c>
      <c r="V2" s="75" t="n">
        <v>350.4216903953844</v>
      </c>
      <c r="W2" s="75" t="n">
        <v>424.6940976061817</v>
      </c>
      <c r="X2" s="75" t="n">
        <v>450</v>
      </c>
      <c r="Y2" s="77" t="n">
        <v>60</v>
      </c>
      <c r="Z2" s="78" t="inlineStr">
        <is>
          <t>حداکثر سن برای بیماری‌های خاص</t>
        </is>
      </c>
      <c r="AA2" s="77" t="n">
        <v>0.03</v>
      </c>
      <c r="AB2" s="77" t="n">
        <v>0.05</v>
      </c>
      <c r="AC2" s="77" t="n">
        <v>0.01</v>
      </c>
      <c r="AD2" s="78" t="n">
        <v>1394</v>
      </c>
      <c r="AF2" s="77" t="n">
        <v>0.9</v>
      </c>
      <c r="AG2" s="78" t="n">
        <v>1</v>
      </c>
    </row>
    <row r="3">
      <c r="A3" s="100" t="n">
        <v>0.1</v>
      </c>
      <c r="B3" s="100" t="n">
        <v>0.12</v>
      </c>
      <c r="C3" s="100" t="n">
        <v>0.12</v>
      </c>
      <c r="D3" s="97" t="inlineStr">
        <is>
          <t>پرريسک</t>
        </is>
      </c>
      <c r="E3" s="87">
        <f>IFERROR(GEOMEAN(G15:K15),0)</f>
        <v/>
      </c>
      <c r="F3" s="208" t="n">
        <v>6</v>
      </c>
      <c r="G3" s="208" t="n">
        <v>0.58</v>
      </c>
      <c r="H3" s="208" t="n">
        <v>0.06</v>
      </c>
      <c r="I3" s="73" t="inlineStr">
        <is>
          <t>دو ماهه</t>
        </is>
      </c>
      <c r="J3" s="73" t="n">
        <v>2</v>
      </c>
      <c r="L3" s="208" t="n">
        <v>150</v>
      </c>
      <c r="M3" s="208" t="n">
        <v>150</v>
      </c>
      <c r="N3" s="208" t="n">
        <v>150</v>
      </c>
      <c r="O3" s="73" t="inlineStr">
        <is>
          <t>طبقه چهار</t>
        </is>
      </c>
      <c r="P3" s="74" t="n">
        <v>6</v>
      </c>
      <c r="Q3" s="74" t="inlineStr">
        <is>
          <t>پایه</t>
        </is>
      </c>
      <c r="R3" s="75" t="n">
        <v>1.5</v>
      </c>
      <c r="S3" s="251" t="n">
        <v>0.001241528097205569</v>
      </c>
      <c r="T3" s="120" t="n">
        <v>1</v>
      </c>
      <c r="U3" s="75" t="n">
        <v>296.1402967028897</v>
      </c>
      <c r="V3" s="75" t="n">
        <v>350.4216903953844</v>
      </c>
      <c r="W3" s="75" t="n">
        <v>424.6940976061817</v>
      </c>
      <c r="X3" s="75" t="n">
        <v>450</v>
      </c>
      <c r="Y3" s="77" t="n">
        <v>70</v>
      </c>
      <c r="Z3" s="78" t="inlineStr">
        <is>
          <t>حداکثر سن برای فوت حادثی</t>
        </is>
      </c>
      <c r="AA3" s="77" t="n">
        <v>0.03</v>
      </c>
      <c r="AB3" s="77" t="n">
        <v>0.05</v>
      </c>
      <c r="AC3" s="77" t="n">
        <v>0.01</v>
      </c>
      <c r="AD3" s="78" t="n">
        <v>1395</v>
      </c>
      <c r="AF3" s="77" t="n">
        <v>0.91</v>
      </c>
      <c r="AG3" s="78" t="n">
        <v>2</v>
      </c>
    </row>
    <row r="4">
      <c r="A4" s="100" t="n">
        <v>0.08500000000000001</v>
      </c>
      <c r="B4" s="100" t="n">
        <v>0.08500000000000001</v>
      </c>
      <c r="C4" s="100" t="n">
        <v>0.08500000000000001</v>
      </c>
      <c r="D4" s="97" t="inlineStr">
        <is>
          <t>رشد1</t>
        </is>
      </c>
      <c r="E4" s="87">
        <f>IFERROR(GEOMEAN(G16:K16),0)</f>
        <v/>
      </c>
      <c r="F4" s="208" t="n">
        <v>1</v>
      </c>
      <c r="G4" s="208" t="n">
        <v>1</v>
      </c>
      <c r="H4" s="208" t="n">
        <v>0</v>
      </c>
      <c r="I4" s="73" t="inlineStr">
        <is>
          <t>سالانه</t>
        </is>
      </c>
      <c r="J4" s="73" t="n">
        <v>3</v>
      </c>
      <c r="L4" s="208" t="n">
        <v>50</v>
      </c>
      <c r="M4" s="208" t="n">
        <v>50</v>
      </c>
      <c r="N4" s="208" t="n">
        <v>0</v>
      </c>
      <c r="O4" s="73" t="inlineStr">
        <is>
          <t>طبقه دو از کار افتادگی</t>
        </is>
      </c>
      <c r="P4" s="74" t="n">
        <v>2</v>
      </c>
      <c r="Q4" s="74" t="inlineStr">
        <is>
          <t>آسایش</t>
        </is>
      </c>
      <c r="R4" s="75" t="n">
        <v>1.5</v>
      </c>
      <c r="S4" s="251" t="n">
        <v>0.0009373981089012551</v>
      </c>
      <c r="T4" s="72" t="n">
        <v>2</v>
      </c>
      <c r="U4" s="75" t="n">
        <v>296.1402967028897</v>
      </c>
      <c r="V4" s="75" t="n">
        <v>350.4216903953844</v>
      </c>
      <c r="W4" s="75" t="n">
        <v>424.6940976061817</v>
      </c>
      <c r="X4" s="75" t="n">
        <v>450</v>
      </c>
      <c r="Y4" s="77" t="n">
        <v>65</v>
      </c>
      <c r="Z4" s="78" t="inlineStr">
        <is>
          <t>حداکثر سن برای ازکار افتادگی</t>
        </is>
      </c>
      <c r="AA4" s="77" t="n">
        <v>0.03</v>
      </c>
      <c r="AB4" s="77" t="n">
        <v>0.05</v>
      </c>
      <c r="AC4" s="77" t="n">
        <v>0.01</v>
      </c>
      <c r="AD4" s="78" t="n">
        <v>1396</v>
      </c>
      <c r="AF4" s="77" t="n">
        <v>0.92</v>
      </c>
      <c r="AG4" s="78" t="n">
        <v>3</v>
      </c>
    </row>
    <row r="5">
      <c r="A5" s="100" t="n">
        <v>0.1</v>
      </c>
      <c r="B5" s="100" t="n">
        <v>0.1</v>
      </c>
      <c r="C5" s="100" t="n">
        <v>0.1</v>
      </c>
      <c r="D5" s="97" t="inlineStr">
        <is>
          <t>رشد</t>
        </is>
      </c>
      <c r="E5" s="87">
        <f>IFERROR(GEOMEAN(G17:K17),0)</f>
        <v/>
      </c>
      <c r="F5" s="208" t="n">
        <v>4</v>
      </c>
      <c r="G5" s="208" t="n">
        <v>0.625</v>
      </c>
      <c r="H5" s="208" t="n">
        <v>0.05</v>
      </c>
      <c r="I5" s="73" t="inlineStr">
        <is>
          <t>سه ماهه</t>
        </is>
      </c>
      <c r="J5" s="73" t="n">
        <v>4</v>
      </c>
      <c r="L5" s="208" t="n">
        <v>50</v>
      </c>
      <c r="M5" s="208" t="n">
        <v>50</v>
      </c>
      <c r="N5" s="208" t="n">
        <v>50</v>
      </c>
      <c r="O5" s="73" t="inlineStr">
        <is>
          <t>طبقه دو کلی</t>
        </is>
      </c>
      <c r="P5" s="74" t="n">
        <v>3</v>
      </c>
      <c r="Q5" s="74" t="inlineStr">
        <is>
          <t>ممتاز</t>
        </is>
      </c>
      <c r="R5" s="75" t="n">
        <v>1.5</v>
      </c>
      <c r="S5" s="251" t="n">
        <v>0.0007954962672866994</v>
      </c>
      <c r="T5" s="72" t="n">
        <v>3</v>
      </c>
      <c r="U5" s="75" t="n">
        <v>275.673621390686</v>
      </c>
      <c r="V5" s="75" t="n">
        <v>331.0705045648813</v>
      </c>
      <c r="W5" s="75" t="n">
        <v>400.5150508264485</v>
      </c>
      <c r="X5" s="75" t="n">
        <v>450</v>
      </c>
      <c r="Y5" s="79" t="n">
        <v>0.1</v>
      </c>
      <c r="Z5" s="80" t="inlineStr">
        <is>
          <t>نرخ سود فنی برای 10 سال اول</t>
        </is>
      </c>
      <c r="AA5" s="77" t="n">
        <v>0.03</v>
      </c>
      <c r="AB5" s="77" t="n">
        <v>0.05</v>
      </c>
      <c r="AC5" s="77" t="n">
        <v>0.01</v>
      </c>
      <c r="AD5" s="78" t="n">
        <v>1397</v>
      </c>
      <c r="AF5" s="77" t="n">
        <v>0.93</v>
      </c>
      <c r="AG5" s="78" t="n">
        <v>4</v>
      </c>
    </row>
    <row r="6">
      <c r="A6" s="100" t="n">
        <v>0.1</v>
      </c>
      <c r="B6" s="100" t="n">
        <v>0.13</v>
      </c>
      <c r="C6" s="100" t="n">
        <v>0.15</v>
      </c>
      <c r="D6" s="97" t="inlineStr">
        <is>
          <t>کم_ريسک</t>
        </is>
      </c>
      <c r="E6" s="87">
        <f>IFERROR(GEOMEAN(G18:K18),0)</f>
        <v/>
      </c>
      <c r="F6" s="208" t="n">
        <v>2</v>
      </c>
      <c r="G6" s="208" t="n">
        <v>0.75</v>
      </c>
      <c r="H6" s="208" t="n">
        <v>0.03</v>
      </c>
      <c r="I6" s="73" t="inlineStr">
        <is>
          <t>شش ماهه</t>
        </is>
      </c>
      <c r="J6" s="73" t="n">
        <v>5</v>
      </c>
      <c r="L6" s="208" t="n">
        <v>100</v>
      </c>
      <c r="M6" s="208" t="n">
        <v>100</v>
      </c>
      <c r="N6" s="208" t="n">
        <v>0</v>
      </c>
      <c r="O6" s="73" t="inlineStr">
        <is>
          <t>طبقه سه از کار افتادگی</t>
        </is>
      </c>
      <c r="P6" s="74" t="n">
        <v>4</v>
      </c>
      <c r="Q6" s="74" t="n"/>
      <c r="R6" s="75" t="n">
        <v>1.5</v>
      </c>
      <c r="S6" s="251" t="n">
        <v>0.0007246820585052882</v>
      </c>
      <c r="T6" s="72" t="n">
        <v>4</v>
      </c>
      <c r="U6" s="75" t="n">
        <v>256.765062407506</v>
      </c>
      <c r="V6" s="75" t="n">
        <v>313.2400318211569</v>
      </c>
      <c r="W6" s="75" t="n">
        <v>377.2133084158022</v>
      </c>
      <c r="X6" s="75" t="n">
        <v>450</v>
      </c>
      <c r="Y6" s="208" t="n">
        <v>0.15</v>
      </c>
      <c r="Z6" s="80" t="inlineStr">
        <is>
          <t>نرخ سود فنی برای بعد از 10 سال</t>
        </is>
      </c>
      <c r="AA6" s="77" t="n">
        <v>0.03</v>
      </c>
      <c r="AB6" s="77" t="n">
        <v>0.05</v>
      </c>
      <c r="AC6" s="77" t="n">
        <v>0.01</v>
      </c>
      <c r="AD6" s="78" t="n">
        <v>1398</v>
      </c>
      <c r="AF6" s="77" t="n">
        <v>0.9399999999999999</v>
      </c>
      <c r="AG6" s="78" t="n">
        <v>5</v>
      </c>
    </row>
    <row r="7">
      <c r="A7" s="100" t="n">
        <v>0.1</v>
      </c>
      <c r="B7" s="100" t="n">
        <v>0.13</v>
      </c>
      <c r="C7" s="100" t="n">
        <v>0.14</v>
      </c>
      <c r="D7" s="97" t="inlineStr">
        <is>
          <t>متوسط_ريسک</t>
        </is>
      </c>
      <c r="E7" s="87">
        <f>IFERROR(GEOMEAN(G19:K19),0)</f>
        <v/>
      </c>
      <c r="F7" s="208" t="n">
        <v>12</v>
      </c>
      <c r="G7" s="208" t="n">
        <v>0.541</v>
      </c>
      <c r="H7" s="208" t="n">
        <v>0.07000000000000001</v>
      </c>
      <c r="I7" s="73" t="inlineStr">
        <is>
          <t>ماهانه</t>
        </is>
      </c>
      <c r="J7" s="73" t="n">
        <v>6</v>
      </c>
      <c r="L7" s="208" t="n">
        <v>100</v>
      </c>
      <c r="M7" s="208" t="n">
        <v>100</v>
      </c>
      <c r="N7" s="208" t="n">
        <v>100</v>
      </c>
      <c r="O7" s="73" t="inlineStr">
        <is>
          <t>طبقه سه کلی</t>
        </is>
      </c>
      <c r="P7" s="74" t="n">
        <v>5</v>
      </c>
      <c r="Q7" s="74" t="n"/>
      <c r="R7" s="75" t="n">
        <v>1.5</v>
      </c>
      <c r="S7" s="251" t="n">
        <v>0.0006537082622596335</v>
      </c>
      <c r="T7" s="72" t="n">
        <v>5</v>
      </c>
      <c r="U7" s="75" t="n">
        <v>239.9254501030599</v>
      </c>
      <c r="V7" s="75" t="n">
        <v>297.4421740351373</v>
      </c>
      <c r="W7" s="75" t="n">
        <v>357.4600058601052</v>
      </c>
      <c r="X7" s="75" t="n">
        <v>450</v>
      </c>
      <c r="Y7" s="81" t="n">
        <v>2.3</v>
      </c>
      <c r="Z7" s="82" t="inlineStr">
        <is>
          <t>نرخ درآمد ازکار افتادگی</t>
        </is>
      </c>
      <c r="AA7" s="77" t="n">
        <v>0.03</v>
      </c>
      <c r="AB7" s="77" t="n">
        <v>0.05</v>
      </c>
      <c r="AC7" s="77" t="n">
        <v>0.01</v>
      </c>
      <c r="AD7" s="78" t="n">
        <v>1399</v>
      </c>
      <c r="AF7" s="77" t="n">
        <v>0.95</v>
      </c>
      <c r="AG7" s="78" t="n">
        <v>6</v>
      </c>
    </row>
    <row r="8">
      <c r="F8" s="208" t="n">
        <v>1</v>
      </c>
      <c r="G8" s="208" t="n">
        <v>1</v>
      </c>
      <c r="H8" s="208" t="n">
        <v>0</v>
      </c>
      <c r="I8" s="73" t="inlineStr">
        <is>
          <t>یکجا</t>
        </is>
      </c>
      <c r="J8" s="73" t="n">
        <v>7</v>
      </c>
      <c r="L8" s="208" t="n">
        <v>0</v>
      </c>
      <c r="M8" s="208" t="n">
        <v>0</v>
      </c>
      <c r="N8" s="208" t="n">
        <v>0</v>
      </c>
      <c r="O8" s="73" t="inlineStr">
        <is>
          <t>طبقه شش</t>
        </is>
      </c>
      <c r="P8" s="74" t="n">
        <v>8</v>
      </c>
      <c r="Q8" s="74" t="n"/>
      <c r="R8" s="75" t="n">
        <v>1.5</v>
      </c>
      <c r="S8" s="251" t="n">
        <v>0.000603031510951646</v>
      </c>
      <c r="T8" s="72" t="n">
        <v>6</v>
      </c>
      <c r="U8" s="75" t="n">
        <v>225.8090030988224</v>
      </c>
      <c r="V8" s="75" t="n">
        <v>284.356347815089</v>
      </c>
      <c r="W8" s="75" t="n">
        <v>341.8670006469558</v>
      </c>
      <c r="X8" s="75" t="n">
        <v>450</v>
      </c>
      <c r="Y8" s="79" t="n">
        <v>65</v>
      </c>
      <c r="Z8" s="80" t="inlineStr">
        <is>
          <t>حداکثر سن بیمه‌گذار برای حق‌بیمه معافیت</t>
        </is>
      </c>
      <c r="AA8" s="77" t="n">
        <v>0.03</v>
      </c>
      <c r="AB8" s="77" t="n">
        <v>0.05</v>
      </c>
      <c r="AC8" s="77" t="n">
        <v>0.01</v>
      </c>
      <c r="AD8" s="78" t="inlineStr">
        <is>
          <t>1400-01-10</t>
        </is>
      </c>
      <c r="AF8" s="77" t="n">
        <v>0.96</v>
      </c>
      <c r="AG8" s="78" t="n">
        <v>7</v>
      </c>
    </row>
    <row r="9">
      <c r="L9" s="208" t="n">
        <v>0</v>
      </c>
      <c r="M9" s="208" t="n">
        <v>0</v>
      </c>
      <c r="N9" s="208" t="n">
        <v>0</v>
      </c>
      <c r="O9" s="73" t="inlineStr">
        <is>
          <t>طبقه یک</t>
        </is>
      </c>
      <c r="P9" s="74" t="n">
        <v>1</v>
      </c>
      <c r="Q9" s="74" t="n"/>
      <c r="R9" s="75" t="n">
        <v>1.5</v>
      </c>
      <c r="S9" s="251" t="n">
        <v>0.0005829412967887082</v>
      </c>
      <c r="T9" s="72" t="n">
        <v>7</v>
      </c>
      <c r="U9" s="75" t="n">
        <v>214.9571412326499</v>
      </c>
      <c r="V9" s="75" t="n">
        <v>274.6080647688027</v>
      </c>
      <c r="W9" s="75" t="n">
        <v>331.0689466787451</v>
      </c>
      <c r="X9" s="75" t="n">
        <v>450</v>
      </c>
      <c r="Y9" s="83">
        <f>-PV(Y5,10,1,,1)</f>
        <v/>
      </c>
      <c r="Z9" s="84" t="inlineStr">
        <is>
          <t>ارزش فعلی حق‌بیمه برای 10 سال</t>
        </is>
      </c>
      <c r="AA9" s="77" t="n">
        <v>0</v>
      </c>
      <c r="AB9" s="77" t="n">
        <v>0</v>
      </c>
      <c r="AC9" s="77" t="n">
        <v>0</v>
      </c>
      <c r="AD9" s="78" t="inlineStr">
        <is>
          <t>1400-10-12</t>
        </is>
      </c>
    </row>
    <row r="10">
      <c r="R10" s="75" t="n">
        <v>1.5</v>
      </c>
      <c r="S10" s="251" t="n">
        <v>0.0005423492934110152</v>
      </c>
      <c r="T10" s="72" t="n">
        <v>8</v>
      </c>
      <c r="U10" s="75" t="n">
        <v>207.6149990093397</v>
      </c>
      <c r="V10" s="75" t="n">
        <v>268.593152048016</v>
      </c>
      <c r="W10" s="75" t="n">
        <v>325.5588634841691</v>
      </c>
      <c r="X10" s="75" t="n">
        <v>450</v>
      </c>
      <c r="Y10" s="77" t="n">
        <v>65</v>
      </c>
      <c r="Z10" s="78" t="inlineStr">
        <is>
          <t>حداکثر سن برای هزینه پزشکی</t>
        </is>
      </c>
      <c r="AA10" s="77" t="n">
        <v>0.03</v>
      </c>
      <c r="AB10" s="77" t="n">
        <v>0.05</v>
      </c>
      <c r="AC10" s="77" t="n">
        <v>0.01</v>
      </c>
      <c r="AD10" s="78" t="inlineStr">
        <is>
          <t>1401-01-01</t>
        </is>
      </c>
    </row>
    <row r="11">
      <c r="R11" s="75" t="n">
        <v>1.5</v>
      </c>
      <c r="S11" s="251" t="n">
        <v>0.0005324050373707312</v>
      </c>
      <c r="T11" s="72" t="n">
        <v>9</v>
      </c>
      <c r="U11" s="75" t="n">
        <v>203.6048339493867</v>
      </c>
      <c r="V11" s="75" t="n">
        <v>266.3360444550801</v>
      </c>
      <c r="W11" s="75" t="n">
        <v>325.5309546918835</v>
      </c>
      <c r="X11" s="75" t="n">
        <v>450</v>
      </c>
      <c r="Y11" s="77" t="n">
        <v>80</v>
      </c>
      <c r="Z11" s="78" t="inlineStr">
        <is>
          <t>حداکثر سن بیمه‌شده برای فوت عادی</t>
        </is>
      </c>
      <c r="AA11" s="77" t="n">
        <v>0</v>
      </c>
      <c r="AB11" s="77" t="n">
        <v>0</v>
      </c>
      <c r="AC11" s="77" t="n">
        <v>0</v>
      </c>
      <c r="AD11" s="78" t="inlineStr">
        <is>
          <t>1401-10-20</t>
        </is>
      </c>
    </row>
    <row r="12">
      <c r="R12" s="75" t="n">
        <v>1.5</v>
      </c>
      <c r="S12" s="251" t="n">
        <v>0.0005326886434878775</v>
      </c>
      <c r="T12" s="72" t="n">
        <v>10</v>
      </c>
      <c r="U12" s="75" t="n">
        <v>202.7330961443617</v>
      </c>
      <c r="V12" s="75" t="n">
        <v>267.863457645884</v>
      </c>
      <c r="W12" s="75" t="n">
        <v>331.2067425133363</v>
      </c>
      <c r="X12" s="75" t="n">
        <v>450</v>
      </c>
    </row>
    <row r="13" ht="32.25" customHeight="1">
      <c r="A13" s="98" t="inlineStr">
        <is>
          <t>سود قطعی بر حسب سال</t>
        </is>
      </c>
      <c r="B13" s="101" t="inlineStr">
        <is>
          <t>نرخ دو سال اول</t>
        </is>
      </c>
      <c r="C13" s="101" t="inlineStr">
        <is>
          <t>نرخ دو سال دوم</t>
        </is>
      </c>
      <c r="D13" s="101" t="inlineStr">
        <is>
          <t>نرخ سال پنجم به بعد</t>
        </is>
      </c>
      <c r="E13" s="208" t="n">
        <v>1395</v>
      </c>
      <c r="F13" s="208" t="n">
        <v>1396</v>
      </c>
      <c r="G13" s="208" t="n">
        <v>1397</v>
      </c>
      <c r="H13" s="208" t="n">
        <v>1398</v>
      </c>
      <c r="I13" s="208" t="n">
        <v>1399</v>
      </c>
      <c r="J13" s="208" t="n">
        <v>1400</v>
      </c>
      <c r="K13" s="85" t="n">
        <v>1401</v>
      </c>
      <c r="R13" s="75" t="n">
        <v>1.5</v>
      </c>
      <c r="S13" s="251" t="n">
        <v>0.0005329725519135353</v>
      </c>
      <c r="T13" s="72" t="n">
        <v>11</v>
      </c>
      <c r="U13" s="75" t="n">
        <v>205.02955185048</v>
      </c>
      <c r="V13" s="75" t="n">
        <v>273.3972840751952</v>
      </c>
      <c r="W13" s="75" t="n">
        <v>342.9509233676888</v>
      </c>
      <c r="X13" s="75" t="n">
        <v>450</v>
      </c>
    </row>
    <row r="14">
      <c r="A14" s="73" t="n"/>
      <c r="B14" s="102" t="n"/>
      <c r="C14" s="102" t="n"/>
      <c r="D14" s="102" t="n"/>
      <c r="E14" s="208" t="n"/>
      <c r="F14" s="208" t="n"/>
      <c r="G14" s="208" t="n"/>
      <c r="H14" s="208" t="n"/>
      <c r="I14" s="85" t="n"/>
      <c r="J14" s="208" t="n"/>
      <c r="K14" s="85" t="n"/>
      <c r="R14" s="75" t="n">
        <v>1.5</v>
      </c>
      <c r="S14" s="251" t="n">
        <v>0.0005332567631314289</v>
      </c>
      <c r="T14" s="72" t="n">
        <v>12</v>
      </c>
      <c r="U14" s="75" t="n">
        <v>209.7358637703414</v>
      </c>
      <c r="V14" s="75" t="n">
        <v>282.2912706120313</v>
      </c>
      <c r="W14" s="75" t="n">
        <v>360.1127493680773</v>
      </c>
      <c r="X14" s="75" t="n">
        <v>450</v>
      </c>
    </row>
    <row r="15">
      <c r="A15" s="73" t="inlineStr">
        <is>
          <t>پرريسک</t>
        </is>
      </c>
      <c r="B15" s="102" t="n">
        <v>0.12</v>
      </c>
      <c r="C15" s="102" t="n">
        <v>0.12</v>
      </c>
      <c r="D15" s="102" t="n">
        <v>0.1</v>
      </c>
      <c r="E15" s="252">
        <f>$B24+0.85*(E24-$B24)</f>
        <v/>
      </c>
      <c r="F15" s="252">
        <f>$B24+0.85*(F24-$B24)</f>
        <v/>
      </c>
      <c r="G15" s="252">
        <f>$B24+0.85*(G24-$B24)</f>
        <v/>
      </c>
      <c r="H15" s="252">
        <f>$B24+0.85*(H24-$B24)</f>
        <v/>
      </c>
      <c r="I15" s="252">
        <f>$B24+0.85*(I24-$B24)</f>
        <v/>
      </c>
      <c r="J15" s="252">
        <f>$B24+0.85*(J24-$B24)</f>
        <v/>
      </c>
      <c r="K15" s="253">
        <f>$B24+0.85*(K24-$B24)</f>
        <v/>
      </c>
      <c r="R15" s="75" t="n">
        <v>1.5</v>
      </c>
      <c r="S15" s="251" t="n">
        <v>0.0005745829143666281</v>
      </c>
      <c r="T15" s="72" t="n">
        <v>13</v>
      </c>
      <c r="U15" s="75" t="n">
        <v>216.7227722173748</v>
      </c>
      <c r="V15" s="75" t="n">
        <v>294.4003497912913</v>
      </c>
      <c r="W15" s="75" t="n">
        <v>382.2986325655022</v>
      </c>
      <c r="X15" s="75" t="n">
        <v>450</v>
      </c>
    </row>
    <row r="16">
      <c r="A16" s="73" t="inlineStr">
        <is>
          <t>رشد1</t>
        </is>
      </c>
      <c r="B16" s="102" t="n">
        <v>0.08500000000000001</v>
      </c>
      <c r="C16" s="102" t="n">
        <v>0.08500000000000001</v>
      </c>
      <c r="D16" s="102" t="n">
        <v>0.08500000000000001</v>
      </c>
      <c r="E16" s="252" t="inlineStr">
        <is>
          <t>-</t>
        </is>
      </c>
      <c r="F16" s="252">
        <f>$B25+0.85*(F25-$B25)</f>
        <v/>
      </c>
      <c r="G16" s="252">
        <f>$B25+0.85*(G25-$B25)</f>
        <v/>
      </c>
      <c r="H16" s="252">
        <f>$B25+0.85*(H25-$B25)</f>
        <v/>
      </c>
      <c r="I16" s="252">
        <f>$B25+0.85*(I25-$B25)</f>
        <v/>
      </c>
      <c r="J16" s="252">
        <f>$B25+0.85*(J25-$B25)</f>
        <v/>
      </c>
      <c r="K16" s="253">
        <f>$B25+0.85*(K25-$B25)</f>
        <v/>
      </c>
      <c r="R16" s="75" t="n">
        <v>1.5</v>
      </c>
      <c r="S16" s="251" t="n">
        <v>0.000595445865757771</v>
      </c>
      <c r="T16" s="72" t="n">
        <v>14</v>
      </c>
      <c r="U16" s="75" t="n">
        <v>226.0549702377665</v>
      </c>
      <c r="V16" s="75" t="n">
        <v>309.6147508376715</v>
      </c>
      <c r="W16" s="75" t="n">
        <v>408.839432187529</v>
      </c>
      <c r="X16" s="75" t="n">
        <v>450</v>
      </c>
    </row>
    <row r="17">
      <c r="A17" s="73" t="inlineStr">
        <is>
          <t>رشد</t>
        </is>
      </c>
      <c r="B17" s="102" t="n">
        <v>0.1</v>
      </c>
      <c r="C17" s="102" t="n">
        <v>0.1</v>
      </c>
      <c r="D17" s="102" t="n">
        <v>0.1</v>
      </c>
      <c r="E17" s="252">
        <f>$B26+0.85*(E26-$B26)</f>
        <v/>
      </c>
      <c r="F17" s="252">
        <f>$B26+0.85*(F26-$B26)</f>
        <v/>
      </c>
      <c r="G17" s="252">
        <f>$B26+0.85*(G26-$B26)</f>
        <v/>
      </c>
      <c r="H17" s="252">
        <f>$B26+0.85*(H26-$B26)</f>
        <v/>
      </c>
      <c r="I17" s="252">
        <f>$B26+0.85*(I26-$B26)</f>
        <v/>
      </c>
      <c r="J17" s="252">
        <f>$B26+0.85*(J26-$B26)</f>
        <v/>
      </c>
      <c r="K17" s="253">
        <f>$B26+0.85*(K26-$B26)</f>
        <v/>
      </c>
      <c r="R17" s="75" t="n">
        <v>1.5</v>
      </c>
      <c r="S17" s="251" t="n">
        <v>0.0006574351810001433</v>
      </c>
      <c r="T17" s="72" t="n">
        <v>15</v>
      </c>
      <c r="U17" s="75" t="n">
        <v>238.2349406602265</v>
      </c>
      <c r="V17" s="75" t="n">
        <v>327.4561335786149</v>
      </c>
      <c r="W17" s="75" t="n">
        <v>438.3913927831455</v>
      </c>
      <c r="X17" s="75" t="n">
        <v>450</v>
      </c>
    </row>
    <row r="18">
      <c r="A18" s="73" t="inlineStr">
        <is>
          <t>کم_ريسک</t>
        </is>
      </c>
      <c r="B18" s="102" t="n">
        <v>0.15</v>
      </c>
      <c r="C18" s="102" t="n">
        <v>0.13</v>
      </c>
      <c r="D18" s="102" t="n">
        <v>0.1</v>
      </c>
      <c r="E18" s="252">
        <f>$B27+0.85*(E27-$B27)</f>
        <v/>
      </c>
      <c r="F18" s="252">
        <f>$B27+0.85*(F27-$B27)</f>
        <v/>
      </c>
      <c r="G18" s="252">
        <f>$B27+0.85*(G27-$B27)</f>
        <v/>
      </c>
      <c r="H18" s="252">
        <f>$B27+0.85*(H27-$B27)</f>
        <v/>
      </c>
      <c r="I18" s="252">
        <f>$B27+0.85*(I27-$B27)</f>
        <v/>
      </c>
      <c r="J18" s="252">
        <f>$B27+0.85*(J27-$B27)</f>
        <v/>
      </c>
      <c r="K18" s="253">
        <f>$B27+0.85*(K27-$B27)</f>
        <v/>
      </c>
      <c r="R18" s="75" t="n">
        <v>1.5</v>
      </c>
      <c r="S18" s="251" t="n">
        <v>0.0006989844167591963</v>
      </c>
      <c r="T18" s="72" t="n">
        <v>16</v>
      </c>
      <c r="U18" s="75" t="n">
        <v>253.1147179799876</v>
      </c>
      <c r="V18" s="75" t="n">
        <v>347.7494225292151</v>
      </c>
      <c r="W18" s="75" t="n">
        <v>469.7352730415564</v>
      </c>
      <c r="X18" s="75" t="n">
        <v>450</v>
      </c>
    </row>
    <row r="19">
      <c r="A19" s="73" t="inlineStr">
        <is>
          <t>متوسط_ريسک</t>
        </is>
      </c>
      <c r="B19" s="102" t="n">
        <v>0.14</v>
      </c>
      <c r="C19" s="102" t="n">
        <v>0.13</v>
      </c>
      <c r="D19" s="102" t="n">
        <v>0.1</v>
      </c>
      <c r="E19" s="252">
        <f>$B28+0.85*(E28-$B28)</f>
        <v/>
      </c>
      <c r="F19" s="252">
        <f>$B28+0.85*(F28-$B28)</f>
        <v/>
      </c>
      <c r="G19" s="252">
        <f>$B28+0.85*(G28-$B28)</f>
        <v/>
      </c>
      <c r="H19" s="252">
        <f>$B28+0.85*(H28-$B28)</f>
        <v/>
      </c>
      <c r="I19" s="252">
        <f>$B28+0.85*(I28-$B28)</f>
        <v/>
      </c>
      <c r="J19" s="252">
        <f>$B28+0.85*(J28-$B28)</f>
        <v/>
      </c>
      <c r="K19" s="253">
        <f>$B28+0.85*(K28-$B28)</f>
        <v/>
      </c>
      <c r="R19" s="75" t="n">
        <v>1.5</v>
      </c>
      <c r="S19" s="251" t="n">
        <v>0.0007611915734035968</v>
      </c>
      <c r="T19" s="72" t="n">
        <v>17</v>
      </c>
      <c r="U19" s="75" t="n">
        <v>271.2401662048936</v>
      </c>
      <c r="V19" s="75" t="n">
        <v>370.6654268472795</v>
      </c>
      <c r="W19" s="75" t="n">
        <v>502.1259269399782</v>
      </c>
      <c r="X19" s="75" t="n">
        <v>450</v>
      </c>
    </row>
    <row r="20">
      <c r="B20" s="86" t="n"/>
      <c r="C20" s="86" t="n"/>
      <c r="D20" s="86" t="n"/>
      <c r="E20" s="86" t="n"/>
      <c r="F20" s="86" t="n"/>
      <c r="G20" s="86" t="n"/>
      <c r="K20" s="169" t="n"/>
      <c r="R20" s="75" t="n">
        <v>1.5</v>
      </c>
      <c r="S20" s="251" t="n">
        <v>0.0008132424697865348</v>
      </c>
      <c r="T20" s="72" t="n">
        <v>18</v>
      </c>
      <c r="U20" s="75" t="n">
        <v>452.7452638160169</v>
      </c>
      <c r="V20" s="75" t="n">
        <v>601.8538114336499</v>
      </c>
      <c r="W20" s="75" t="n">
        <v>869.4896187159017</v>
      </c>
      <c r="X20" s="75" t="n">
        <v>450</v>
      </c>
    </row>
    <row r="21">
      <c r="K21" s="169" t="n"/>
      <c r="R21" s="75" t="n">
        <v>1.5</v>
      </c>
      <c r="S21" s="251" t="n">
        <v>0.0008757198932651811</v>
      </c>
      <c r="T21" s="72" t="n">
        <v>19</v>
      </c>
      <c r="U21" s="75" t="n">
        <v>489.6390386569659</v>
      </c>
      <c r="V21" s="75" t="n">
        <v>643.9690670053266</v>
      </c>
      <c r="W21" s="75" t="n">
        <v>917.6298440027139</v>
      </c>
      <c r="X21" s="75" t="n">
        <v>450</v>
      </c>
    </row>
    <row r="22">
      <c r="A22" s="208" t="inlineStr">
        <is>
          <t>صندوق</t>
        </is>
      </c>
      <c r="B22" s="252" t="inlineStr">
        <is>
          <t>تضمین</t>
        </is>
      </c>
      <c r="D22" s="254" t="inlineStr">
        <is>
          <t>عملکرد سرمایه گذاری</t>
        </is>
      </c>
      <c r="E22" s="254" t="n"/>
      <c r="F22" s="254" t="n"/>
      <c r="G22" s="254" t="n"/>
      <c r="H22" s="254" t="n"/>
      <c r="I22" s="254" t="n"/>
      <c r="J22" s="254" t="n"/>
      <c r="K22" s="255" t="n"/>
      <c r="R22" s="75" t="n">
        <v>1.5</v>
      </c>
      <c r="S22" s="251" t="n">
        <v>0.0009280455361009299</v>
      </c>
      <c r="T22" s="72" t="n">
        <v>20</v>
      </c>
      <c r="U22" s="75" t="n">
        <v>528.7386598509016</v>
      </c>
      <c r="V22" s="75" t="n">
        <v>687.2178137485791</v>
      </c>
      <c r="W22" s="75" t="n">
        <v>962.2177335556777</v>
      </c>
      <c r="X22" s="75" t="n">
        <v>450</v>
      </c>
    </row>
    <row r="23">
      <c r="A23" s="256" t="n"/>
      <c r="B23" s="256" t="n"/>
      <c r="D23" s="208" t="n">
        <v>1394</v>
      </c>
      <c r="E23" s="208" t="n">
        <v>1395</v>
      </c>
      <c r="F23" s="208" t="n">
        <v>1396</v>
      </c>
      <c r="G23" s="208" t="n">
        <v>1397</v>
      </c>
      <c r="H23" s="208" t="n">
        <v>1398</v>
      </c>
      <c r="I23" s="208" t="n">
        <v>1399</v>
      </c>
      <c r="J23" s="208" t="n">
        <v>1400</v>
      </c>
      <c r="K23" s="85" t="n">
        <v>1401</v>
      </c>
      <c r="R23" s="75" t="n">
        <v>1.5</v>
      </c>
      <c r="S23" s="251" t="n">
        <v>0.0009908347783007532</v>
      </c>
      <c r="T23" s="72" t="n">
        <v>21</v>
      </c>
      <c r="U23" s="75" t="n">
        <v>581.7175002003597</v>
      </c>
      <c r="V23" s="75" t="n">
        <v>743.1152152623209</v>
      </c>
      <c r="W23" s="75" t="n">
        <v>1017.765831221544</v>
      </c>
      <c r="X23" s="75" t="n">
        <v>450</v>
      </c>
    </row>
    <row r="24">
      <c r="A24" s="73" t="inlineStr">
        <is>
          <t>پرريسک</t>
        </is>
      </c>
      <c r="B24" s="252" t="n">
        <v>0.12</v>
      </c>
      <c r="D24" s="252" t="n">
        <v>0.23</v>
      </c>
      <c r="E24" s="252" t="n">
        <v>0.215</v>
      </c>
      <c r="F24" s="252" t="n">
        <v>0.205</v>
      </c>
      <c r="G24" s="252" t="n">
        <v>0.22</v>
      </c>
      <c r="H24" s="252" t="n">
        <v>0.23</v>
      </c>
      <c r="I24" s="252" t="n">
        <v>0.27</v>
      </c>
      <c r="J24" s="252" t="n">
        <v>0.2</v>
      </c>
      <c r="K24" s="253" t="n">
        <v>0.2</v>
      </c>
      <c r="R24" s="75" t="n">
        <v>1.5</v>
      </c>
      <c r="S24" s="251" t="n">
        <v>0.001043474667327904</v>
      </c>
      <c r="T24" s="72" t="n">
        <v>22</v>
      </c>
      <c r="U24" s="75" t="n">
        <v>637.0681727133089</v>
      </c>
      <c r="V24" s="75" t="n">
        <v>800.1319908236434</v>
      </c>
      <c r="W24" s="75" t="n">
        <v>1073.89093535854</v>
      </c>
      <c r="X24" s="75" t="n">
        <v>450</v>
      </c>
    </row>
    <row r="25">
      <c r="A25" s="73" t="inlineStr">
        <is>
          <t>رشد1</t>
        </is>
      </c>
      <c r="B25" s="252" t="n">
        <v>0.08500000000000001</v>
      </c>
      <c r="D25" s="252" t="n"/>
      <c r="E25" s="252" t="n"/>
      <c r="F25" s="252" t="n">
        <v>0.25</v>
      </c>
      <c r="G25" s="252" t="n">
        <v>0.3</v>
      </c>
      <c r="H25" s="252" t="n">
        <v>0.45</v>
      </c>
      <c r="I25" s="252" t="n">
        <v>0.58</v>
      </c>
      <c r="J25" s="252" t="n">
        <v>0.32</v>
      </c>
      <c r="K25" s="253" t="n">
        <v>0.32</v>
      </c>
      <c r="R25" s="75" t="n">
        <v>1.5</v>
      </c>
      <c r="S25" s="251" t="n">
        <v>0.001085933540867279</v>
      </c>
      <c r="T25" s="72" t="n">
        <v>23</v>
      </c>
      <c r="U25" s="75" t="n">
        <v>703.5181097303469</v>
      </c>
      <c r="V25" s="75" t="n">
        <v>867.044516617396</v>
      </c>
      <c r="W25" s="75" t="n">
        <v>1135.723116340945</v>
      </c>
      <c r="X25" s="75" t="n">
        <v>450</v>
      </c>
    </row>
    <row r="26">
      <c r="A26" s="73" t="inlineStr">
        <is>
          <t>رشد</t>
        </is>
      </c>
      <c r="B26" s="252" t="n">
        <v>0.1</v>
      </c>
      <c r="D26" s="252" t="n">
        <v>0.235</v>
      </c>
      <c r="E26" s="252" t="n">
        <v>0.235</v>
      </c>
      <c r="F26" s="252" t="n">
        <v>0.23</v>
      </c>
      <c r="G26" s="252" t="n">
        <v>0.25</v>
      </c>
      <c r="H26" s="252" t="n">
        <v>0.29</v>
      </c>
      <c r="I26" s="252" t="n">
        <v>0.3</v>
      </c>
      <c r="J26" s="252" t="n">
        <v>0.21</v>
      </c>
      <c r="K26" s="253" t="n">
        <v>0.21</v>
      </c>
      <c r="R26" s="75" t="n">
        <v>1.5</v>
      </c>
      <c r="S26" s="251" t="n">
        <v>0.001128527944008417</v>
      </c>
      <c r="T26" s="72" t="n">
        <v>24</v>
      </c>
      <c r="U26" s="75" t="n">
        <v>775.4666666534613</v>
      </c>
      <c r="V26" s="75" t="n">
        <v>938.3240632572471</v>
      </c>
      <c r="W26" s="75" t="n">
        <v>1202.384812740197</v>
      </c>
      <c r="X26" s="75" t="n">
        <v>450</v>
      </c>
    </row>
    <row r="27">
      <c r="A27" s="73" t="inlineStr">
        <is>
          <t>کم_ريسک</t>
        </is>
      </c>
      <c r="B27" s="252" t="n">
        <v>0.15</v>
      </c>
      <c r="D27" s="252" t="n">
        <v>0.17</v>
      </c>
      <c r="E27" s="252" t="n">
        <v>0.17</v>
      </c>
      <c r="F27" s="252" t="n">
        <v>0.165</v>
      </c>
      <c r="G27" s="252" t="n">
        <v>0.17</v>
      </c>
      <c r="H27" s="252" t="n">
        <v>0.17</v>
      </c>
      <c r="I27" s="252" t="n">
        <v>0.18</v>
      </c>
      <c r="J27" s="252" t="n">
        <v>0.16</v>
      </c>
      <c r="K27" s="253" t="n">
        <v>0.16</v>
      </c>
      <c r="R27" s="75" t="n">
        <v>1.5</v>
      </c>
      <c r="S27" s="251" t="n">
        <v>0.001181628781989463</v>
      </c>
      <c r="T27" s="72" t="n">
        <v>25</v>
      </c>
      <c r="U27" s="75" t="n">
        <v>850.7053392913184</v>
      </c>
      <c r="V27" s="75" t="n">
        <v>1011.846122797991</v>
      </c>
      <c r="W27" s="75" t="n">
        <v>1270.448627229963</v>
      </c>
      <c r="X27" s="75" t="n">
        <v>450</v>
      </c>
    </row>
    <row r="28">
      <c r="A28" s="73" t="inlineStr">
        <is>
          <t>متوسط_ريسک</t>
        </is>
      </c>
      <c r="B28" s="252" t="n">
        <v>0.14</v>
      </c>
      <c r="D28" s="252" t="n">
        <v>0.18</v>
      </c>
      <c r="E28" s="252" t="n">
        <v>0.18</v>
      </c>
      <c r="F28" s="252" t="n">
        <v>0.17</v>
      </c>
      <c r="G28" s="252" t="n">
        <v>0.18</v>
      </c>
      <c r="H28" s="252" t="n">
        <v>0.19</v>
      </c>
      <c r="I28" s="252" t="n">
        <v>0.2</v>
      </c>
      <c r="J28" s="252" t="n">
        <v>0.16</v>
      </c>
      <c r="K28" s="253" t="n">
        <v>0.16</v>
      </c>
      <c r="R28" s="75" t="n">
        <v>1.5</v>
      </c>
      <c r="S28" s="251" t="n">
        <v>0.001193404107385665</v>
      </c>
      <c r="T28" s="72" t="n">
        <v>26</v>
      </c>
      <c r="U28" s="75" t="n">
        <v>926.5093536627613</v>
      </c>
      <c r="V28" s="75" t="n">
        <v>1084.988643199835</v>
      </c>
      <c r="W28" s="75" t="n">
        <v>1340.214415894849</v>
      </c>
      <c r="X28" s="75" t="n">
        <v>570</v>
      </c>
    </row>
    <row r="29">
      <c r="A29" s="19" t="inlineStr">
        <is>
          <t>یونیت لینک</t>
        </is>
      </c>
      <c r="R29" s="75" t="n">
        <v>1.5</v>
      </c>
      <c r="S29" s="251" t="n">
        <v>0.001225999501288322</v>
      </c>
      <c r="T29" s="72" t="n">
        <v>27</v>
      </c>
      <c r="U29" s="75" t="n">
        <v>1007.031802042041</v>
      </c>
      <c r="V29" s="75" t="n">
        <v>1164.95135014373</v>
      </c>
      <c r="W29" s="75" t="n">
        <v>1419.466077504606</v>
      </c>
      <c r="X29" s="75" t="n">
        <v>570</v>
      </c>
    </row>
    <row r="30">
      <c r="R30" s="75" t="n">
        <v>1.5</v>
      </c>
      <c r="S30" s="251" t="n">
        <v>0.001269114740455657</v>
      </c>
      <c r="T30" s="72" t="n">
        <v>28</v>
      </c>
      <c r="U30" s="75" t="n">
        <v>1089.888720972995</v>
      </c>
      <c r="V30" s="75" t="n">
        <v>1247.603643106299</v>
      </c>
      <c r="W30" s="75" t="n">
        <v>1503.379936157616</v>
      </c>
      <c r="X30" s="75" t="n">
        <v>570</v>
      </c>
    </row>
    <row r="31">
      <c r="R31" s="75" t="n">
        <v>1.5</v>
      </c>
      <c r="S31" s="251" t="n">
        <v>0.001291559036746937</v>
      </c>
      <c r="T31" s="72" t="n">
        <v>29</v>
      </c>
      <c r="U31" s="75" t="n">
        <v>1181.354182503908</v>
      </c>
      <c r="V31" s="75" t="n">
        <v>1338.513864939583</v>
      </c>
      <c r="W31" s="75" t="n">
        <v>1596.677698206274</v>
      </c>
      <c r="X31" s="75" t="n">
        <v>570</v>
      </c>
    </row>
    <row r="32">
      <c r="R32" s="75" t="n">
        <v>1.5</v>
      </c>
      <c r="S32" s="251" t="n">
        <v>0.001314087856159496</v>
      </c>
      <c r="T32" s="72" t="n">
        <v>30</v>
      </c>
      <c r="U32" s="75" t="n">
        <v>1274.964378681909</v>
      </c>
      <c r="V32" s="75" t="n">
        <v>1431.544006559685</v>
      </c>
      <c r="W32" s="75" t="n">
        <v>1697.180919772508</v>
      </c>
      <c r="X32" s="75" t="n">
        <v>570</v>
      </c>
    </row>
    <row r="33">
      <c r="R33" s="75" t="n">
        <v>2</v>
      </c>
      <c r="S33" s="251" t="n">
        <v>0.001336702938657841</v>
      </c>
      <c r="T33" s="72" t="n">
        <v>31</v>
      </c>
      <c r="U33" s="75" t="n">
        <v>1384.558084767331</v>
      </c>
      <c r="V33" s="75" t="n">
        <v>1540.880865591545</v>
      </c>
      <c r="W33" s="75" t="n">
        <v>1819.028951604986</v>
      </c>
      <c r="X33" s="75" t="n">
        <v>750</v>
      </c>
    </row>
    <row r="34">
      <c r="R34" s="75" t="n">
        <v>2</v>
      </c>
      <c r="S34" s="251" t="n">
        <v>0.001380319983268818</v>
      </c>
      <c r="T34" s="72" t="n">
        <v>32</v>
      </c>
      <c r="U34" s="75" t="n">
        <v>1508.487286082848</v>
      </c>
      <c r="V34" s="75" t="n">
        <v>1665.161190822304</v>
      </c>
      <c r="W34" s="75" t="n">
        <v>1959.393127193524</v>
      </c>
      <c r="X34" s="75" t="n">
        <v>750</v>
      </c>
    </row>
    <row r="35">
      <c r="R35" s="75" t="n">
        <v>2</v>
      </c>
      <c r="S35" s="251" t="n">
        <v>0.001403170747031335</v>
      </c>
      <c r="T35" s="72" t="n">
        <v>33</v>
      </c>
      <c r="U35" s="75" t="n">
        <v>1650.95409343603</v>
      </c>
      <c r="V35" s="75" t="n">
        <v>1808.768424921072</v>
      </c>
      <c r="W35" s="75" t="n">
        <v>2124.218197479141</v>
      </c>
      <c r="X35" s="75" t="n">
        <v>750</v>
      </c>
    </row>
    <row r="36">
      <c r="R36" s="75" t="n">
        <v>2</v>
      </c>
      <c r="S36" s="251" t="n">
        <v>0.001426114676397749</v>
      </c>
      <c r="T36" s="72" t="n">
        <v>34</v>
      </c>
      <c r="U36" s="75" t="n">
        <v>1815.364824056089</v>
      </c>
      <c r="V36" s="75" t="n">
        <v>1975.179657620805</v>
      </c>
      <c r="W36" s="75" t="n">
        <v>2314.565077159146</v>
      </c>
      <c r="X36" s="75" t="n">
        <v>750</v>
      </c>
    </row>
    <row r="37">
      <c r="R37" s="75" t="n">
        <v>2</v>
      </c>
      <c r="S37" s="251" t="n">
        <v>0.001491158062754683</v>
      </c>
      <c r="T37" s="72" t="n">
        <v>35</v>
      </c>
      <c r="U37" s="75" t="n">
        <v>2008.234597815822</v>
      </c>
      <c r="V37" s="75" t="n">
        <v>2170.890140904062</v>
      </c>
      <c r="W37" s="75" t="n">
        <v>2542.226993543885</v>
      </c>
      <c r="X37" s="75" t="n">
        <v>750</v>
      </c>
    </row>
    <row r="38">
      <c r="R38" s="75" t="n">
        <v>2</v>
      </c>
      <c r="S38" s="251" t="n">
        <v>0.00152493532170872</v>
      </c>
      <c r="T38" s="72" t="n">
        <v>36</v>
      </c>
      <c r="U38" s="75" t="n">
        <v>2223.565227269956</v>
      </c>
      <c r="V38" s="75" t="n">
        <v>2390.006021002826</v>
      </c>
      <c r="W38" s="75" t="n">
        <v>2787.921952973779</v>
      </c>
      <c r="X38" s="75" t="n">
        <v>1500</v>
      </c>
    </row>
    <row r="39">
      <c r="R39" s="75" t="n">
        <v>2</v>
      </c>
      <c r="S39" s="251" t="n">
        <v>0.001590461444476055</v>
      </c>
      <c r="T39" s="72" t="n">
        <v>37</v>
      </c>
      <c r="U39" s="75" t="n">
        <v>2472.531810405907</v>
      </c>
      <c r="V39" s="75" t="n">
        <v>2650.47109247201</v>
      </c>
      <c r="W39" s="75" t="n">
        <v>3070.688924008151</v>
      </c>
      <c r="X39" s="75" t="n">
        <v>1500</v>
      </c>
    </row>
    <row r="40">
      <c r="R40" s="75" t="n">
        <v>2</v>
      </c>
      <c r="S40" s="251" t="n">
        <v>0.001645743221858842</v>
      </c>
      <c r="T40" s="72" t="n">
        <v>38</v>
      </c>
      <c r="U40" s="75" t="n">
        <v>2751.805305559236</v>
      </c>
      <c r="V40" s="75" t="n">
        <v>2944.915856974299</v>
      </c>
      <c r="W40" s="75" t="n">
        <v>3387.559771640519</v>
      </c>
      <c r="X40" s="75" t="n">
        <v>1500</v>
      </c>
    </row>
    <row r="41">
      <c r="R41" s="75" t="n">
        <v>2</v>
      </c>
      <c r="S41" s="251" t="n">
        <v>0.001743559397256789</v>
      </c>
      <c r="T41" s="72" t="n">
        <v>39</v>
      </c>
      <c r="U41" s="75" t="n">
        <v>3076.130012791215</v>
      </c>
      <c r="V41" s="75" t="n">
        <v>3287.355019552579</v>
      </c>
      <c r="W41" s="75" t="n">
        <v>3745.813311083461</v>
      </c>
      <c r="X41" s="75" t="n">
        <v>1500</v>
      </c>
    </row>
    <row r="42">
      <c r="R42" s="75" t="n">
        <v>2.5</v>
      </c>
      <c r="S42" s="251" t="n">
        <v>0.001820703087785369</v>
      </c>
      <c r="T42" s="72" t="n">
        <v>40</v>
      </c>
      <c r="U42" s="75" t="n">
        <v>3421.284036448433</v>
      </c>
      <c r="V42" s="75" t="n">
        <v>3688.443043059917</v>
      </c>
      <c r="W42" s="75" t="n">
        <v>4164.254048418198</v>
      </c>
      <c r="X42" s="75" t="n">
        <v>1500</v>
      </c>
    </row>
    <row r="43">
      <c r="R43" s="75" t="n">
        <v>2.5</v>
      </c>
      <c r="S43" s="251" t="n">
        <v>0.001930072006532502</v>
      </c>
      <c r="T43" s="72" t="n">
        <v>41</v>
      </c>
      <c r="U43" s="75" t="n">
        <v>3838.094587817376</v>
      </c>
      <c r="V43" s="75" t="n">
        <v>4136.998098957582</v>
      </c>
      <c r="W43" s="75" t="n">
        <v>4625.590087614656</v>
      </c>
      <c r="X43" s="75" t="n">
        <v>2800</v>
      </c>
    </row>
    <row r="44">
      <c r="R44" s="75" t="n">
        <v>2.5</v>
      </c>
      <c r="S44" s="251" t="n">
        <v>0.002050682675450277</v>
      </c>
      <c r="T44" s="72" t="n">
        <v>42</v>
      </c>
      <c r="U44" s="75" t="n">
        <v>4300.082068152102</v>
      </c>
      <c r="V44" s="75" t="n">
        <v>4636.917667969574</v>
      </c>
      <c r="W44" s="75" t="n">
        <v>5140.647696009722</v>
      </c>
      <c r="X44" s="75" t="n">
        <v>2800</v>
      </c>
    </row>
    <row r="45">
      <c r="R45" s="75" t="n">
        <v>2.5</v>
      </c>
      <c r="S45" s="251" t="n">
        <v>0.002172015076339906</v>
      </c>
      <c r="T45" s="72" t="n">
        <v>43</v>
      </c>
      <c r="U45" s="75" t="n">
        <v>4816.268255556372</v>
      </c>
      <c r="V45" s="75" t="n">
        <v>5193.758301291292</v>
      </c>
      <c r="W45" s="75" t="n">
        <v>5710.044533026558</v>
      </c>
      <c r="X45" s="75" t="n">
        <v>2800</v>
      </c>
    </row>
    <row r="46">
      <c r="R46" s="75" t="n">
        <v>2.5</v>
      </c>
      <c r="S46" s="251" t="n">
        <v>0.002336797626923293</v>
      </c>
      <c r="T46" s="72" t="n">
        <v>44</v>
      </c>
      <c r="U46" s="75" t="n">
        <v>5382.456092151614</v>
      </c>
      <c r="V46" s="75" t="n">
        <v>5801.052643917752</v>
      </c>
      <c r="W46" s="75" t="n">
        <v>6326.756797078826</v>
      </c>
      <c r="X46" s="75" t="n">
        <v>2800</v>
      </c>
    </row>
    <row r="47">
      <c r="R47" s="75" t="n">
        <v>3.2</v>
      </c>
      <c r="S47" s="251" t="n">
        <v>0.002524091166750453</v>
      </c>
      <c r="T47" s="72" t="n">
        <v>45</v>
      </c>
      <c r="U47" s="75" t="n">
        <v>6013.726640229052</v>
      </c>
      <c r="V47" s="75" t="n">
        <v>6472.245960372697</v>
      </c>
      <c r="W47" s="75" t="n">
        <v>7012.887199809641</v>
      </c>
      <c r="X47" s="75" t="n">
        <v>2800</v>
      </c>
    </row>
    <row r="48">
      <c r="R48" s="75" t="n">
        <v>3.2</v>
      </c>
      <c r="S48" s="251" t="n">
        <v>0.00271275854304498</v>
      </c>
      <c r="T48" s="72" t="n">
        <v>46</v>
      </c>
      <c r="U48" s="75" t="n">
        <v>6640.876445653925</v>
      </c>
      <c r="V48" s="75" t="n">
        <v>7138.447818552836</v>
      </c>
      <c r="W48" s="75" t="n">
        <v>7691.828224924006</v>
      </c>
      <c r="X48" s="75" t="n">
        <v>4600</v>
      </c>
    </row>
    <row r="49">
      <c r="R49" s="75" t="n">
        <v>3.2</v>
      </c>
      <c r="S49" s="251" t="n">
        <v>0.002935168261477217</v>
      </c>
      <c r="T49" s="72" t="n">
        <v>47</v>
      </c>
      <c r="U49" s="75" t="n">
        <v>7280.819566359557</v>
      </c>
      <c r="V49" s="75" t="n">
        <v>7814.109369429542</v>
      </c>
      <c r="W49" s="75" t="n">
        <v>8382.185990675129</v>
      </c>
      <c r="X49" s="75" t="n">
        <v>4600</v>
      </c>
    </row>
    <row r="50">
      <c r="R50" s="75" t="n">
        <v>3.2</v>
      </c>
      <c r="S50" s="251" t="n">
        <v>0.003191822034355196</v>
      </c>
      <c r="T50" s="72" t="n">
        <v>48</v>
      </c>
      <c r="U50" s="75" t="n">
        <v>7929.221961730888</v>
      </c>
      <c r="V50" s="75" t="n">
        <v>8497.610433611419</v>
      </c>
      <c r="W50" s="75" t="n">
        <v>9084.360635670697</v>
      </c>
      <c r="X50" s="75" t="n">
        <v>4600</v>
      </c>
    </row>
    <row r="51">
      <c r="R51" s="75" t="n">
        <v>3.2</v>
      </c>
      <c r="S51" s="251" t="n">
        <v>0.00347248515269194</v>
      </c>
      <c r="T51" s="72" t="n">
        <v>49</v>
      </c>
      <c r="U51" s="75" t="n">
        <v>8581.304598610146</v>
      </c>
      <c r="V51" s="75" t="n">
        <v>9187.622336528226</v>
      </c>
      <c r="W51" s="75" t="n">
        <v>9793.647657703763</v>
      </c>
      <c r="X51" s="75" t="n">
        <v>4600</v>
      </c>
    </row>
    <row r="52">
      <c r="R52" s="75" t="n">
        <v>4</v>
      </c>
      <c r="S52" s="251" t="n">
        <v>0.003788536691272215</v>
      </c>
      <c r="T52" s="72" t="n">
        <v>50</v>
      </c>
      <c r="U52" s="75" t="n">
        <v>9146.745328512572</v>
      </c>
      <c r="V52" s="75" t="n">
        <v>9795.522665474786</v>
      </c>
      <c r="W52" s="75" t="n">
        <v>10428.89569655286</v>
      </c>
      <c r="X52" s="75" t="n">
        <v>4600</v>
      </c>
    </row>
    <row r="53">
      <c r="R53" s="75" t="n">
        <v>4</v>
      </c>
      <c r="S53" s="251" t="n">
        <v>0.004162535005611812</v>
      </c>
      <c r="T53" s="72" t="n">
        <v>51</v>
      </c>
      <c r="U53" s="75" t="n">
        <v>9807.793899614358</v>
      </c>
      <c r="V53" s="75" t="n">
        <v>10505.03222048838</v>
      </c>
      <c r="W53" s="75" t="n">
        <v>11168.37298498795</v>
      </c>
      <c r="X53" s="75" t="n">
        <v>5600</v>
      </c>
    </row>
    <row r="54">
      <c r="R54" s="75" t="n">
        <v>4</v>
      </c>
      <c r="S54" s="251" t="n">
        <v>0.004530085677707407</v>
      </c>
      <c r="T54" s="72" t="n">
        <v>52</v>
      </c>
      <c r="U54" s="75" t="n">
        <v>10479.05351480172</v>
      </c>
      <c r="V54" s="75" t="n">
        <v>11236.03768065132</v>
      </c>
      <c r="W54" s="75" t="n">
        <v>11942.88176997337</v>
      </c>
      <c r="X54" s="75" t="n">
        <v>5600</v>
      </c>
    </row>
    <row r="55">
      <c r="R55" s="75" t="n">
        <v>4</v>
      </c>
      <c r="S55" s="251" t="n">
        <v>0.004979389942291856</v>
      </c>
      <c r="T55" s="72" t="n">
        <v>53</v>
      </c>
      <c r="U55" s="75" t="n">
        <v>11180.68626223513</v>
      </c>
      <c r="V55" s="75" t="n">
        <v>12005.15807452442</v>
      </c>
      <c r="W55" s="75" t="n">
        <v>12763.38668818065</v>
      </c>
      <c r="X55" s="75" t="n">
        <v>5600</v>
      </c>
    </row>
    <row r="56">
      <c r="R56" s="75" t="n">
        <v>4</v>
      </c>
      <c r="S56" s="251" t="n">
        <v>0.005490378029650245</v>
      </c>
      <c r="T56" s="72" t="n">
        <v>54</v>
      </c>
      <c r="U56" s="75" t="n">
        <v>11920.99433418546</v>
      </c>
      <c r="V56" s="75" t="n">
        <v>12818.95631991968</v>
      </c>
      <c r="W56" s="75" t="n">
        <v>13638.00222712844</v>
      </c>
      <c r="X56" s="75" t="n">
        <v>5600</v>
      </c>
    </row>
    <row r="57">
      <c r="R57" s="75" t="n">
        <v>4</v>
      </c>
      <c r="S57" s="251" t="n">
        <v>0.006020549847264633</v>
      </c>
      <c r="T57" s="72" t="n">
        <v>55</v>
      </c>
      <c r="U57" s="75" t="n">
        <v>12726.2185115941</v>
      </c>
      <c r="V57" s="75" t="n">
        <v>13701.0367254026</v>
      </c>
      <c r="W57" s="75" t="n">
        <v>14593.93019212062</v>
      </c>
      <c r="X57" s="75" t="n">
        <v>5600</v>
      </c>
    </row>
    <row r="58">
      <c r="R58" s="75" t="n">
        <v>5</v>
      </c>
      <c r="S58" s="251" t="n">
        <v>0.006626957075645645</v>
      </c>
      <c r="T58" s="72" t="n">
        <v>56</v>
      </c>
      <c r="U58" s="75" t="n">
        <v>13538.99872267011</v>
      </c>
      <c r="V58" s="75" t="n">
        <v>14588.67234659897</v>
      </c>
      <c r="W58" s="75" t="n">
        <v>15563.55872851255</v>
      </c>
      <c r="X58" s="75" t="n">
        <v>5800</v>
      </c>
    </row>
    <row r="59">
      <c r="R59" s="75" t="n">
        <v>5</v>
      </c>
      <c r="S59" s="251" t="n">
        <v>0.0073236584542693</v>
      </c>
      <c r="T59" s="72" t="n">
        <v>57</v>
      </c>
      <c r="U59" s="75" t="n">
        <v>14396.10201586686</v>
      </c>
      <c r="V59" s="75" t="n">
        <v>15515.40150245717</v>
      </c>
      <c r="W59" s="75" t="n">
        <v>16585.34451644613</v>
      </c>
      <c r="X59" s="75" t="n">
        <v>5800</v>
      </c>
    </row>
    <row r="60">
      <c r="R60" s="75" t="n">
        <v>5</v>
      </c>
      <c r="S60" s="251" t="n">
        <v>0.008046328720860418</v>
      </c>
      <c r="T60" s="72" t="n">
        <v>58</v>
      </c>
      <c r="U60" s="75" t="n">
        <v>15323.69071269866</v>
      </c>
      <c r="V60" s="75" t="n">
        <v>16505.6360706657</v>
      </c>
      <c r="W60" s="75" t="n">
        <v>17681.56311493964</v>
      </c>
      <c r="X60" s="75" t="n">
        <v>5800</v>
      </c>
    </row>
    <row r="61">
      <c r="R61" s="75" t="n">
        <v>5</v>
      </c>
      <c r="S61" s="251" t="n">
        <v>0.008911332244170511</v>
      </c>
      <c r="T61" s="72" t="n">
        <v>59</v>
      </c>
      <c r="U61" s="75" t="n">
        <v>16348.75581156432</v>
      </c>
      <c r="V61" s="75" t="n">
        <v>17587.35949495259</v>
      </c>
      <c r="W61" s="75" t="n">
        <v>18886.08800547881</v>
      </c>
      <c r="X61" s="75" t="n">
        <v>5800</v>
      </c>
    </row>
    <row r="62">
      <c r="R62" s="75" t="n">
        <v>5</v>
      </c>
      <c r="S62" s="251" t="n">
        <v>0.009809911353445</v>
      </c>
      <c r="T62" s="72" t="n">
        <v>60</v>
      </c>
      <c r="U62" s="75" t="n">
        <v>17437.29</v>
      </c>
      <c r="V62" s="75" t="n">
        <v>18767.29</v>
      </c>
      <c r="W62" s="75" t="n">
        <v>20167.98</v>
      </c>
      <c r="X62" s="75" t="n">
        <v>5800</v>
      </c>
    </row>
    <row r="63">
      <c r="R63" s="75" t="n">
        <v>5</v>
      </c>
      <c r="S63" s="251" t="n">
        <v>0.01085007799948778</v>
      </c>
      <c r="T63" s="72" t="n">
        <v>61</v>
      </c>
      <c r="U63" s="75" t="n"/>
      <c r="V63" s="75" t="n"/>
      <c r="W63" s="75" t="n"/>
      <c r="X63" s="75" t="n"/>
    </row>
    <row r="64">
      <c r="R64" s="75" t="n">
        <v>5</v>
      </c>
      <c r="S64" s="251" t="n">
        <v>0.01198126309347269</v>
      </c>
      <c r="T64" s="72" t="n">
        <v>62</v>
      </c>
      <c r="U64" s="75" t="n"/>
      <c r="V64" s="75" t="n"/>
      <c r="W64" s="75" t="n"/>
      <c r="X64" s="75" t="n"/>
    </row>
    <row r="65">
      <c r="R65" s="75" t="n">
        <v>5</v>
      </c>
      <c r="S65" s="251" t="n">
        <v>0.01323438318959358</v>
      </c>
      <c r="T65" s="72" t="n">
        <v>63</v>
      </c>
      <c r="U65" s="75" t="n"/>
      <c r="V65" s="75" t="n"/>
      <c r="W65" s="75" t="n"/>
      <c r="X65" s="75" t="n"/>
    </row>
    <row r="66">
      <c r="R66" s="75" t="n">
        <v>5</v>
      </c>
      <c r="S66" s="251" t="n">
        <v>0.01464321498847132</v>
      </c>
      <c r="T66" s="72" t="n">
        <v>64</v>
      </c>
      <c r="U66" s="75" t="n"/>
      <c r="V66" s="75" t="n"/>
      <c r="W66" s="75" t="n"/>
      <c r="X66" s="75" t="n"/>
    </row>
    <row r="67">
      <c r="R67" s="75" t="n">
        <v>5</v>
      </c>
      <c r="S67" s="251" t="n">
        <v>0.01618396550034307</v>
      </c>
      <c r="T67" s="72" t="n">
        <v>65</v>
      </c>
      <c r="U67" s="75" t="n"/>
      <c r="V67" s="75" t="n"/>
      <c r="W67" s="75" t="n"/>
      <c r="X67" s="75" t="n"/>
    </row>
    <row r="68">
      <c r="R68" s="75" t="n">
        <v>5</v>
      </c>
      <c r="S68" s="251" t="n">
        <v>0.0178822708989701</v>
      </c>
      <c r="T68" s="72" t="n">
        <v>66</v>
      </c>
      <c r="U68" s="75" t="n"/>
      <c r="V68" s="75" t="n"/>
      <c r="W68" s="75" t="n"/>
      <c r="X68" s="75" t="n"/>
    </row>
    <row r="69">
      <c r="R69" s="75" t="n">
        <v>5</v>
      </c>
      <c r="S69" s="251" t="n">
        <v>0.01976745660415635</v>
      </c>
      <c r="T69" s="72" t="n">
        <v>67</v>
      </c>
      <c r="U69" s="75" t="n"/>
      <c r="V69" s="75" t="n"/>
      <c r="W69" s="75" t="n"/>
      <c r="X69" s="75" t="n"/>
    </row>
    <row r="70">
      <c r="R70" s="75" t="n">
        <v>5</v>
      </c>
      <c r="S70" s="251" t="n">
        <v>0.0218606095100119</v>
      </c>
      <c r="T70" s="72" t="n">
        <v>68</v>
      </c>
      <c r="U70" s="75" t="n"/>
      <c r="V70" s="75" t="n"/>
      <c r="W70" s="75" t="n"/>
      <c r="X70" s="75" t="n"/>
    </row>
    <row r="71">
      <c r="R71" s="75" t="n">
        <v>5</v>
      </c>
      <c r="S71" s="251" t="n">
        <v>0.02416091406807908</v>
      </c>
      <c r="T71" s="72" t="n">
        <v>69</v>
      </c>
      <c r="U71" s="75" t="n"/>
      <c r="V71" s="75" t="n"/>
      <c r="W71" s="75" t="n"/>
      <c r="X71" s="75" t="n"/>
    </row>
    <row r="72">
      <c r="R72" s="75" t="n">
        <v>5</v>
      </c>
      <c r="S72" s="251" t="n">
        <v>0.02671057446030001</v>
      </c>
      <c r="T72" s="72" t="n">
        <v>70</v>
      </c>
      <c r="U72" s="75" t="n"/>
      <c r="V72" s="75" t="n"/>
      <c r="W72" s="75" t="n"/>
      <c r="X72" s="75" t="n"/>
    </row>
    <row r="73">
      <c r="R73" s="75" t="n">
        <v>5</v>
      </c>
      <c r="S73" s="251" t="n">
        <v>0.02951824004455583</v>
      </c>
      <c r="T73" s="72" t="n">
        <v>71</v>
      </c>
      <c r="U73" s="75" t="n"/>
      <c r="V73" s="75" t="n"/>
      <c r="W73" s="75" t="n"/>
      <c r="X73" s="75" t="n"/>
    </row>
    <row r="74">
      <c r="R74" s="75" t="n">
        <v>5</v>
      </c>
      <c r="S74" s="251" t="n">
        <v>0.03261119081779051</v>
      </c>
      <c r="T74" s="72" t="n">
        <v>72</v>
      </c>
      <c r="U74" s="75" t="n"/>
      <c r="V74" s="75" t="n"/>
      <c r="W74" s="75" t="n"/>
      <c r="X74" s="75" t="n"/>
    </row>
    <row r="75">
      <c r="R75" s="75" t="n">
        <v>5</v>
      </c>
      <c r="S75" s="251" t="n">
        <v>0.03602414463048931</v>
      </c>
      <c r="T75" s="72" t="n">
        <v>73</v>
      </c>
      <c r="U75" s="75" t="n"/>
      <c r="V75" s="75" t="n"/>
      <c r="W75" s="75" t="n"/>
      <c r="X75" s="75" t="n"/>
    </row>
    <row r="76">
      <c r="R76" s="75" t="n">
        <v>5</v>
      </c>
      <c r="S76" s="251" t="n">
        <v>0.03978583956429427</v>
      </c>
      <c r="T76" s="72" t="n">
        <v>74</v>
      </c>
      <c r="U76" s="75" t="n"/>
      <c r="V76" s="75" t="n"/>
      <c r="W76" s="75" t="n"/>
      <c r="X76" s="75" t="n"/>
    </row>
    <row r="77">
      <c r="R77" s="75" t="n">
        <v>5</v>
      </c>
      <c r="S77" s="251" t="n">
        <v>0.04391783631352941</v>
      </c>
      <c r="T77" s="72" t="n">
        <v>75</v>
      </c>
      <c r="U77" s="75" t="n"/>
      <c r="V77" s="75" t="n"/>
      <c r="W77" s="75" t="n"/>
      <c r="X77" s="75" t="n"/>
    </row>
    <row r="78">
      <c r="R78" s="75" t="n">
        <v>5</v>
      </c>
      <c r="S78" s="251" t="n">
        <v>0.04846575388379615</v>
      </c>
      <c r="T78" s="72" t="n">
        <v>76</v>
      </c>
      <c r="U78" s="75" t="n"/>
      <c r="V78" s="75" t="n"/>
      <c r="W78" s="75" t="n"/>
      <c r="X78" s="75" t="n"/>
    </row>
    <row r="79">
      <c r="R79" s="75" t="n">
        <v>5</v>
      </c>
      <c r="S79" s="251" t="n">
        <v>0.05345286109300973</v>
      </c>
      <c r="T79" s="72" t="n">
        <v>77</v>
      </c>
      <c r="U79" s="75" t="n"/>
      <c r="V79" s="75" t="n"/>
      <c r="W79" s="75" t="n"/>
      <c r="X79" s="75" t="n"/>
    </row>
    <row r="80">
      <c r="R80" s="75" t="n">
        <v>5</v>
      </c>
      <c r="S80" s="251" t="n">
        <v>0.05892750818696035</v>
      </c>
      <c r="T80" s="72" t="n">
        <v>78</v>
      </c>
      <c r="U80" s="75" t="n"/>
      <c r="V80" s="75" t="n"/>
      <c r="W80" s="75" t="n"/>
      <c r="X80" s="75" t="n"/>
    </row>
    <row r="81">
      <c r="R81" s="75" t="n">
        <v>5</v>
      </c>
      <c r="S81" s="251" t="n">
        <v>0.06493069972517151</v>
      </c>
      <c r="T81" s="72" t="n">
        <v>79</v>
      </c>
      <c r="U81" s="75" t="n"/>
      <c r="V81" s="75" t="n"/>
      <c r="W81" s="75" t="n"/>
      <c r="X81" s="75" t="n"/>
    </row>
    <row r="82">
      <c r="R82" s="75" t="n">
        <v>5</v>
      </c>
      <c r="S82" s="251" t="n">
        <v>0.07149049542215546</v>
      </c>
      <c r="T82" s="72" t="n">
        <v>80</v>
      </c>
      <c r="U82" s="75" t="n"/>
      <c r="V82" s="75" t="n"/>
      <c r="W82" s="75" t="n"/>
      <c r="X82" s="75" t="n"/>
    </row>
    <row r="83">
      <c r="R83" s="75" t="n">
        <v>5</v>
      </c>
      <c r="S83" s="251" t="n">
        <v>0.0787028602659865</v>
      </c>
      <c r="T83" s="72" t="n">
        <v>81</v>
      </c>
      <c r="U83" s="75" t="n"/>
      <c r="V83" s="75" t="n"/>
      <c r="W83" s="75" t="n"/>
      <c r="X83" s="75" t="n"/>
    </row>
    <row r="84">
      <c r="R84" s="75" t="n">
        <v>5</v>
      </c>
      <c r="S84" s="251" t="n">
        <v>0.08651374332608264</v>
      </c>
      <c r="T84" s="72" t="n">
        <v>82</v>
      </c>
      <c r="U84" s="75" t="n"/>
      <c r="V84" s="75" t="n"/>
      <c r="W84" s="75" t="n"/>
      <c r="X84" s="75" t="n"/>
    </row>
    <row r="85">
      <c r="R85" s="75" t="n">
        <v>5</v>
      </c>
      <c r="S85" s="251" t="n">
        <v>0.09505898906808097</v>
      </c>
      <c r="T85" s="72" t="n">
        <v>83</v>
      </c>
      <c r="U85" s="75" t="n"/>
      <c r="V85" s="75" t="n"/>
      <c r="W85" s="75" t="n"/>
      <c r="X85" s="75" t="n"/>
    </row>
    <row r="86">
      <c r="R86" s="75" t="n">
        <v>5</v>
      </c>
      <c r="S86" s="251" t="n">
        <v>0.1043865681906527</v>
      </c>
      <c r="T86" s="72" t="n">
        <v>84</v>
      </c>
      <c r="U86" s="75" t="n"/>
      <c r="V86" s="75" t="n"/>
      <c r="W86" s="75" t="n"/>
      <c r="X86" s="75" t="n"/>
    </row>
    <row r="87">
      <c r="R87" s="75" t="n">
        <v>5</v>
      </c>
      <c r="S87" s="251" t="n">
        <v>0.1144163995726496</v>
      </c>
      <c r="T87" s="72" t="n">
        <v>85</v>
      </c>
      <c r="U87" s="75" t="n"/>
      <c r="V87" s="75" t="n"/>
      <c r="W87" s="75" t="n"/>
      <c r="X87" s="75" t="n"/>
    </row>
    <row r="88">
      <c r="R88" s="75" t="n">
        <v>5</v>
      </c>
      <c r="S88" s="251" t="n">
        <v>0.1253534401508011</v>
      </c>
      <c r="T88" s="72" t="n">
        <v>86</v>
      </c>
      <c r="U88" s="75" t="n"/>
      <c r="V88" s="75" t="n"/>
      <c r="W88" s="75" t="n"/>
      <c r="X88" s="75" t="n"/>
    </row>
    <row r="89">
      <c r="R89" s="75" t="n">
        <v>5</v>
      </c>
      <c r="S89" s="251" t="n">
        <v>0.1371551724137932</v>
      </c>
      <c r="T89" s="72" t="n">
        <v>87</v>
      </c>
      <c r="U89" s="75" t="n"/>
      <c r="V89" s="75" t="n"/>
      <c r="W89" s="75" t="n"/>
      <c r="X89" s="75" t="n"/>
    </row>
    <row r="90">
      <c r="R90" s="75" t="n">
        <v>5</v>
      </c>
      <c r="S90" s="251" t="n">
        <v>0.1498651213907484</v>
      </c>
      <c r="T90" s="72" t="n">
        <v>88</v>
      </c>
      <c r="U90" s="75" t="n"/>
      <c r="V90" s="75" t="n"/>
      <c r="W90" s="75" t="n"/>
      <c r="X90" s="75" t="n"/>
    </row>
    <row r="91">
      <c r="R91" s="75" t="n">
        <v>5</v>
      </c>
      <c r="S91" s="251" t="n">
        <v>0.1636502526736396</v>
      </c>
      <c r="T91" s="72" t="n">
        <v>89</v>
      </c>
      <c r="U91" s="75" t="n"/>
      <c r="V91" s="75" t="n"/>
      <c r="W91" s="75" t="n"/>
      <c r="X91" s="75" t="n"/>
    </row>
    <row r="92">
      <c r="R92" s="75" t="n">
        <v>5</v>
      </c>
      <c r="S92" s="251" t="n">
        <v>0.1781774748823157</v>
      </c>
      <c r="T92" s="72" t="n">
        <v>90</v>
      </c>
      <c r="U92" s="75" t="n"/>
      <c r="V92" s="75" t="n"/>
      <c r="W92" s="75" t="n"/>
      <c r="X92" s="75" t="n"/>
    </row>
    <row r="93">
      <c r="R93" s="75" t="n">
        <v>5</v>
      </c>
      <c r="S93" s="251" t="n">
        <v>0.1939813627425836</v>
      </c>
      <c r="T93" s="72" t="n">
        <v>91</v>
      </c>
      <c r="U93" s="75" t="n"/>
      <c r="V93" s="75" t="n"/>
      <c r="W93" s="75" t="n"/>
      <c r="X93" s="75" t="n"/>
    </row>
    <row r="94">
      <c r="R94" s="75" t="n">
        <v>5</v>
      </c>
      <c r="S94" s="251" t="n">
        <v>0.2106491302503182</v>
      </c>
      <c r="T94" s="72" t="n">
        <v>92</v>
      </c>
      <c r="U94" s="75" t="n"/>
      <c r="V94" s="75" t="n"/>
      <c r="W94" s="75" t="n"/>
      <c r="X94" s="75" t="n"/>
    </row>
    <row r="95">
      <c r="R95" s="75" t="n">
        <v>5</v>
      </c>
      <c r="S95" s="251" t="n">
        <v>0.2284332168771835</v>
      </c>
      <c r="T95" s="72" t="n">
        <v>93</v>
      </c>
      <c r="U95" s="75" t="n"/>
      <c r="V95" s="75" t="n"/>
      <c r="W95" s="75" t="n"/>
      <c r="X95" s="75" t="n"/>
    </row>
    <row r="96">
      <c r="R96" s="75" t="n">
        <v>5</v>
      </c>
      <c r="S96" s="251" t="n">
        <v>0.2471264367816092</v>
      </c>
      <c r="T96" s="72" t="n">
        <v>94</v>
      </c>
      <c r="U96" s="75" t="n"/>
      <c r="V96" s="75" t="n"/>
      <c r="W96" s="75" t="n"/>
      <c r="X96" s="75" t="n"/>
    </row>
    <row r="97">
      <c r="R97" s="75" t="n">
        <v>5</v>
      </c>
      <c r="S97" s="251" t="n">
        <v>0.2669442516770761</v>
      </c>
      <c r="T97" s="72" t="n">
        <v>95</v>
      </c>
      <c r="U97" s="75" t="n"/>
      <c r="V97" s="75" t="n"/>
      <c r="W97" s="75" t="n"/>
      <c r="X97" s="75" t="n"/>
    </row>
    <row r="98">
      <c r="R98" s="75" t="n">
        <v>5</v>
      </c>
      <c r="S98" s="251" t="n">
        <v>0.2877879457242032</v>
      </c>
      <c r="T98" s="72" t="n">
        <v>96</v>
      </c>
      <c r="U98" s="75" t="n"/>
      <c r="V98" s="75" t="n"/>
      <c r="W98" s="75" t="n"/>
      <c r="X98" s="75" t="n"/>
    </row>
    <row r="99">
      <c r="R99" s="75" t="n">
        <v>5</v>
      </c>
      <c r="S99" s="251" t="n">
        <v>0.3092600797518831</v>
      </c>
      <c r="T99" s="72" t="n">
        <v>97</v>
      </c>
      <c r="U99" s="75" t="n"/>
      <c r="V99" s="75" t="n"/>
      <c r="W99" s="75" t="n"/>
      <c r="X99" s="75" t="n"/>
    </row>
    <row r="100">
      <c r="R100" s="75" t="n">
        <v>5</v>
      </c>
      <c r="S100" s="251" t="n">
        <v>0.332264271969211</v>
      </c>
      <c r="T100" s="72" t="n">
        <v>98</v>
      </c>
      <c r="U100" s="75" t="n"/>
      <c r="V100" s="75" t="n"/>
      <c r="W100" s="75" t="n"/>
      <c r="X100" s="75" t="n"/>
    </row>
    <row r="101">
      <c r="R101" s="75" t="n">
        <v>5</v>
      </c>
      <c r="S101" s="251" t="n">
        <v>0.3554274735830932</v>
      </c>
      <c r="T101" s="72" t="n">
        <v>99</v>
      </c>
      <c r="U101" s="75" t="n"/>
      <c r="V101" s="75" t="n"/>
      <c r="W101" s="75" t="n"/>
      <c r="X101" s="75" t="n"/>
    </row>
    <row r="102">
      <c r="R102" s="75" t="n">
        <v>5</v>
      </c>
      <c r="S102" s="251" t="n">
        <v>0.4487</v>
      </c>
      <c r="T102" s="72" t="n">
        <v>100</v>
      </c>
      <c r="U102" s="75" t="n"/>
      <c r="V102" s="75" t="n"/>
      <c r="W102" s="75" t="n"/>
      <c r="X102" s="75" t="n"/>
    </row>
    <row r="103">
      <c r="R103" s="75" t="n">
        <v>5</v>
      </c>
      <c r="S103" s="251" t="n">
        <v>0.4759</v>
      </c>
      <c r="T103" s="72" t="n">
        <v>101</v>
      </c>
      <c r="U103" s="75" t="n"/>
      <c r="V103" s="75" t="n"/>
      <c r="W103" s="75" t="n"/>
      <c r="X103" s="75" t="n"/>
    </row>
    <row r="104">
      <c r="R104" s="75" t="n">
        <v>5</v>
      </c>
      <c r="S104" s="251" t="n">
        <v>0.5132</v>
      </c>
      <c r="T104" s="72" t="n">
        <v>102</v>
      </c>
      <c r="U104" s="75" t="n"/>
      <c r="V104" s="75" t="n"/>
      <c r="W104" s="75" t="n"/>
      <c r="X104" s="75" t="n"/>
    </row>
    <row r="105">
      <c r="R105" s="75" t="n">
        <v>5</v>
      </c>
      <c r="S105" s="251" t="n">
        <v>0.5405</v>
      </c>
      <c r="T105" s="72" t="n">
        <v>103</v>
      </c>
      <c r="U105" s="75" t="n"/>
      <c r="V105" s="75" t="n"/>
      <c r="W105" s="75" t="n"/>
      <c r="X105" s="75" t="n"/>
    </row>
    <row r="106">
      <c r="R106" s="75" t="n">
        <v>5</v>
      </c>
      <c r="S106" s="251" t="n">
        <v>0.5881999999999999</v>
      </c>
      <c r="T106" s="72" t="n">
        <v>104</v>
      </c>
      <c r="U106" s="75" t="n"/>
      <c r="V106" s="75" t="n"/>
      <c r="W106" s="75" t="n"/>
      <c r="X106" s="75" t="n"/>
    </row>
    <row r="107">
      <c r="R107" s="75" t="n">
        <v>5</v>
      </c>
      <c r="S107" s="251" t="n">
        <v>0.7143</v>
      </c>
      <c r="T107" s="72" t="n">
        <v>105</v>
      </c>
      <c r="U107" s="75" t="n"/>
      <c r="V107" s="75" t="n"/>
      <c r="W107" s="75" t="n"/>
      <c r="X107" s="75" t="n"/>
    </row>
    <row r="108">
      <c r="R108" s="75" t="n">
        <v>5</v>
      </c>
      <c r="S108" s="251" t="n">
        <v>1</v>
      </c>
      <c r="T108" s="72" t="n">
        <v>106</v>
      </c>
      <c r="U108" s="75" t="n"/>
      <c r="V108" s="75" t="n"/>
      <c r="W108" s="75" t="n"/>
      <c r="X108" s="75" t="n"/>
    </row>
  </sheetData>
  <mergeCells count="2">
    <mergeCell ref="B22:B23"/>
    <mergeCell ref="A22:A23"/>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itle>جدول آفلاین</dc:title>
  <dcterms:created xsi:type="dcterms:W3CDTF">2006-09-16T00:00:00Z</dcterms:created>
  <dcterms:modified xsi:type="dcterms:W3CDTF">2025-07-31T20:28:28Z</dcterms:modified>
</cp:coreProperties>
</file>

<file path=docProps/custom.xml><?xml version="1.0" encoding="utf-8"?>
<Properties xmlns:vt="http://schemas.openxmlformats.org/officeDocument/2006/docPropsVTypes" xmlns="http://schemas.openxmlformats.org/officeDocument/2006/custom-properties">
  <property name="Document number" fmtid="{D5CDD505-2E9C-101B-9397-08002B2CF9AE}" pid="2">
    <vt:lpwstr>1</vt:lpwstr>
  </property>
</Properties>
</file>