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jesco\Documents\Praktikum-test\B 2.2\Messdaten\Auswertungsskripte\"/>
    </mc:Choice>
  </mc:AlternateContent>
  <xr:revisionPtr revIDLastSave="0" documentId="13_ncr:1_{158E7B65-4E26-488F-93BA-6827F689EBC7}" xr6:coauthVersionLast="47" xr6:coauthVersionMax="47" xr10:uidLastSave="{00000000-0000-0000-0000-000000000000}"/>
  <bookViews>
    <workbookView xWindow="28680" yWindow="-120" windowWidth="19440" windowHeight="15000" activeTab="2" xr2:uid="{00000000-000D-0000-FFFF-FFFF00000000}"/>
  </bookViews>
  <sheets>
    <sheet name="Tabelle1" sheetId="1" r:id="rId1"/>
    <sheet name="XRD" sheetId="2" r:id="rId2"/>
    <sheet name="Widerstand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" i="3" l="1"/>
  <c r="J11" i="3"/>
  <c r="J12" i="3"/>
  <c r="J13" i="3"/>
  <c r="J14" i="3"/>
  <c r="J10" i="3"/>
  <c r="Q4" i="3"/>
  <c r="Q5" i="3"/>
  <c r="Q3" i="3"/>
  <c r="G10" i="3"/>
  <c r="P4" i="3"/>
  <c r="P5" i="3"/>
  <c r="P3" i="3"/>
  <c r="M54" i="2"/>
  <c r="M53" i="2"/>
  <c r="I6" i="2"/>
  <c r="L54" i="2"/>
  <c r="M52" i="2"/>
  <c r="P52" i="2"/>
  <c r="Q52" i="2"/>
  <c r="S52" i="2"/>
  <c r="W52" i="2"/>
  <c r="L52" i="2"/>
  <c r="L53" i="2"/>
  <c r="L21" i="2"/>
  <c r="M19" i="2"/>
  <c r="P19" i="2"/>
  <c r="Q19" i="2"/>
  <c r="S19" i="2"/>
  <c r="T19" i="2"/>
  <c r="W19" i="2"/>
  <c r="L19" i="2"/>
  <c r="X19" i="2"/>
  <c r="L20" i="2"/>
  <c r="J68" i="2"/>
  <c r="J64" i="2"/>
  <c r="J65" i="2"/>
  <c r="J66" i="2"/>
  <c r="J67" i="2"/>
  <c r="J63" i="2"/>
  <c r="J51" i="2"/>
  <c r="J50" i="2"/>
  <c r="J39" i="2"/>
  <c r="J40" i="2"/>
  <c r="J41" i="2"/>
  <c r="J42" i="2"/>
  <c r="J43" i="2"/>
  <c r="J44" i="2"/>
  <c r="J45" i="2"/>
  <c r="J46" i="2"/>
  <c r="J47" i="2"/>
  <c r="J48" i="2"/>
  <c r="J49" i="2"/>
  <c r="J38" i="2"/>
  <c r="I20" i="2"/>
  <c r="J9" i="2" s="1"/>
  <c r="I51" i="2"/>
  <c r="M11" i="2"/>
  <c r="N11" i="2"/>
  <c r="O11" i="2"/>
  <c r="P11" i="2"/>
  <c r="Q11" i="2"/>
  <c r="R11" i="2"/>
  <c r="S11" i="2"/>
  <c r="T11" i="2"/>
  <c r="U11" i="2"/>
  <c r="V11" i="2"/>
  <c r="W11" i="2"/>
  <c r="X11" i="2"/>
  <c r="X16" i="2" s="1"/>
  <c r="X17" i="2" s="1"/>
  <c r="X18" i="2" s="1"/>
  <c r="L11" i="2"/>
  <c r="M44" i="2"/>
  <c r="N44" i="2"/>
  <c r="O44" i="2"/>
  <c r="P44" i="2"/>
  <c r="Q44" i="2"/>
  <c r="R44" i="2"/>
  <c r="S44" i="2"/>
  <c r="T44" i="2"/>
  <c r="U44" i="2"/>
  <c r="V44" i="2"/>
  <c r="W44" i="2"/>
  <c r="X44" i="2"/>
  <c r="L44" i="2"/>
  <c r="Q49" i="2"/>
  <c r="R49" i="2"/>
  <c r="AL30" i="1"/>
  <c r="AK26" i="1"/>
  <c r="AL26" i="1"/>
  <c r="AK27" i="1"/>
  <c r="AL27" i="1"/>
  <c r="AK28" i="1"/>
  <c r="AL28" i="1"/>
  <c r="AK29" i="1"/>
  <c r="AL29" i="1"/>
  <c r="AL25" i="1"/>
  <c r="AL24" i="1"/>
  <c r="AK20" i="1"/>
  <c r="AL20" i="1"/>
  <c r="AK21" i="1"/>
  <c r="AL21" i="1"/>
  <c r="AK22" i="1"/>
  <c r="AL22" i="1"/>
  <c r="AK23" i="1"/>
  <c r="AL23" i="1"/>
  <c r="AL19" i="1"/>
  <c r="AL18" i="1"/>
  <c r="AE30" i="1"/>
  <c r="AF30" i="1"/>
  <c r="AG30" i="1"/>
  <c r="AH30" i="1"/>
  <c r="AI30" i="1"/>
  <c r="AJ30" i="1"/>
  <c r="AK30" i="1"/>
  <c r="AD26" i="1"/>
  <c r="AE26" i="1"/>
  <c r="AF26" i="1"/>
  <c r="AG26" i="1"/>
  <c r="AH26" i="1"/>
  <c r="AI26" i="1"/>
  <c r="AJ26" i="1"/>
  <c r="AD27" i="1"/>
  <c r="AE27" i="1"/>
  <c r="AF27" i="1"/>
  <c r="AG27" i="1"/>
  <c r="AH27" i="1"/>
  <c r="AI27" i="1"/>
  <c r="AJ27" i="1"/>
  <c r="AD28" i="1"/>
  <c r="AE28" i="1"/>
  <c r="AF28" i="1"/>
  <c r="AG28" i="1"/>
  <c r="AH28" i="1"/>
  <c r="AI28" i="1"/>
  <c r="AJ28" i="1"/>
  <c r="AD29" i="1"/>
  <c r="AE29" i="1"/>
  <c r="AF29" i="1"/>
  <c r="AG29" i="1"/>
  <c r="AH29" i="1"/>
  <c r="AI29" i="1"/>
  <c r="AJ29" i="1"/>
  <c r="AE25" i="1"/>
  <c r="AF25" i="1"/>
  <c r="AG25" i="1"/>
  <c r="AH25" i="1"/>
  <c r="AI25" i="1"/>
  <c r="AJ25" i="1"/>
  <c r="AK25" i="1"/>
  <c r="AE24" i="1"/>
  <c r="AF24" i="1"/>
  <c r="AG24" i="1"/>
  <c r="AH24" i="1"/>
  <c r="AI24" i="1"/>
  <c r="AJ24" i="1"/>
  <c r="AK24" i="1"/>
  <c r="AE20" i="1"/>
  <c r="AF20" i="1"/>
  <c r="AG20" i="1"/>
  <c r="AH20" i="1"/>
  <c r="AI20" i="1"/>
  <c r="AJ20" i="1"/>
  <c r="AE21" i="1"/>
  <c r="AF21" i="1"/>
  <c r="AG21" i="1"/>
  <c r="AH21" i="1"/>
  <c r="AI21" i="1"/>
  <c r="AJ21" i="1"/>
  <c r="AE22" i="1"/>
  <c r="AF22" i="1"/>
  <c r="AG22" i="1"/>
  <c r="AH22" i="1"/>
  <c r="AI22" i="1"/>
  <c r="AJ22" i="1"/>
  <c r="AE23" i="1"/>
  <c r="AF23" i="1"/>
  <c r="AG23" i="1"/>
  <c r="AH23" i="1"/>
  <c r="AI23" i="1"/>
  <c r="AJ23" i="1"/>
  <c r="AE19" i="1"/>
  <c r="AF19" i="1"/>
  <c r="AG19" i="1"/>
  <c r="AH19" i="1"/>
  <c r="AI19" i="1"/>
  <c r="AJ19" i="1"/>
  <c r="AK19" i="1"/>
  <c r="AE18" i="1"/>
  <c r="AF18" i="1"/>
  <c r="AG18" i="1"/>
  <c r="AH18" i="1"/>
  <c r="AI18" i="1"/>
  <c r="AJ18" i="1"/>
  <c r="AK18" i="1"/>
  <c r="H50" i="2"/>
  <c r="I50" i="2" s="1"/>
  <c r="H49" i="2"/>
  <c r="I49" i="2" s="1"/>
  <c r="H48" i="2"/>
  <c r="I48" i="2" s="1"/>
  <c r="H47" i="2"/>
  <c r="I47" i="2" s="1"/>
  <c r="H46" i="2"/>
  <c r="I46" i="2" s="1"/>
  <c r="H45" i="2"/>
  <c r="I45" i="2" s="1"/>
  <c r="H44" i="2"/>
  <c r="I44" i="2" s="1"/>
  <c r="U47" i="2"/>
  <c r="U48" i="2" s="1"/>
  <c r="S47" i="2"/>
  <c r="S48" i="2" s="1"/>
  <c r="R47" i="2"/>
  <c r="R48" i="2" s="1"/>
  <c r="X46" i="2"/>
  <c r="W46" i="2"/>
  <c r="V46" i="2"/>
  <c r="U46" i="2"/>
  <c r="S46" i="2"/>
  <c r="R46" i="2"/>
  <c r="Q46" i="2"/>
  <c r="P46" i="2"/>
  <c r="O46" i="2"/>
  <c r="O47" i="2" s="1"/>
  <c r="O48" i="2" s="1"/>
  <c r="N46" i="2"/>
  <c r="N47" i="2" s="1"/>
  <c r="N48" i="2" s="1"/>
  <c r="M46" i="2"/>
  <c r="L46" i="2"/>
  <c r="X45" i="2"/>
  <c r="W45" i="2"/>
  <c r="V45" i="2"/>
  <c r="U45" i="2"/>
  <c r="S45" i="2"/>
  <c r="R45" i="2"/>
  <c r="Q45" i="2"/>
  <c r="P45" i="2"/>
  <c r="O45" i="2"/>
  <c r="N45" i="2"/>
  <c r="M45" i="2"/>
  <c r="L45" i="2"/>
  <c r="X49" i="2"/>
  <c r="W49" i="2"/>
  <c r="V49" i="2"/>
  <c r="U49" i="2"/>
  <c r="S49" i="2"/>
  <c r="P49" i="2"/>
  <c r="O49" i="2"/>
  <c r="N49" i="2"/>
  <c r="M49" i="2"/>
  <c r="L49" i="2"/>
  <c r="R17" i="2"/>
  <c r="R18" i="2" s="1"/>
  <c r="M16" i="2"/>
  <c r="N16" i="2"/>
  <c r="N17" i="2" s="1"/>
  <c r="N18" i="2" s="1"/>
  <c r="O16" i="2"/>
  <c r="P17" i="2" s="1"/>
  <c r="P18" i="2" s="1"/>
  <c r="P16" i="2"/>
  <c r="Q16" i="2"/>
  <c r="Q17" i="2" s="1"/>
  <c r="Q18" i="2" s="1"/>
  <c r="R16" i="2"/>
  <c r="S17" i="2" s="1"/>
  <c r="S18" i="2" s="1"/>
  <c r="S16" i="2"/>
  <c r="T16" i="2"/>
  <c r="U16" i="2"/>
  <c r="T17" i="2" s="1"/>
  <c r="T18" i="2" s="1"/>
  <c r="V16" i="2"/>
  <c r="W17" i="2" s="1"/>
  <c r="W18" i="2" s="1"/>
  <c r="W16" i="2"/>
  <c r="L16" i="2"/>
  <c r="X14" i="2"/>
  <c r="W14" i="2"/>
  <c r="T14" i="2"/>
  <c r="S14" i="2"/>
  <c r="Q14" i="2"/>
  <c r="P14" i="2"/>
  <c r="V14" i="2"/>
  <c r="U14" i="2"/>
  <c r="R14" i="2"/>
  <c r="O14" i="2"/>
  <c r="N14" i="2"/>
  <c r="M15" i="2"/>
  <c r="N15" i="2"/>
  <c r="O15" i="2"/>
  <c r="P15" i="2"/>
  <c r="Q15" i="2"/>
  <c r="R15" i="2"/>
  <c r="S15" i="2"/>
  <c r="T15" i="2"/>
  <c r="U15" i="2"/>
  <c r="V15" i="2"/>
  <c r="W15" i="2"/>
  <c r="X15" i="2"/>
  <c r="L15" i="2"/>
  <c r="M14" i="2"/>
  <c r="L14" i="2"/>
  <c r="V13" i="2"/>
  <c r="U13" i="2"/>
  <c r="R13" i="2"/>
  <c r="O13" i="2"/>
  <c r="N13" i="2"/>
  <c r="X13" i="2"/>
  <c r="W13" i="2"/>
  <c r="T13" i="2"/>
  <c r="S13" i="2"/>
  <c r="Q13" i="2"/>
  <c r="P13" i="2"/>
  <c r="M13" i="2"/>
  <c r="L13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G30" i="1"/>
  <c r="AA30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G24" i="1"/>
  <c r="AA24" i="1"/>
  <c r="K26" i="1"/>
  <c r="L26" i="1"/>
  <c r="M26" i="1"/>
  <c r="N26" i="1"/>
  <c r="O26" i="1"/>
  <c r="P26" i="1"/>
  <c r="Q26" i="1"/>
  <c r="R26" i="1"/>
  <c r="S26" i="1"/>
  <c r="T26" i="1"/>
  <c r="K27" i="1"/>
  <c r="L27" i="1"/>
  <c r="M27" i="1"/>
  <c r="N27" i="1"/>
  <c r="O27" i="1"/>
  <c r="P27" i="1"/>
  <c r="Q27" i="1"/>
  <c r="R27" i="1"/>
  <c r="S27" i="1"/>
  <c r="T27" i="1"/>
  <c r="K28" i="1"/>
  <c r="L28" i="1"/>
  <c r="M28" i="1"/>
  <c r="N28" i="1"/>
  <c r="O28" i="1"/>
  <c r="P28" i="1"/>
  <c r="Q28" i="1"/>
  <c r="R28" i="1"/>
  <c r="S28" i="1"/>
  <c r="T28" i="1"/>
  <c r="K29" i="1"/>
  <c r="L29" i="1"/>
  <c r="M29" i="1"/>
  <c r="N29" i="1"/>
  <c r="O29" i="1"/>
  <c r="P29" i="1"/>
  <c r="Q29" i="1"/>
  <c r="R29" i="1"/>
  <c r="S29" i="1"/>
  <c r="T29" i="1"/>
  <c r="L25" i="1"/>
  <c r="M25" i="1"/>
  <c r="N25" i="1"/>
  <c r="O25" i="1"/>
  <c r="P25" i="1"/>
  <c r="Q25" i="1"/>
  <c r="R25" i="1"/>
  <c r="S25" i="1"/>
  <c r="T25" i="1"/>
  <c r="K20" i="1"/>
  <c r="L20" i="1"/>
  <c r="M20" i="1"/>
  <c r="N20" i="1"/>
  <c r="O20" i="1"/>
  <c r="P20" i="1"/>
  <c r="Q20" i="1"/>
  <c r="R20" i="1"/>
  <c r="S20" i="1"/>
  <c r="T20" i="1"/>
  <c r="K21" i="1"/>
  <c r="L21" i="1"/>
  <c r="M21" i="1"/>
  <c r="N21" i="1"/>
  <c r="O21" i="1"/>
  <c r="P21" i="1"/>
  <c r="Q21" i="1"/>
  <c r="R21" i="1"/>
  <c r="S21" i="1"/>
  <c r="T21" i="1"/>
  <c r="K22" i="1"/>
  <c r="L22" i="1"/>
  <c r="M22" i="1"/>
  <c r="N22" i="1"/>
  <c r="O22" i="1"/>
  <c r="P22" i="1"/>
  <c r="Q22" i="1"/>
  <c r="R22" i="1"/>
  <c r="S22" i="1"/>
  <c r="T22" i="1"/>
  <c r="K23" i="1"/>
  <c r="L23" i="1"/>
  <c r="M23" i="1"/>
  <c r="N23" i="1"/>
  <c r="O23" i="1"/>
  <c r="P23" i="1"/>
  <c r="Q23" i="1"/>
  <c r="R23" i="1"/>
  <c r="S23" i="1"/>
  <c r="T23" i="1"/>
  <c r="L19" i="1"/>
  <c r="M19" i="1"/>
  <c r="N19" i="1"/>
  <c r="O19" i="1"/>
  <c r="P19" i="1"/>
  <c r="Q19" i="1"/>
  <c r="R19" i="1"/>
  <c r="S19" i="1"/>
  <c r="T19" i="1"/>
  <c r="L18" i="1"/>
  <c r="M18" i="1"/>
  <c r="N18" i="1"/>
  <c r="O18" i="1"/>
  <c r="P18" i="1"/>
  <c r="Q18" i="1"/>
  <c r="R18" i="1"/>
  <c r="S18" i="1"/>
  <c r="T18" i="1"/>
  <c r="H19" i="2"/>
  <c r="H13" i="2"/>
  <c r="H14" i="2"/>
  <c r="H15" i="2"/>
  <c r="H16" i="2"/>
  <c r="H17" i="2"/>
  <c r="H18" i="2"/>
  <c r="H12" i="2"/>
  <c r="I12" i="2" s="1"/>
  <c r="I13" i="2"/>
  <c r="I14" i="2"/>
  <c r="I15" i="2"/>
  <c r="I16" i="2"/>
  <c r="I17" i="2"/>
  <c r="I18" i="2"/>
  <c r="I19" i="2"/>
  <c r="I67" i="2"/>
  <c r="I66" i="2"/>
  <c r="I65" i="2"/>
  <c r="G67" i="2"/>
  <c r="G66" i="2"/>
  <c r="G65" i="2"/>
  <c r="H64" i="2"/>
  <c r="I64" i="2" s="1"/>
  <c r="I63" i="2"/>
  <c r="H42" i="2"/>
  <c r="I42" i="2" s="1"/>
  <c r="H41" i="2"/>
  <c r="I41" i="2" s="1"/>
  <c r="H40" i="2"/>
  <c r="I40" i="2" s="1"/>
  <c r="H39" i="2"/>
  <c r="I39" i="2" s="1"/>
  <c r="I38" i="2"/>
  <c r="H8" i="2"/>
  <c r="I8" i="2" s="1"/>
  <c r="H9" i="2"/>
  <c r="I9" i="2" s="1"/>
  <c r="H10" i="2"/>
  <c r="I10" i="2" s="1"/>
  <c r="H7" i="2"/>
  <c r="I7" i="2" s="1"/>
  <c r="K39" i="1"/>
  <c r="D46" i="1"/>
  <c r="K46" i="1" s="1"/>
  <c r="D47" i="1"/>
  <c r="K47" i="1" s="1"/>
  <c r="D48" i="1"/>
  <c r="K48" i="1" s="1"/>
  <c r="D49" i="1"/>
  <c r="K49" i="1" s="1"/>
  <c r="D50" i="1"/>
  <c r="K50" i="1" s="1"/>
  <c r="D51" i="1"/>
  <c r="K51" i="1" s="1"/>
  <c r="D52" i="1"/>
  <c r="K52" i="1" s="1"/>
  <c r="D53" i="1"/>
  <c r="K53" i="1" s="1"/>
  <c r="D54" i="1"/>
  <c r="K54" i="1" s="1"/>
  <c r="D55" i="1"/>
  <c r="K55" i="1" s="1"/>
  <c r="D56" i="1"/>
  <c r="K56" i="1" s="1"/>
  <c r="D57" i="1"/>
  <c r="K57" i="1" s="1"/>
  <c r="D45" i="1"/>
  <c r="K45" i="1" s="1"/>
  <c r="I53" i="1"/>
  <c r="I54" i="1"/>
  <c r="I55" i="1"/>
  <c r="I56" i="1"/>
  <c r="I57" i="1"/>
  <c r="I51" i="1"/>
  <c r="I52" i="1"/>
  <c r="I50" i="1"/>
  <c r="I49" i="1"/>
  <c r="I48" i="1"/>
  <c r="I47" i="1"/>
  <c r="I46" i="1"/>
  <c r="I45" i="1"/>
  <c r="I40" i="1"/>
  <c r="I41" i="1"/>
  <c r="I43" i="1"/>
  <c r="I44" i="1"/>
  <c r="I42" i="1"/>
  <c r="D41" i="1"/>
  <c r="K41" i="1" s="1"/>
  <c r="D42" i="1"/>
  <c r="K42" i="1" s="1"/>
  <c r="D43" i="1"/>
  <c r="K43" i="1" s="1"/>
  <c r="D44" i="1"/>
  <c r="K44" i="1" s="1"/>
  <c r="D40" i="1"/>
  <c r="K40" i="1" s="1"/>
  <c r="I22" i="1"/>
  <c r="AZ18" i="1"/>
  <c r="AZ26" i="1" s="1"/>
  <c r="AW18" i="1"/>
  <c r="AW26" i="1" s="1"/>
  <c r="AX18" i="1"/>
  <c r="AX27" i="1" s="1"/>
  <c r="AY18" i="1"/>
  <c r="AY27" i="1" s="1"/>
  <c r="BA18" i="1"/>
  <c r="BA26" i="1" s="1"/>
  <c r="AB18" i="1"/>
  <c r="AB25" i="1" s="1"/>
  <c r="AC18" i="1"/>
  <c r="AC26" i="1" s="1"/>
  <c r="AD18" i="1"/>
  <c r="AA18" i="1"/>
  <c r="AA23" i="1" s="1"/>
  <c r="H18" i="1"/>
  <c r="I18" i="1"/>
  <c r="I26" i="1" s="1"/>
  <c r="J18" i="1"/>
  <c r="K18" i="1"/>
  <c r="G18" i="1"/>
  <c r="G28" i="1" s="1"/>
  <c r="E9" i="1"/>
  <c r="F6" i="1"/>
  <c r="P6" i="1" s="1"/>
  <c r="G19" i="1"/>
  <c r="AC27" i="1"/>
  <c r="H28" i="1"/>
  <c r="I27" i="1"/>
  <c r="K25" i="1"/>
  <c r="G29" i="1"/>
  <c r="AD25" i="1"/>
  <c r="AC28" i="1"/>
  <c r="AC29" i="1"/>
  <c r="AA26" i="1"/>
  <c r="AA25" i="1"/>
  <c r="H26" i="1"/>
  <c r="J26" i="1"/>
  <c r="G27" i="1"/>
  <c r="H27" i="1"/>
  <c r="J27" i="1"/>
  <c r="J28" i="1"/>
  <c r="H29" i="1"/>
  <c r="I29" i="1"/>
  <c r="J29" i="1"/>
  <c r="H25" i="1"/>
  <c r="I25" i="1"/>
  <c r="J25" i="1"/>
  <c r="G25" i="1"/>
  <c r="K19" i="1"/>
  <c r="J20" i="1"/>
  <c r="J21" i="1"/>
  <c r="J22" i="1"/>
  <c r="J23" i="1"/>
  <c r="J19" i="1"/>
  <c r="I20" i="1"/>
  <c r="H20" i="1"/>
  <c r="H21" i="1"/>
  <c r="H22" i="1"/>
  <c r="H23" i="1"/>
  <c r="H19" i="1"/>
  <c r="G20" i="1"/>
  <c r="G21" i="1"/>
  <c r="G22" i="1"/>
  <c r="G23" i="1"/>
  <c r="AC23" i="1"/>
  <c r="AD21" i="1"/>
  <c r="J8" i="2" l="1"/>
  <c r="J15" i="2"/>
  <c r="J6" i="2"/>
  <c r="J20" i="2" s="1"/>
  <c r="J14" i="2"/>
  <c r="J19" i="2"/>
  <c r="J13" i="2"/>
  <c r="J7" i="2"/>
  <c r="J18" i="2"/>
  <c r="J12" i="2"/>
  <c r="J17" i="2"/>
  <c r="J16" i="2"/>
  <c r="J10" i="2"/>
  <c r="M17" i="2"/>
  <c r="M18" i="2" s="1"/>
  <c r="O17" i="2"/>
  <c r="O18" i="2" s="1"/>
  <c r="L17" i="2"/>
  <c r="L18" i="2" s="1"/>
  <c r="U17" i="2"/>
  <c r="U18" i="2" s="1"/>
  <c r="V17" i="2"/>
  <c r="V18" i="2" s="1"/>
  <c r="W47" i="2"/>
  <c r="W48" i="2" s="1"/>
  <c r="V47" i="2"/>
  <c r="V48" i="2" s="1"/>
  <c r="X47" i="2"/>
  <c r="X48" i="2" s="1"/>
  <c r="Q47" i="2"/>
  <c r="Q48" i="2" s="1"/>
  <c r="P47" i="2"/>
  <c r="P48" i="2" s="1"/>
  <c r="M47" i="2"/>
  <c r="M48" i="2" s="1"/>
  <c r="AY25" i="1"/>
  <c r="AY23" i="1"/>
  <c r="AY28" i="1"/>
  <c r="AY26" i="1"/>
  <c r="AY19" i="1"/>
  <c r="AY29" i="1"/>
  <c r="AY21" i="1"/>
  <c r="AY20" i="1"/>
  <c r="V50" i="2"/>
  <c r="V51" i="2" s="1"/>
  <c r="W50" i="2"/>
  <c r="X50" i="2"/>
  <c r="N50" i="2"/>
  <c r="N51" i="2" s="1"/>
  <c r="M50" i="2"/>
  <c r="L50" i="2"/>
  <c r="P50" i="2"/>
  <c r="P51" i="2" s="1"/>
  <c r="O50" i="2"/>
  <c r="O51" i="2" s="1"/>
  <c r="S50" i="2"/>
  <c r="S51" i="2" s="1"/>
  <c r="R50" i="2"/>
  <c r="R51" i="2" s="1"/>
  <c r="Q50" i="2"/>
  <c r="Q51" i="2" s="1"/>
  <c r="U50" i="2"/>
  <c r="U51" i="2" s="1"/>
  <c r="X51" i="2"/>
  <c r="L47" i="2"/>
  <c r="L48" i="2" s="1"/>
  <c r="AY30" i="1"/>
  <c r="AB29" i="1"/>
  <c r="BA29" i="1"/>
  <c r="AB27" i="1"/>
  <c r="BA23" i="1"/>
  <c r="AB26" i="1"/>
  <c r="AB30" i="1" s="1"/>
  <c r="AX29" i="1"/>
  <c r="BA27" i="1"/>
  <c r="AW29" i="1"/>
  <c r="AB19" i="1"/>
  <c r="AX26" i="1"/>
  <c r="BA19" i="1"/>
  <c r="AZ21" i="1"/>
  <c r="AC25" i="1"/>
  <c r="AC30" i="1" s="1"/>
  <c r="BA28" i="1"/>
  <c r="AB28" i="1"/>
  <c r="AZ28" i="1"/>
  <c r="AZ23" i="1"/>
  <c r="AA29" i="1"/>
  <c r="AX28" i="1"/>
  <c r="AY22" i="1"/>
  <c r="AA28" i="1"/>
  <c r="AZ27" i="1"/>
  <c r="AX21" i="1"/>
  <c r="AA27" i="1"/>
  <c r="AZ29" i="1"/>
  <c r="AX25" i="1"/>
  <c r="BA21" i="1"/>
  <c r="BA20" i="1"/>
  <c r="I11" i="2"/>
  <c r="J11" i="2" s="1"/>
  <c r="I68" i="2"/>
  <c r="I43" i="2"/>
  <c r="AW28" i="1"/>
  <c r="AW20" i="1"/>
  <c r="AW27" i="1"/>
  <c r="AW25" i="1"/>
  <c r="BA25" i="1"/>
  <c r="AZ25" i="1"/>
  <c r="AY24" i="1"/>
  <c r="AW23" i="1"/>
  <c r="AW19" i="1"/>
  <c r="AW21" i="1"/>
  <c r="AW22" i="1"/>
  <c r="AD30" i="1"/>
  <c r="I28" i="1"/>
  <c r="I19" i="1"/>
  <c r="I23" i="1"/>
  <c r="I21" i="1"/>
  <c r="G26" i="1"/>
  <c r="AX19" i="1"/>
  <c r="BA22" i="1"/>
  <c r="AZ22" i="1"/>
  <c r="AZ19" i="1"/>
  <c r="AZ20" i="1"/>
  <c r="AX20" i="1"/>
  <c r="AX23" i="1"/>
  <c r="AX22" i="1"/>
  <c r="AC21" i="1"/>
  <c r="AA19" i="1"/>
  <c r="AD20" i="1"/>
  <c r="AB21" i="1"/>
  <c r="AA21" i="1"/>
  <c r="AC22" i="1"/>
  <c r="AD19" i="1"/>
  <c r="AC20" i="1"/>
  <c r="AC19" i="1"/>
  <c r="AB20" i="1"/>
  <c r="AA20" i="1"/>
  <c r="AD23" i="1"/>
  <c r="AB23" i="1"/>
  <c r="AB22" i="1"/>
  <c r="AA22" i="1"/>
  <c r="AD22" i="1"/>
  <c r="K6" i="1"/>
  <c r="P5" i="1"/>
  <c r="K9" i="1"/>
  <c r="P9" i="1"/>
  <c r="K8" i="1"/>
  <c r="P8" i="1"/>
  <c r="P7" i="1"/>
  <c r="K5" i="1"/>
  <c r="I12" i="1" s="1"/>
  <c r="K7" i="1"/>
  <c r="W51" i="2" l="1"/>
  <c r="M51" i="2"/>
  <c r="L51" i="2"/>
  <c r="AX30" i="1"/>
  <c r="AZ30" i="1"/>
  <c r="AW30" i="1"/>
  <c r="BA24" i="1"/>
  <c r="BA30" i="1"/>
  <c r="AX24" i="1"/>
  <c r="N12" i="1"/>
  <c r="AZ24" i="1"/>
  <c r="AW24" i="1"/>
  <c r="AB24" i="1"/>
  <c r="AD24" i="1"/>
  <c r="AC24" i="1"/>
</calcChain>
</file>

<file path=xl/sharedStrings.xml><?xml version="1.0" encoding="utf-8"?>
<sst xmlns="http://schemas.openxmlformats.org/spreadsheetml/2006/main" count="101" uniqueCount="54">
  <si>
    <t>s</t>
  </si>
  <si>
    <t>theta</t>
  </si>
  <si>
    <t>lamda</t>
  </si>
  <si>
    <t>CU</t>
  </si>
  <si>
    <t>AU</t>
  </si>
  <si>
    <t>a</t>
  </si>
  <si>
    <t>ai</t>
  </si>
  <si>
    <t>bi</t>
  </si>
  <si>
    <t>c</t>
  </si>
  <si>
    <t>f</t>
  </si>
  <si>
    <t>ai*exp(bi*s^2)</t>
  </si>
  <si>
    <t>Probe 2</t>
  </si>
  <si>
    <t>Probe 4</t>
  </si>
  <si>
    <t>Probe 3</t>
  </si>
  <si>
    <t>fcu</t>
  </si>
  <si>
    <t>fau</t>
  </si>
  <si>
    <t>Bragg</t>
  </si>
  <si>
    <t>d</t>
  </si>
  <si>
    <t>h</t>
  </si>
  <si>
    <t>k</t>
  </si>
  <si>
    <t>l</t>
  </si>
  <si>
    <t>p2</t>
  </si>
  <si>
    <t>p3</t>
  </si>
  <si>
    <t>p4</t>
  </si>
  <si>
    <t>theta2</t>
  </si>
  <si>
    <t>theta1</t>
  </si>
  <si>
    <t>psi1</t>
  </si>
  <si>
    <t>psi2</t>
  </si>
  <si>
    <t>fundamentalreflexe</t>
  </si>
  <si>
    <t>I</t>
  </si>
  <si>
    <t>S^2</t>
  </si>
  <si>
    <t>p</t>
  </si>
  <si>
    <t>Lp</t>
  </si>
  <si>
    <t>I_fak</t>
  </si>
  <si>
    <t>f_fak</t>
  </si>
  <si>
    <t>p_fak</t>
  </si>
  <si>
    <t>fs</t>
  </si>
  <si>
    <t>fs_ohneQ</t>
  </si>
  <si>
    <t>ps</t>
  </si>
  <si>
    <t>da</t>
  </si>
  <si>
    <t>dS^2</t>
  </si>
  <si>
    <t>S^2-S</t>
  </si>
  <si>
    <t>r</t>
  </si>
  <si>
    <t>dr</t>
  </si>
  <si>
    <t>b</t>
  </si>
  <si>
    <t>db</t>
  </si>
  <si>
    <t>dl</t>
  </si>
  <si>
    <t>dd</t>
  </si>
  <si>
    <t>A</t>
  </si>
  <si>
    <t>dA</t>
  </si>
  <si>
    <t>dp</t>
  </si>
  <si>
    <t>S</t>
  </si>
  <si>
    <t>dS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</si>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</sst>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2" fontId="0" fillId="0" borderId="0" xfId="0" applyNumberFormat="1"/>
    <xf numFmtId="164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2" fontId="0" fillId="4" borderId="0" xfId="0" applyNumberFormat="1" applyFill="1"/>
    <xf numFmtId="0" fontId="0" fillId="5" borderId="0" xfId="0" applyFill="1"/>
    <xf numFmtId="0" fontId="0" fillId="0" borderId="0" xfId="0" applyAlignment="1">
      <alignment horizontal="center" textRotation="90"/>
    </xf>
    <xf numFmtId="0" fontId="0" fillId="3" borderId="0" xfId="0" applyFill="1" applyAlignment="1">
      <alignment horizontal="center"/>
    </xf>
    <xf numFmtId="11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BA57"/>
  <sheetViews>
    <sheetView workbookViewId="0">
      <selection activeCell="I12" sqref="I12"/>
    </sheetView>
  </sheetViews>
  <sheetFormatPr baseColWidth="10" defaultColWidth="9.140625" defaultRowHeight="15" x14ac:dyDescent="0.25"/>
  <cols>
    <col min="1" max="5" width="9.140625" style="1"/>
    <col min="6" max="6" width="9.28515625" style="1" bestFit="1" customWidth="1"/>
    <col min="7" max="7" width="9.140625" style="1"/>
    <col min="8" max="8" width="11.5703125" style="1" bestFit="1" customWidth="1"/>
    <col min="9" max="9" width="9.5703125" style="1" customWidth="1"/>
    <col min="10" max="16384" width="9.140625" style="1"/>
  </cols>
  <sheetData>
    <row r="3" spans="5:16" x14ac:dyDescent="0.25">
      <c r="I3" s="1" t="s">
        <v>3</v>
      </c>
      <c r="N3" s="1" t="s">
        <v>4</v>
      </c>
    </row>
    <row r="4" spans="5:16" x14ac:dyDescent="0.25">
      <c r="E4" s="1" t="s">
        <v>2</v>
      </c>
      <c r="F4" s="1">
        <v>1.5419</v>
      </c>
      <c r="H4" s="1" t="s">
        <v>6</v>
      </c>
      <c r="I4" s="1" t="s">
        <v>7</v>
      </c>
      <c r="J4" s="1" t="s">
        <v>8</v>
      </c>
      <c r="K4" s="1" t="s">
        <v>10</v>
      </c>
      <c r="M4" s="1" t="s">
        <v>6</v>
      </c>
      <c r="N4" s="1" t="s">
        <v>7</v>
      </c>
      <c r="O4" s="1" t="s">
        <v>8</v>
      </c>
      <c r="P4" s="1" t="s">
        <v>10</v>
      </c>
    </row>
    <row r="5" spans="5:16" x14ac:dyDescent="0.25">
      <c r="E5" s="1" t="s">
        <v>1</v>
      </c>
      <c r="F5" s="1">
        <v>20</v>
      </c>
      <c r="H5" s="2">
        <v>14.014192</v>
      </c>
      <c r="I5" s="2">
        <v>3.73828</v>
      </c>
      <c r="J5" s="1">
        <v>-3.2544770000000001</v>
      </c>
      <c r="K5" s="1">
        <f>H5*EXP(-I5*$F$6^2)</f>
        <v>8.7996199366344872</v>
      </c>
      <c r="M5" s="2">
        <v>16.77739</v>
      </c>
      <c r="N5" s="2">
        <v>0.122737</v>
      </c>
      <c r="O5" s="1">
        <v>-6.2790780000000002</v>
      </c>
      <c r="P5" s="1">
        <f>M5*EXP(-N5*$F$6^2)</f>
        <v>16.522996841681437</v>
      </c>
    </row>
    <row r="6" spans="5:16" x14ac:dyDescent="0.25">
      <c r="E6" s="1" t="s">
        <v>0</v>
      </c>
      <c r="F6" s="1">
        <f>SIN(F5/2)/F4</f>
        <v>-0.35282515785029495</v>
      </c>
      <c r="H6" s="2">
        <v>4.7845769999999996</v>
      </c>
      <c r="I6" s="2">
        <v>3.7439999999999999E-3</v>
      </c>
      <c r="K6" s="1">
        <f t="shared" ref="K6:K9" si="0">H6*EXP(-I6*$F$6^2)</f>
        <v>4.7823475523732126</v>
      </c>
      <c r="M6" s="2">
        <v>19.317156000000001</v>
      </c>
      <c r="N6" s="2">
        <v>8.6215700000000002</v>
      </c>
      <c r="P6" s="1">
        <f t="shared" ref="P6:P9" si="1">M6*EXP(-N6*$F$6^2)</f>
        <v>6.6043753912624616</v>
      </c>
    </row>
    <row r="7" spans="5:16" x14ac:dyDescent="0.25">
      <c r="H7" s="2">
        <v>5.0568059999999999</v>
      </c>
      <c r="I7" s="2">
        <v>13.034981999999999</v>
      </c>
      <c r="K7" s="1">
        <f t="shared" si="0"/>
        <v>0.99806947342770447</v>
      </c>
      <c r="M7" s="2">
        <v>32.979683000000001</v>
      </c>
      <c r="N7" s="2">
        <v>1.256902</v>
      </c>
      <c r="P7" s="1">
        <f t="shared" si="1"/>
        <v>28.202919913847445</v>
      </c>
    </row>
    <row r="8" spans="5:16" x14ac:dyDescent="0.25">
      <c r="H8" s="2">
        <v>1.4579709999999999</v>
      </c>
      <c r="I8" s="2">
        <v>72.554794000000001</v>
      </c>
      <c r="K8" s="1">
        <f t="shared" si="0"/>
        <v>1.7425675528883657E-4</v>
      </c>
      <c r="M8" s="2">
        <v>5.595453</v>
      </c>
      <c r="N8" s="2">
        <v>38.00882</v>
      </c>
      <c r="P8" s="1">
        <f t="shared" si="1"/>
        <v>4.931158894168796E-2</v>
      </c>
    </row>
    <row r="9" spans="5:16" x14ac:dyDescent="0.25">
      <c r="E9" s="1">
        <f>SIN(90)</f>
        <v>0.89399666360055785</v>
      </c>
      <c r="H9" s="2">
        <v>6.9329960000000002</v>
      </c>
      <c r="I9" s="2">
        <v>0.26566600000000001</v>
      </c>
      <c r="K9" s="1">
        <f t="shared" si="0"/>
        <v>6.7074607639512447</v>
      </c>
      <c r="M9" s="2">
        <v>10.576854000000001</v>
      </c>
      <c r="N9" s="2">
        <v>6.0099999999999997E-4</v>
      </c>
      <c r="P9" s="1">
        <f t="shared" si="1"/>
        <v>10.576062713375736</v>
      </c>
    </row>
    <row r="12" spans="5:16" x14ac:dyDescent="0.25">
      <c r="H12" s="1" t="s">
        <v>9</v>
      </c>
      <c r="I12" s="1">
        <f>SUM(K5:K9)+J5</f>
        <v>18.033194983141936</v>
      </c>
      <c r="M12" s="1" t="s">
        <v>9</v>
      </c>
      <c r="N12" s="1">
        <f>SUM(P5:P9)+O5</f>
        <v>55.67658844910877</v>
      </c>
    </row>
    <row r="17" spans="5:53" x14ac:dyDescent="0.25">
      <c r="E17" s="1" t="s">
        <v>11</v>
      </c>
      <c r="F17" s="1" t="s">
        <v>1</v>
      </c>
      <c r="G17" s="1">
        <v>41.92</v>
      </c>
      <c r="H17" s="1">
        <v>48.7</v>
      </c>
      <c r="I17" s="1">
        <v>71.36</v>
      </c>
      <c r="J17" s="1">
        <v>86.2</v>
      </c>
      <c r="K17" s="1">
        <v>91.02</v>
      </c>
      <c r="L17" s="1">
        <v>23.84</v>
      </c>
      <c r="M17" s="1">
        <v>33.96</v>
      </c>
      <c r="N17" s="1">
        <v>54.8</v>
      </c>
      <c r="O17" s="1">
        <v>60.5</v>
      </c>
      <c r="P17" s="1">
        <v>76</v>
      </c>
      <c r="Q17" s="1">
        <v>81.56</v>
      </c>
      <c r="R17" s="1">
        <v>91.02</v>
      </c>
      <c r="S17" s="1">
        <v>96.26</v>
      </c>
      <c r="T17" s="1">
        <v>100.76</v>
      </c>
      <c r="Y17" s="1" t="s">
        <v>13</v>
      </c>
      <c r="Z17" s="1" t="s">
        <v>1</v>
      </c>
      <c r="AA17" s="1">
        <v>41.06</v>
      </c>
      <c r="AB17" s="1">
        <v>47.86</v>
      </c>
      <c r="AC17" s="1">
        <v>71.08</v>
      </c>
      <c r="AD17" s="1">
        <v>85.98</v>
      </c>
      <c r="AE17" s="1">
        <v>23.5</v>
      </c>
      <c r="AF17" s="1">
        <v>33.74</v>
      </c>
      <c r="AG17" s="1">
        <v>54.6</v>
      </c>
      <c r="AH17" s="1">
        <v>60.3</v>
      </c>
      <c r="AI17" s="1">
        <v>76</v>
      </c>
      <c r="AJ17" s="1">
        <v>95.76</v>
      </c>
      <c r="AK17" s="1">
        <v>100.5</v>
      </c>
      <c r="AL17" s="1">
        <v>90.5</v>
      </c>
      <c r="AU17" s="1" t="s">
        <v>12</v>
      </c>
      <c r="AV17" s="1" t="s">
        <v>1</v>
      </c>
      <c r="AW17" s="1">
        <v>40.46</v>
      </c>
      <c r="AX17" s="1">
        <v>47.08</v>
      </c>
      <c r="AY17" s="1">
        <v>68.88</v>
      </c>
      <c r="AZ17" s="1">
        <v>82.9</v>
      </c>
      <c r="BA17" s="1">
        <v>87.6</v>
      </c>
    </row>
    <row r="18" spans="5:53" x14ac:dyDescent="0.25">
      <c r="F18" s="1" t="s">
        <v>0</v>
      </c>
      <c r="G18" s="2">
        <f>SIN(PI()/180*G17/2)/$F$4</f>
        <v>0.23199695192630471</v>
      </c>
      <c r="H18" s="2">
        <f t="shared" ref="H18:T18" si="2">SIN(PI()/180*H17/2)/$F$4</f>
        <v>0.26740356132735904</v>
      </c>
      <c r="I18" s="2">
        <f t="shared" si="2"/>
        <v>0.37827207029223786</v>
      </c>
      <c r="J18" s="2">
        <f t="shared" si="2"/>
        <v>0.44313754048952542</v>
      </c>
      <c r="K18" s="2">
        <f t="shared" si="2"/>
        <v>0.46265825931275212</v>
      </c>
      <c r="L18" s="2">
        <f t="shared" si="2"/>
        <v>0.13395533880149391</v>
      </c>
      <c r="M18" s="2">
        <f t="shared" si="2"/>
        <v>0.18940130591110471</v>
      </c>
      <c r="N18" s="2">
        <f t="shared" si="2"/>
        <v>0.29846279576097778</v>
      </c>
      <c r="O18" s="2">
        <f t="shared" si="2"/>
        <v>0.326722859488635</v>
      </c>
      <c r="P18" s="2">
        <f t="shared" si="2"/>
        <v>0.3992875512845569</v>
      </c>
      <c r="Q18" s="2">
        <f t="shared" si="2"/>
        <v>0.42360485314479768</v>
      </c>
      <c r="R18" s="2">
        <f t="shared" si="2"/>
        <v>0.46265825931275212</v>
      </c>
      <c r="S18" s="2">
        <f t="shared" si="2"/>
        <v>0.4829503343244762</v>
      </c>
      <c r="T18" s="2">
        <f t="shared" si="2"/>
        <v>0.49957240605156672</v>
      </c>
      <c r="Z18" s="1" t="s">
        <v>0</v>
      </c>
      <c r="AA18" s="1">
        <f>SIN(PI()/180*AA17/2)/$F$4</f>
        <v>0.22744521281718366</v>
      </c>
      <c r="AB18" s="1">
        <f t="shared" ref="AB18:AL18" si="3">SIN(PI()/180*AB17/2)/$F$4</f>
        <v>0.26306520103353265</v>
      </c>
      <c r="AC18" s="1">
        <f t="shared" si="3"/>
        <v>0.37698370452199492</v>
      </c>
      <c r="AD18" s="1">
        <f t="shared" si="3"/>
        <v>0.44222757920411088</v>
      </c>
      <c r="AE18" s="1">
        <f t="shared" si="3"/>
        <v>0.13207195741628996</v>
      </c>
      <c r="AF18" s="1">
        <f t="shared" si="3"/>
        <v>0.18821010918427131</v>
      </c>
      <c r="AG18" s="1">
        <f t="shared" si="3"/>
        <v>0.29745739314113429</v>
      </c>
      <c r="AH18" s="1">
        <f t="shared" si="3"/>
        <v>0.3257445574572751</v>
      </c>
      <c r="AI18" s="1">
        <f t="shared" si="3"/>
        <v>0.3992875512845569</v>
      </c>
      <c r="AJ18" s="1">
        <f t="shared" si="3"/>
        <v>0.48105698990773665</v>
      </c>
      <c r="AK18" s="1">
        <f t="shared" si="3"/>
        <v>0.4986327466589659</v>
      </c>
      <c r="AL18" s="1">
        <f t="shared" si="3"/>
        <v>0.46059107310674197</v>
      </c>
      <c r="AV18" s="1" t="s">
        <v>0</v>
      </c>
      <c r="AW18" s="1">
        <f>SIN(PI()/180*AW17/2)/$F$4</f>
        <v>0.22426197901353928</v>
      </c>
      <c r="AX18" s="1">
        <f t="shared" ref="AX18:BA18" si="4">SIN(PI()/180*AX17/2)/$F$4</f>
        <v>0.25902406148905743</v>
      </c>
      <c r="AY18" s="1">
        <f t="shared" si="4"/>
        <v>0.36678312704392158</v>
      </c>
      <c r="AZ18" s="1">
        <f>SIN(PI()/180*AZ17/2)/$F$4</f>
        <v>0.42931850887069645</v>
      </c>
      <c r="BA18" s="1">
        <f t="shared" si="4"/>
        <v>0.44888979432544701</v>
      </c>
    </row>
    <row r="19" spans="5:53" x14ac:dyDescent="0.25">
      <c r="F19" s="1">
        <v>1</v>
      </c>
      <c r="G19" s="2">
        <f>$H$5*EXP(-$I$5*G$18^2)</f>
        <v>11.460044963064208</v>
      </c>
      <c r="H19" s="2">
        <f>$H5*EXP(-$I5*H$18^2)</f>
        <v>10.727023011627804</v>
      </c>
      <c r="I19" s="2">
        <f>$H5*EXP(-$I5*I$18^2)</f>
        <v>8.2084240126474057</v>
      </c>
      <c r="J19" s="2">
        <f>$H5*EXP(-$I5*J$18^2)</f>
        <v>6.726003932128676</v>
      </c>
      <c r="K19" s="2">
        <f>$H5*EXP(-$I5*K$18^2)</f>
        <v>6.2957936402941561</v>
      </c>
      <c r="L19" s="2">
        <f t="shared" ref="L19:T19" si="5">$H5*EXP(-$I5*L$18^2)</f>
        <v>13.104959043705367</v>
      </c>
      <c r="M19" s="2">
        <f t="shared" si="5"/>
        <v>12.255413469391366</v>
      </c>
      <c r="N19" s="2">
        <f t="shared" si="5"/>
        <v>10.044893508962708</v>
      </c>
      <c r="O19" s="2">
        <f t="shared" si="5"/>
        <v>9.4028916475466549</v>
      </c>
      <c r="P19" s="2">
        <f t="shared" si="5"/>
        <v>7.7220085045268894</v>
      </c>
      <c r="Q19" s="2">
        <f t="shared" si="5"/>
        <v>7.1654406609741033</v>
      </c>
      <c r="R19" s="2">
        <f t="shared" si="5"/>
        <v>6.2957936402941561</v>
      </c>
      <c r="S19" s="2">
        <f t="shared" si="5"/>
        <v>5.8600039046845875</v>
      </c>
      <c r="T19" s="2">
        <f t="shared" si="5"/>
        <v>5.5129414150014533</v>
      </c>
      <c r="Z19" s="1">
        <v>1</v>
      </c>
      <c r="AA19" s="1">
        <f t="shared" ref="AA19:AD23" si="6">$H5*EXP(-$I5*AA$18^2)</f>
        <v>11.549987485274691</v>
      </c>
      <c r="AB19" s="1">
        <f t="shared" si="6"/>
        <v>10.819707265794438</v>
      </c>
      <c r="AC19" s="1">
        <f t="shared" si="6"/>
        <v>8.238336667379345</v>
      </c>
      <c r="AD19" s="1">
        <f t="shared" si="6"/>
        <v>6.7462914269795409</v>
      </c>
      <c r="AE19" s="1">
        <f t="shared" ref="AE19:AL19" si="7">$H5*EXP(-$I5*AE$18^2)</f>
        <v>13.129527549720493</v>
      </c>
      <c r="AF19" s="1">
        <f t="shared" si="7"/>
        <v>12.276038451868502</v>
      </c>
      <c r="AG19" s="1">
        <f t="shared" si="7"/>
        <v>10.067416793453591</v>
      </c>
      <c r="AH19" s="1">
        <f t="shared" si="7"/>
        <v>9.4253554514215523</v>
      </c>
      <c r="AI19" s="1">
        <f t="shared" si="7"/>
        <v>7.7220085045268894</v>
      </c>
      <c r="AJ19" s="1">
        <f t="shared" si="7"/>
        <v>5.900124017858543</v>
      </c>
      <c r="AK19" s="1">
        <f t="shared" si="7"/>
        <v>5.5323059512093877</v>
      </c>
      <c r="AL19" s="1">
        <f t="shared" si="7"/>
        <v>6.3408723103930802</v>
      </c>
      <c r="AV19" s="1">
        <v>1</v>
      </c>
      <c r="AW19" s="1">
        <f t="shared" ref="AW19:BA23" si="8">$H5*EXP(-$I5*AW$18^2)</f>
        <v>11.612238527115432</v>
      </c>
      <c r="AX19" s="1">
        <f t="shared" si="8"/>
        <v>10.905381404416318</v>
      </c>
      <c r="AY19" s="1">
        <f t="shared" si="8"/>
        <v>8.4753354775957117</v>
      </c>
      <c r="AZ19" s="1">
        <f t="shared" si="8"/>
        <v>7.0360839779822033</v>
      </c>
      <c r="BA19" s="1">
        <f t="shared" si="8"/>
        <v>6.5982169701774476</v>
      </c>
    </row>
    <row r="20" spans="5:53" x14ac:dyDescent="0.25">
      <c r="F20" s="1">
        <v>2</v>
      </c>
      <c r="G20" s="2">
        <f t="shared" ref="G20:T23" si="9">$H6*EXP(-$I6*G$18^2)</f>
        <v>4.7836129486008101</v>
      </c>
      <c r="H20" s="2">
        <f t="shared" si="9"/>
        <v>4.783296275757321</v>
      </c>
      <c r="I20" s="2">
        <f t="shared" si="9"/>
        <v>4.7820144543290661</v>
      </c>
      <c r="J20" s="2">
        <f t="shared" si="9"/>
        <v>4.7810606116334915</v>
      </c>
      <c r="K20" s="2">
        <f t="shared" si="9"/>
        <v>4.7807441130120125</v>
      </c>
      <c r="L20" s="2">
        <f t="shared" si="9"/>
        <v>4.7842555711502355</v>
      </c>
      <c r="M20" s="2">
        <f t="shared" si="9"/>
        <v>4.7839344363374243</v>
      </c>
      <c r="N20" s="2">
        <f t="shared" si="9"/>
        <v>4.7829815346603395</v>
      </c>
      <c r="O20" s="2">
        <f t="shared" si="9"/>
        <v>4.7826651595409864</v>
      </c>
      <c r="P20" s="2">
        <f t="shared" si="9"/>
        <v>4.7817219000372271</v>
      </c>
      <c r="Q20" s="2">
        <f t="shared" si="9"/>
        <v>4.7813636697299584</v>
      </c>
      <c r="R20" s="2">
        <f t="shared" si="9"/>
        <v>4.7807441130120125</v>
      </c>
      <c r="S20" s="2">
        <f t="shared" si="9"/>
        <v>4.7804006708507938</v>
      </c>
      <c r="T20" s="2">
        <f t="shared" si="9"/>
        <v>4.7801083804019671</v>
      </c>
      <c r="Z20" s="1">
        <v>2</v>
      </c>
      <c r="AA20" s="1">
        <f t="shared" si="6"/>
        <v>4.783650402909398</v>
      </c>
      <c r="AB20" s="1">
        <f t="shared" si="6"/>
        <v>4.7833374902942101</v>
      </c>
      <c r="AC20" s="1">
        <f t="shared" si="6"/>
        <v>4.7820318756366325</v>
      </c>
      <c r="AD20" s="1">
        <f t="shared" si="6"/>
        <v>4.7810750329885137</v>
      </c>
      <c r="AE20" s="1">
        <f t="shared" ref="AE20:AL20" si="10">$H6*EXP(-$I6*AE$18^2)</f>
        <v>4.784264545750065</v>
      </c>
      <c r="AF20" s="1">
        <f t="shared" si="10"/>
        <v>4.7839424929045631</v>
      </c>
      <c r="AG20" s="1">
        <f t="shared" si="10"/>
        <v>4.7829922637566273</v>
      </c>
      <c r="AH20" s="1">
        <f t="shared" si="10"/>
        <v>4.7826765893275178</v>
      </c>
      <c r="AI20" s="1">
        <f t="shared" si="10"/>
        <v>4.7817219000372271</v>
      </c>
      <c r="AJ20" s="1">
        <f t="shared" si="10"/>
        <v>4.7804333380258237</v>
      </c>
      <c r="AK20" s="1">
        <f t="shared" si="10"/>
        <v>4.7801251670742806</v>
      </c>
      <c r="AL20" s="1">
        <f t="shared" si="10"/>
        <v>4.7807782740840556</v>
      </c>
      <c r="AV20" s="1">
        <v>2</v>
      </c>
      <c r="AW20" s="1">
        <f t="shared" si="8"/>
        <v>4.7836761555629588</v>
      </c>
      <c r="AX20" s="1">
        <f t="shared" si="8"/>
        <v>4.7833752750994405</v>
      </c>
      <c r="AY20" s="1">
        <f t="shared" si="8"/>
        <v>4.7821677119983326</v>
      </c>
      <c r="AZ20" s="1">
        <f t="shared" si="8"/>
        <v>4.781276431321456</v>
      </c>
      <c r="BA20" s="1">
        <f t="shared" si="8"/>
        <v>4.7809687631218534</v>
      </c>
    </row>
    <row r="21" spans="5:53" x14ac:dyDescent="0.25">
      <c r="F21" s="1">
        <v>3</v>
      </c>
      <c r="G21" s="2">
        <f t="shared" si="9"/>
        <v>2.5071800183059607</v>
      </c>
      <c r="H21" s="2">
        <f t="shared" si="9"/>
        <v>1.9910717121333241</v>
      </c>
      <c r="I21" s="2">
        <f t="shared" si="9"/>
        <v>0.7831450302065659</v>
      </c>
      <c r="J21" s="2">
        <f t="shared" si="9"/>
        <v>0.39103593231909972</v>
      </c>
      <c r="K21" s="2">
        <f t="shared" si="9"/>
        <v>0.31054154834624292</v>
      </c>
      <c r="L21" s="2">
        <f t="shared" si="9"/>
        <v>4.0021627969278297</v>
      </c>
      <c r="M21" s="2">
        <f t="shared" si="9"/>
        <v>3.1681031824611661</v>
      </c>
      <c r="N21" s="2">
        <f t="shared" si="9"/>
        <v>1.5834061769679648</v>
      </c>
      <c r="O21" s="2">
        <f t="shared" si="9"/>
        <v>1.2576929572553341</v>
      </c>
      <c r="P21" s="2">
        <f t="shared" si="9"/>
        <v>0.63290226230832891</v>
      </c>
      <c r="Q21" s="2">
        <f t="shared" si="9"/>
        <v>0.48759210172543227</v>
      </c>
      <c r="R21" s="2">
        <f t="shared" si="9"/>
        <v>0.31054154834624292</v>
      </c>
      <c r="S21" s="2">
        <f t="shared" si="9"/>
        <v>0.24182099675203234</v>
      </c>
      <c r="T21" s="2">
        <f t="shared" si="9"/>
        <v>0.19545225581660497</v>
      </c>
      <c r="Z21" s="1">
        <v>3</v>
      </c>
      <c r="AA21" s="1">
        <f t="shared" si="6"/>
        <v>2.5764646554804882</v>
      </c>
      <c r="AB21" s="1">
        <f t="shared" si="6"/>
        <v>2.0517052752010927</v>
      </c>
      <c r="AC21" s="1">
        <f t="shared" si="6"/>
        <v>0.79314141560682061</v>
      </c>
      <c r="AD21" s="1">
        <f t="shared" si="6"/>
        <v>0.39516407611603566</v>
      </c>
      <c r="AE21" s="1">
        <f t="shared" ref="AE21:AL21" si="11">$H7*EXP(-$I7*AE$18^2)</f>
        <v>4.0283861731280073</v>
      </c>
      <c r="AF21" s="1">
        <f t="shared" si="11"/>
        <v>3.1867331531609504</v>
      </c>
      <c r="AG21" s="1">
        <f t="shared" si="11"/>
        <v>1.5958206376393109</v>
      </c>
      <c r="AH21" s="1">
        <f t="shared" si="11"/>
        <v>1.2682010729350031</v>
      </c>
      <c r="AI21" s="1">
        <f t="shared" si="11"/>
        <v>0.63290226230832891</v>
      </c>
      <c r="AJ21" s="1">
        <f t="shared" si="11"/>
        <v>0.24764324721076997</v>
      </c>
      <c r="AK21" s="1">
        <f t="shared" si="11"/>
        <v>0.19785661328240717</v>
      </c>
      <c r="AL21" s="1">
        <f t="shared" si="11"/>
        <v>0.31836398507088637</v>
      </c>
      <c r="AV21" s="1">
        <v>3</v>
      </c>
      <c r="AW21" s="1">
        <f t="shared" si="8"/>
        <v>2.6252103751358633</v>
      </c>
      <c r="AX21" s="1">
        <f t="shared" si="8"/>
        <v>2.1089136509419766</v>
      </c>
      <c r="AY21" s="1">
        <f t="shared" si="8"/>
        <v>0.87558830091848994</v>
      </c>
      <c r="AZ21" s="1">
        <f t="shared" si="8"/>
        <v>0.4575818085345878</v>
      </c>
      <c r="BA21" s="1">
        <f t="shared" si="8"/>
        <v>0.36573710253291591</v>
      </c>
    </row>
    <row r="22" spans="5:53" x14ac:dyDescent="0.25">
      <c r="F22" s="1">
        <v>4</v>
      </c>
      <c r="G22" s="2">
        <f t="shared" si="9"/>
        <v>2.936238413256323E-2</v>
      </c>
      <c r="H22" s="2">
        <f t="shared" si="9"/>
        <v>8.1400376983631895E-3</v>
      </c>
      <c r="I22" s="2">
        <f>$H8*EXP(-$I8*I$18^2)</f>
        <v>4.5182430318283369E-5</v>
      </c>
      <c r="J22" s="2">
        <f t="shared" si="9"/>
        <v>9.4639766861064825E-7</v>
      </c>
      <c r="K22" s="2">
        <f t="shared" si="9"/>
        <v>2.6237232227092237E-7</v>
      </c>
      <c r="L22" s="2">
        <f t="shared" si="9"/>
        <v>0.39657906132934445</v>
      </c>
      <c r="M22" s="2">
        <f t="shared" si="9"/>
        <v>0.10799159937676676</v>
      </c>
      <c r="N22" s="2">
        <f t="shared" si="9"/>
        <v>2.2741742909721929E-3</v>
      </c>
      <c r="O22" s="2">
        <f t="shared" si="9"/>
        <v>6.3111601810382143E-4</v>
      </c>
      <c r="P22" s="2">
        <f t="shared" si="9"/>
        <v>1.3806033259331207E-5</v>
      </c>
      <c r="Q22" s="2">
        <f t="shared" si="9"/>
        <v>3.232469238976155E-6</v>
      </c>
      <c r="R22" s="2">
        <f t="shared" si="9"/>
        <v>2.6237232227092237E-7</v>
      </c>
      <c r="S22" s="2">
        <f t="shared" si="9"/>
        <v>6.5206361166595652E-8</v>
      </c>
      <c r="T22" s="2">
        <f t="shared" si="9"/>
        <v>1.9937927159588931E-8</v>
      </c>
      <c r="Z22" s="1">
        <v>4</v>
      </c>
      <c r="AA22" s="1">
        <f t="shared" si="6"/>
        <v>3.4173326247290449E-2</v>
      </c>
      <c r="AB22" s="1">
        <f t="shared" si="6"/>
        <v>9.619284127292356E-3</v>
      </c>
      <c r="AC22" s="1">
        <f t="shared" si="6"/>
        <v>4.8487567794366196E-5</v>
      </c>
      <c r="AD22" s="1">
        <f t="shared" si="6"/>
        <v>1.0033668487933838E-6</v>
      </c>
      <c r="AE22" s="1">
        <f t="shared" ref="AE22:AL22" si="12">$H8*EXP(-$I8*AE$18^2)</f>
        <v>0.41126081924116975</v>
      </c>
      <c r="AF22" s="1">
        <f t="shared" si="12"/>
        <v>0.11157413689455463</v>
      </c>
      <c r="AG22" s="1">
        <f t="shared" si="12"/>
        <v>2.3752138995442309E-3</v>
      </c>
      <c r="AH22" s="1">
        <f t="shared" si="12"/>
        <v>6.6103195000006588E-4</v>
      </c>
      <c r="AI22" s="1">
        <f t="shared" si="12"/>
        <v>1.3806033259331207E-5</v>
      </c>
      <c r="AJ22" s="1">
        <f t="shared" si="12"/>
        <v>7.4439289314441168E-8</v>
      </c>
      <c r="AK22" s="1">
        <f t="shared" si="12"/>
        <v>2.134202709967376E-8</v>
      </c>
      <c r="AL22" s="1">
        <f t="shared" si="12"/>
        <v>3.0133947371664834E-7</v>
      </c>
      <c r="AV22" s="1">
        <v>4</v>
      </c>
      <c r="AW22" s="1">
        <f t="shared" si="8"/>
        <v>3.7931093676748531E-2</v>
      </c>
      <c r="AX22" s="1">
        <f t="shared" si="8"/>
        <v>1.1210474131823162E-2</v>
      </c>
      <c r="AY22" s="1">
        <f t="shared" si="8"/>
        <v>8.4080094981116838E-5</v>
      </c>
      <c r="AZ22" s="1">
        <f t="shared" si="8"/>
        <v>2.2697377122821357E-6</v>
      </c>
      <c r="BA22" s="1">
        <f t="shared" si="8"/>
        <v>6.5221354857794053E-7</v>
      </c>
    </row>
    <row r="23" spans="5:53" x14ac:dyDescent="0.25">
      <c r="F23" s="1">
        <v>5</v>
      </c>
      <c r="G23" s="2">
        <f t="shared" si="9"/>
        <v>6.8345676437419005</v>
      </c>
      <c r="H23" s="2">
        <f t="shared" si="9"/>
        <v>6.8025373669540183</v>
      </c>
      <c r="I23" s="2">
        <f t="shared" si="9"/>
        <v>6.674390965843962</v>
      </c>
      <c r="J23" s="2">
        <f t="shared" si="9"/>
        <v>6.5805805890246294</v>
      </c>
      <c r="K23" s="2">
        <f t="shared" si="9"/>
        <v>6.5497411365797067</v>
      </c>
      <c r="L23" s="2">
        <f t="shared" si="9"/>
        <v>6.9000242327739727</v>
      </c>
      <c r="M23" s="2">
        <f t="shared" si="9"/>
        <v>6.8672370224354475</v>
      </c>
      <c r="N23" s="2">
        <f t="shared" si="9"/>
        <v>6.7708491335004242</v>
      </c>
      <c r="O23" s="2">
        <f t="shared" si="9"/>
        <v>6.7391430628112836</v>
      </c>
      <c r="P23" s="2">
        <f t="shared" si="9"/>
        <v>6.6454789537539662</v>
      </c>
      <c r="Q23" s="2">
        <f t="shared" si="9"/>
        <v>6.6102445574438118</v>
      </c>
      <c r="R23" s="2">
        <f t="shared" si="9"/>
        <v>6.5497411365797067</v>
      </c>
      <c r="S23" s="2">
        <f t="shared" si="9"/>
        <v>6.5164375120198148</v>
      </c>
      <c r="T23" s="2">
        <f t="shared" si="9"/>
        <v>6.4882256228039639</v>
      </c>
      <c r="Z23" s="1">
        <v>5</v>
      </c>
      <c r="AA23" s="1">
        <f t="shared" si="6"/>
        <v>6.8383658267096061</v>
      </c>
      <c r="AB23" s="1">
        <f t="shared" si="6"/>
        <v>6.8066976714071181</v>
      </c>
      <c r="AC23" s="1">
        <f t="shared" si="6"/>
        <v>6.6761165533472226</v>
      </c>
      <c r="AD23" s="1">
        <f t="shared" si="6"/>
        <v>6.5819892029916671</v>
      </c>
      <c r="AE23" s="1">
        <f t="shared" ref="AE23:AL23" si="13">$H9*EXP(-$I9*AE$18^2)</f>
        <v>6.9009427344880265</v>
      </c>
      <c r="AF23" s="1">
        <f t="shared" si="13"/>
        <v>6.8680577000154539</v>
      </c>
      <c r="AG23" s="1">
        <f t="shared" si="13"/>
        <v>6.7719269424598858</v>
      </c>
      <c r="AH23" s="1">
        <f t="shared" si="13"/>
        <v>6.740285965516116</v>
      </c>
      <c r="AI23" s="1">
        <f t="shared" si="13"/>
        <v>6.6454789537539662</v>
      </c>
      <c r="AJ23" s="1">
        <f t="shared" si="13"/>
        <v>6.5195980532935698</v>
      </c>
      <c r="AK23" s="1">
        <f t="shared" si="13"/>
        <v>6.4898426089486598</v>
      </c>
      <c r="AL23" s="1">
        <f t="shared" si="13"/>
        <v>6.5530629009186967</v>
      </c>
      <c r="AV23" s="1">
        <v>5</v>
      </c>
      <c r="AW23" s="1">
        <f t="shared" si="8"/>
        <v>6.840978570371302</v>
      </c>
      <c r="AX23" s="1">
        <f t="shared" si="8"/>
        <v>6.8105139736809326</v>
      </c>
      <c r="AY23" s="1">
        <f t="shared" si="8"/>
        <v>6.6895862929944503</v>
      </c>
      <c r="AZ23" s="1">
        <f t="shared" si="8"/>
        <v>6.6016919905734124</v>
      </c>
      <c r="BA23" s="1">
        <f t="shared" si="8"/>
        <v>6.5716162057275103</v>
      </c>
    </row>
    <row r="24" spans="5:53" x14ac:dyDescent="0.25">
      <c r="F24" s="6" t="s">
        <v>14</v>
      </c>
      <c r="G24" s="6">
        <f>SUM(G19:G23)+$J$5</f>
        <v>22.360290957845443</v>
      </c>
      <c r="H24" s="6">
        <f t="shared" ref="H24:T24" si="14">SUM(H19:H23)+$J$5</f>
        <v>21.057591404170829</v>
      </c>
      <c r="I24" s="6">
        <f t="shared" si="14"/>
        <v>17.193542645457313</v>
      </c>
      <c r="J24" s="6">
        <f t="shared" si="14"/>
        <v>15.224205011503566</v>
      </c>
      <c r="K24" s="6">
        <f t="shared" si="14"/>
        <v>14.682343700604443</v>
      </c>
      <c r="L24" s="6">
        <f t="shared" si="14"/>
        <v>25.93350370588675</v>
      </c>
      <c r="M24" s="6">
        <f t="shared" si="14"/>
        <v>23.928202710002168</v>
      </c>
      <c r="N24" s="6">
        <f t="shared" si="14"/>
        <v>19.929927528382407</v>
      </c>
      <c r="O24" s="6">
        <f t="shared" si="14"/>
        <v>18.928546943172364</v>
      </c>
      <c r="P24" s="6">
        <f t="shared" si="14"/>
        <v>16.52764842665967</v>
      </c>
      <c r="Q24" s="6">
        <f t="shared" si="14"/>
        <v>15.790167222342548</v>
      </c>
      <c r="R24" s="6">
        <f t="shared" si="14"/>
        <v>14.682343700604443</v>
      </c>
      <c r="S24" s="6">
        <f t="shared" si="14"/>
        <v>14.144186149513589</v>
      </c>
      <c r="T24" s="6">
        <f t="shared" si="14"/>
        <v>13.722250693961916</v>
      </c>
      <c r="Z24" s="6" t="s">
        <v>14</v>
      </c>
      <c r="AA24" s="6">
        <f t="shared" ref="AA24" si="15">SUM(AA19:AA23)+$J$5</f>
        <v>22.528164696621474</v>
      </c>
      <c r="AB24" s="6">
        <f t="shared" ref="AB24" si="16">SUM(AB19:AB23)+$J$5</f>
        <v>21.21658998682415</v>
      </c>
      <c r="AC24" s="6">
        <f t="shared" ref="AC24" si="17">SUM(AC19:AC23)+$J$5</f>
        <v>17.23519799953781</v>
      </c>
      <c r="AD24" s="6">
        <f t="shared" ref="AD24:AL24" si="18">SUM(AD19:AD23)+$J$5</f>
        <v>15.250043742442605</v>
      </c>
      <c r="AE24" s="6">
        <f t="shared" si="18"/>
        <v>25.999904822327764</v>
      </c>
      <c r="AF24" s="6">
        <f t="shared" si="18"/>
        <v>23.971868934844025</v>
      </c>
      <c r="AG24" s="6">
        <f t="shared" si="18"/>
        <v>19.966054851208956</v>
      </c>
      <c r="AH24" s="6">
        <f t="shared" si="18"/>
        <v>18.962703111150191</v>
      </c>
      <c r="AI24" s="6">
        <f t="shared" si="18"/>
        <v>16.52764842665967</v>
      </c>
      <c r="AJ24" s="6">
        <f t="shared" si="18"/>
        <v>14.193321730827995</v>
      </c>
      <c r="AK24" s="6">
        <f t="shared" si="18"/>
        <v>13.745653361856762</v>
      </c>
      <c r="AL24" s="6">
        <f t="shared" si="18"/>
        <v>14.738600771806192</v>
      </c>
      <c r="AV24" s="1" t="s">
        <v>14</v>
      </c>
      <c r="AW24" s="1">
        <f t="shared" ref="AW24" si="19">SUM(AW19:AW23)+$J$5</f>
        <v>22.645557721862307</v>
      </c>
      <c r="AX24" s="1">
        <f t="shared" ref="AX24" si="20">SUM(AX19:AX23)+$J$5</f>
        <v>21.364917778270488</v>
      </c>
      <c r="AY24" s="1">
        <f t="shared" ref="AY24" si="21">SUM(AY19:AY23)+$J$5</f>
        <v>17.568284863601964</v>
      </c>
      <c r="AZ24" s="1">
        <f t="shared" ref="AZ24" si="22">SUM(AZ19:AZ23)+$J$5</f>
        <v>15.622159478149372</v>
      </c>
      <c r="BA24" s="1">
        <f t="shared" ref="BA24" si="23">SUM(BA19:BA23)+$J$5</f>
        <v>15.06206269377328</v>
      </c>
    </row>
    <row r="25" spans="5:53" x14ac:dyDescent="0.25">
      <c r="F25" s="1">
        <v>1</v>
      </c>
      <c r="G25" s="2">
        <f>$M5*EXP(-$N5*G$18^2)</f>
        <v>16.666923454767289</v>
      </c>
      <c r="H25" s="2">
        <f t="shared" ref="H25:T25" si="24">$M5*EXP(-$N5*H$18^2)</f>
        <v>16.630791364091767</v>
      </c>
      <c r="I25" s="2">
        <f t="shared" si="24"/>
        <v>16.485310948520432</v>
      </c>
      <c r="J25" s="2">
        <f t="shared" si="24"/>
        <v>16.377855925134995</v>
      </c>
      <c r="K25" s="2">
        <f t="shared" si="24"/>
        <v>16.342351090939506</v>
      </c>
      <c r="L25" s="2">
        <f t="shared" si="24"/>
        <v>16.740480190682256</v>
      </c>
      <c r="M25" s="2">
        <f t="shared" si="24"/>
        <v>16.703682766718547</v>
      </c>
      <c r="N25" s="2">
        <f t="shared" si="24"/>
        <v>16.594954936865566</v>
      </c>
      <c r="O25" s="2">
        <f t="shared" si="24"/>
        <v>16.55900791415613</v>
      </c>
      <c r="P25" s="2">
        <f t="shared" si="24"/>
        <v>16.45228082184461</v>
      </c>
      <c r="Q25" s="2">
        <f t="shared" si="24"/>
        <v>16.411923081123618</v>
      </c>
      <c r="R25" s="2">
        <f t="shared" si="24"/>
        <v>16.342351090939506</v>
      </c>
      <c r="S25" s="2">
        <f t="shared" si="24"/>
        <v>16.303908150223243</v>
      </c>
      <c r="T25" s="2">
        <f t="shared" si="24"/>
        <v>16.271259908997799</v>
      </c>
      <c r="Z25" s="1">
        <v>1</v>
      </c>
      <c r="AA25" s="1">
        <f>$M5*EXP(-$N5*AA$18^2)</f>
        <v>16.671201987840615</v>
      </c>
      <c r="AB25" s="1">
        <f>$M5*EXP(-$N5*AB$18^2)</f>
        <v>16.635489603982229</v>
      </c>
      <c r="AC25" s="1">
        <f>$M5*EXP(-$N5*AC$18^2)</f>
        <v>16.487279885489578</v>
      </c>
      <c r="AD25" s="1">
        <f>$M5*EXP(-$N5*AD$18^2)</f>
        <v>16.379475493728112</v>
      </c>
      <c r="AE25" s="1">
        <f t="shared" ref="AE25:AL25" si="25">$M5*EXP(-$N5*AE$18^2)</f>
        <v>16.741509678573511</v>
      </c>
      <c r="AF25" s="1">
        <f t="shared" si="25"/>
        <v>16.704604973542285</v>
      </c>
      <c r="AG25" s="1">
        <f t="shared" si="25"/>
        <v>16.596175318493888</v>
      </c>
      <c r="AH25" s="1">
        <f t="shared" si="25"/>
        <v>16.560305268510657</v>
      </c>
      <c r="AI25" s="1">
        <f t="shared" si="25"/>
        <v>16.45228082184461</v>
      </c>
      <c r="AJ25" s="1">
        <f t="shared" si="25"/>
        <v>16.307560949656789</v>
      </c>
      <c r="AK25" s="1">
        <f t="shared" si="25"/>
        <v>16.273133228920404</v>
      </c>
      <c r="AL25" s="1">
        <f t="shared" si="25"/>
        <v>16.346179686646185</v>
      </c>
      <c r="AV25" s="1">
        <v>1</v>
      </c>
      <c r="AW25" s="1">
        <f t="shared" ref="AW25:BA29" si="26">$M5*EXP(-$N5*AW$18^2)</f>
        <v>16.674144418815587</v>
      </c>
      <c r="AX25" s="1">
        <f t="shared" si="26"/>
        <v>16.639798003140619</v>
      </c>
      <c r="AY25" s="1">
        <f t="shared" si="26"/>
        <v>16.502639782392194</v>
      </c>
      <c r="AZ25" s="1">
        <f t="shared" si="26"/>
        <v>16.402109462455542</v>
      </c>
      <c r="BA25" s="1">
        <f t="shared" si="26"/>
        <v>16.367544658750301</v>
      </c>
    </row>
    <row r="26" spans="5:53" x14ac:dyDescent="0.25">
      <c r="F26" s="1">
        <v>2</v>
      </c>
      <c r="G26" s="2">
        <f t="shared" ref="G26:T26" si="27">$M6*EXP(-$N6*G$18^2)</f>
        <v>12.145496258546858</v>
      </c>
      <c r="H26" s="2">
        <f t="shared" si="27"/>
        <v>10.428173582199861</v>
      </c>
      <c r="I26" s="2">
        <f t="shared" si="27"/>
        <v>5.6256429178806568</v>
      </c>
      <c r="J26" s="2">
        <f t="shared" si="27"/>
        <v>3.5536254180716176</v>
      </c>
      <c r="K26" s="2">
        <f t="shared" si="27"/>
        <v>3.0511652864050554</v>
      </c>
      <c r="L26" s="2">
        <f t="shared" si="27"/>
        <v>16.548374478357445</v>
      </c>
      <c r="M26" s="2">
        <f t="shared" si="27"/>
        <v>14.178309336373554</v>
      </c>
      <c r="N26" s="2">
        <f t="shared" si="27"/>
        <v>8.9619138956992721</v>
      </c>
      <c r="O26" s="2">
        <f t="shared" si="27"/>
        <v>7.6956847593867614</v>
      </c>
      <c r="P26" s="2">
        <f t="shared" si="27"/>
        <v>4.8863811480655839</v>
      </c>
      <c r="Q26" s="2">
        <f t="shared" si="27"/>
        <v>4.1120835775987468</v>
      </c>
      <c r="R26" s="2">
        <f t="shared" si="27"/>
        <v>3.0511652864050554</v>
      </c>
      <c r="S26" s="2">
        <f t="shared" si="27"/>
        <v>2.585941828750272</v>
      </c>
      <c r="T26" s="2">
        <f t="shared" si="27"/>
        <v>2.2463037055226858</v>
      </c>
      <c r="Z26" s="1">
        <v>2</v>
      </c>
      <c r="AA26" s="1">
        <f t="shared" ref="AA26:AC29" si="28">$M6*EXP(-$N6*AA$18^2)</f>
        <v>12.366465014847979</v>
      </c>
      <c r="AB26" s="1">
        <f t="shared" si="28"/>
        <v>10.637149222987325</v>
      </c>
      <c r="AC26" s="1">
        <f t="shared" si="28"/>
        <v>5.6730359739659368</v>
      </c>
      <c r="AD26" s="1">
        <f t="shared" ref="AD26:AL26" si="29">$M6*EXP(-$N6*AD$18^2)</f>
        <v>3.5783946475693882</v>
      </c>
      <c r="AE26" s="1">
        <f t="shared" si="29"/>
        <v>16.620012653692203</v>
      </c>
      <c r="AF26" s="1">
        <f t="shared" si="29"/>
        <v>14.233400480886557</v>
      </c>
      <c r="AG26" s="1">
        <f t="shared" si="29"/>
        <v>9.0083266561660498</v>
      </c>
      <c r="AH26" s="1">
        <f t="shared" si="29"/>
        <v>7.738152677614698</v>
      </c>
      <c r="AI26" s="1">
        <f t="shared" si="29"/>
        <v>4.8863811480655839</v>
      </c>
      <c r="AJ26" s="1">
        <f t="shared" si="29"/>
        <v>2.6269562504116419</v>
      </c>
      <c r="AK26" s="1">
        <f t="shared" si="29"/>
        <v>2.2645427594804501</v>
      </c>
      <c r="AL26" s="1">
        <f t="shared" si="29"/>
        <v>3.101786044503251</v>
      </c>
      <c r="AV26" s="1">
        <v>2</v>
      </c>
      <c r="AW26" s="1">
        <f t="shared" si="26"/>
        <v>12.520724614999667</v>
      </c>
      <c r="AX26" s="1">
        <f t="shared" si="26"/>
        <v>10.832410504633035</v>
      </c>
      <c r="AY26" s="1">
        <f t="shared" si="26"/>
        <v>6.0565176409877406</v>
      </c>
      <c r="AZ26" s="1">
        <f t="shared" si="26"/>
        <v>3.9428912186893617</v>
      </c>
      <c r="BA26" s="1">
        <f t="shared" si="26"/>
        <v>3.3998441956053282</v>
      </c>
    </row>
    <row r="27" spans="5:53" x14ac:dyDescent="0.25">
      <c r="F27" s="1">
        <v>3</v>
      </c>
      <c r="G27" s="2">
        <f t="shared" ref="G27:T27" si="30">$M7*EXP(-$N7*G$18^2)</f>
        <v>30.822408975845669</v>
      </c>
      <c r="H27" s="2">
        <f t="shared" si="30"/>
        <v>30.144948069240044</v>
      </c>
      <c r="I27" s="2">
        <f t="shared" si="30"/>
        <v>27.551084530639947</v>
      </c>
      <c r="J27" s="2">
        <f t="shared" si="30"/>
        <v>25.766437002247677</v>
      </c>
      <c r="K27" s="2">
        <f t="shared" si="30"/>
        <v>25.200113099133862</v>
      </c>
      <c r="L27" s="2">
        <f t="shared" si="30"/>
        <v>32.244188146603832</v>
      </c>
      <c r="M27" s="2">
        <f t="shared" si="30"/>
        <v>31.525698619213177</v>
      </c>
      <c r="N27" s="2">
        <f t="shared" si="30"/>
        <v>29.486331712454476</v>
      </c>
      <c r="O27" s="2">
        <f t="shared" si="30"/>
        <v>28.83875516674221</v>
      </c>
      <c r="P27" s="2">
        <f t="shared" si="30"/>
        <v>26.990990625653275</v>
      </c>
      <c r="Q27" s="2">
        <f t="shared" si="30"/>
        <v>26.320598969900715</v>
      </c>
      <c r="R27" s="2">
        <f t="shared" si="30"/>
        <v>25.200113099133862</v>
      </c>
      <c r="S27" s="2">
        <f t="shared" si="30"/>
        <v>24.599610115803291</v>
      </c>
      <c r="T27" s="2">
        <f t="shared" si="30"/>
        <v>24.099797044728078</v>
      </c>
      <c r="Z27" s="1">
        <v>3</v>
      </c>
      <c r="AA27" s="1">
        <f t="shared" si="28"/>
        <v>30.903532555486592</v>
      </c>
      <c r="AB27" s="1">
        <f t="shared" si="28"/>
        <v>30.232271272408845</v>
      </c>
      <c r="AC27" s="1">
        <f t="shared" si="28"/>
        <v>27.584800756321272</v>
      </c>
      <c r="AD27" s="1">
        <f t="shared" ref="AD27:AL27" si="31">$M7*EXP(-$N7*AD$18^2)</f>
        <v>25.79254184104061</v>
      </c>
      <c r="AE27" s="1">
        <f t="shared" si="31"/>
        <v>32.264500212322389</v>
      </c>
      <c r="AF27" s="1">
        <f t="shared" si="31"/>
        <v>31.543527230494142</v>
      </c>
      <c r="AG27" s="1">
        <f t="shared" si="31"/>
        <v>29.508545049734561</v>
      </c>
      <c r="AH27" s="1">
        <f t="shared" si="31"/>
        <v>28.861901592573464</v>
      </c>
      <c r="AI27" s="1">
        <f t="shared" si="31"/>
        <v>26.990990625653275</v>
      </c>
      <c r="AJ27" s="1">
        <f t="shared" si="31"/>
        <v>24.656108737045294</v>
      </c>
      <c r="AK27" s="1">
        <f t="shared" si="31"/>
        <v>24.128226012932007</v>
      </c>
      <c r="AL27" s="1">
        <f t="shared" si="31"/>
        <v>25.260636526270055</v>
      </c>
      <c r="AV27" s="1">
        <v>3</v>
      </c>
      <c r="AW27" s="1">
        <f t="shared" si="26"/>
        <v>30.959434587294201</v>
      </c>
      <c r="AX27" s="1">
        <f t="shared" si="26"/>
        <v>30.312549314603928</v>
      </c>
      <c r="AY27" s="1">
        <f t="shared" si="26"/>
        <v>27.849105635599322</v>
      </c>
      <c r="AZ27" s="1">
        <f t="shared" si="26"/>
        <v>26.159870852887849</v>
      </c>
      <c r="BA27" s="1">
        <f t="shared" si="26"/>
        <v>25.600794310442915</v>
      </c>
    </row>
    <row r="28" spans="5:53" x14ac:dyDescent="0.25">
      <c r="F28" s="1">
        <v>4</v>
      </c>
      <c r="G28" s="2">
        <f t="shared" ref="G28:T28" si="32">$M8*EXP(-$N8*G$18^2)</f>
        <v>0.72341033830945278</v>
      </c>
      <c r="H28" s="2">
        <f t="shared" si="32"/>
        <v>0.36940797488089933</v>
      </c>
      <c r="I28" s="2">
        <f t="shared" si="32"/>
        <v>2.4313619892626523E-2</v>
      </c>
      <c r="J28" s="2">
        <f t="shared" si="32"/>
        <v>3.2087586835020804E-3</v>
      </c>
      <c r="K28" s="2">
        <f t="shared" si="32"/>
        <v>1.6385642015597449E-3</v>
      </c>
      <c r="L28" s="2">
        <f t="shared" si="32"/>
        <v>2.8289985820916876</v>
      </c>
      <c r="M28" s="2">
        <f t="shared" si="32"/>
        <v>1.4311372775625624</v>
      </c>
      <c r="N28" s="2">
        <f t="shared" si="32"/>
        <v>0.18940401128366435</v>
      </c>
      <c r="O28" s="2">
        <f t="shared" si="32"/>
        <v>9.6771317553557834E-2</v>
      </c>
      <c r="P28" s="2">
        <f t="shared" si="32"/>
        <v>1.3065073934960375E-2</v>
      </c>
      <c r="Q28" s="2">
        <f t="shared" si="32"/>
        <v>6.1065758043510627E-3</v>
      </c>
      <c r="R28" s="2">
        <f t="shared" si="32"/>
        <v>1.6385642015597449E-3</v>
      </c>
      <c r="S28" s="2">
        <f t="shared" si="32"/>
        <v>7.9017047208935869E-4</v>
      </c>
      <c r="T28" s="2">
        <f t="shared" si="32"/>
        <v>4.2475190843251011E-4</v>
      </c>
      <c r="Z28" s="1">
        <v>4</v>
      </c>
      <c r="AA28" s="1">
        <f t="shared" si="28"/>
        <v>0.78325864620927921</v>
      </c>
      <c r="AB28" s="1">
        <f t="shared" si="28"/>
        <v>0.40317624937697549</v>
      </c>
      <c r="AC28" s="1">
        <f t="shared" si="28"/>
        <v>2.5229678029291946E-2</v>
      </c>
      <c r="AD28" s="1">
        <f t="shared" ref="AD28:AL28" si="33">$M8*EXP(-$N8*AD$18^2)</f>
        <v>3.3085363079090827E-3</v>
      </c>
      <c r="AE28" s="1">
        <f t="shared" si="33"/>
        <v>2.8833891278777326</v>
      </c>
      <c r="AF28" s="1">
        <f t="shared" si="33"/>
        <v>1.455815398231274</v>
      </c>
      <c r="AG28" s="1">
        <f t="shared" si="33"/>
        <v>0.19376671842720902</v>
      </c>
      <c r="AH28" s="1">
        <f t="shared" si="33"/>
        <v>9.9147839209660402E-2</v>
      </c>
      <c r="AI28" s="1">
        <f t="shared" si="33"/>
        <v>1.3065073934960375E-2</v>
      </c>
      <c r="AJ28" s="1">
        <f t="shared" si="33"/>
        <v>8.4693362563464491E-4</v>
      </c>
      <c r="AK28" s="1">
        <f t="shared" si="33"/>
        <v>4.4016800991226432E-4</v>
      </c>
      <c r="AL28" s="1">
        <f t="shared" si="33"/>
        <v>1.7618445139612111E-3</v>
      </c>
      <c r="AV28" s="1">
        <v>4</v>
      </c>
      <c r="AW28" s="1">
        <f t="shared" si="26"/>
        <v>0.8272570390463363</v>
      </c>
      <c r="AX28" s="1">
        <f t="shared" si="26"/>
        <v>0.4368396394233568</v>
      </c>
      <c r="AY28" s="1">
        <f t="shared" si="26"/>
        <v>3.3662628062372836E-2</v>
      </c>
      <c r="AZ28" s="1">
        <f t="shared" si="26"/>
        <v>5.0740403402297343E-3</v>
      </c>
      <c r="BA28" s="1">
        <f t="shared" si="26"/>
        <v>2.640199629343273E-3</v>
      </c>
    </row>
    <row r="29" spans="5:53" x14ac:dyDescent="0.25">
      <c r="F29" s="1">
        <v>5</v>
      </c>
      <c r="G29" s="2">
        <f t="shared" ref="G29:T29" si="34">$M9*EXP(-$N9*G$18^2)</f>
        <v>10.57651187208134</v>
      </c>
      <c r="H29" s="2">
        <f t="shared" si="34"/>
        <v>10.576399476833339</v>
      </c>
      <c r="I29" s="2">
        <f t="shared" si="34"/>
        <v>10.575944461974876</v>
      </c>
      <c r="J29" s="2">
        <f t="shared" si="34"/>
        <v>10.575605804995382</v>
      </c>
      <c r="K29" s="2">
        <f t="shared" si="34"/>
        <v>10.575493421243323</v>
      </c>
      <c r="L29" s="2">
        <f t="shared" si="34"/>
        <v>10.576739935974624</v>
      </c>
      <c r="M29" s="2">
        <f t="shared" si="34"/>
        <v>10.576625969868267</v>
      </c>
      <c r="N29" s="2">
        <f t="shared" si="34"/>
        <v>10.576287761021637</v>
      </c>
      <c r="O29" s="2">
        <f t="shared" si="34"/>
        <v>10.57617545900206</v>
      </c>
      <c r="P29" s="2">
        <f t="shared" si="34"/>
        <v>10.575840598096613</v>
      </c>
      <c r="Q29" s="2">
        <f t="shared" si="34"/>
        <v>10.575713410372412</v>
      </c>
      <c r="R29" s="2">
        <f t="shared" si="34"/>
        <v>10.575493421243323</v>
      </c>
      <c r="S29" s="2">
        <f t="shared" si="34"/>
        <v>10.575371463191939</v>
      </c>
      <c r="T29" s="2">
        <f t="shared" si="34"/>
        <v>10.575267663578876</v>
      </c>
      <c r="Z29" s="1">
        <v>5</v>
      </c>
      <c r="AA29" s="1">
        <f t="shared" si="28"/>
        <v>10.576525165155187</v>
      </c>
      <c r="AB29" s="1">
        <f t="shared" si="28"/>
        <v>10.576414105274518</v>
      </c>
      <c r="AC29" s="1">
        <f t="shared" si="28"/>
        <v>10.575950646793856</v>
      </c>
      <c r="AD29" s="1">
        <f t="shared" ref="AD29:AL29" si="35">$M9*EXP(-$N9*AD$18^2)</f>
        <v>10.575610925646126</v>
      </c>
      <c r="AE29" s="1">
        <f t="shared" si="35"/>
        <v>10.576743120838225</v>
      </c>
      <c r="AF29" s="1">
        <f t="shared" si="35"/>
        <v>10.576628829106108</v>
      </c>
      <c r="AG29" s="1">
        <f t="shared" si="35"/>
        <v>10.576291569363445</v>
      </c>
      <c r="AH29" s="1">
        <f t="shared" si="35"/>
        <v>10.576179516282119</v>
      </c>
      <c r="AI29" s="1">
        <f t="shared" si="35"/>
        <v>10.575840598096613</v>
      </c>
      <c r="AJ29" s="1">
        <f t="shared" si="35"/>
        <v>10.575383063787823</v>
      </c>
      <c r="AK29" s="1">
        <f t="shared" si="35"/>
        <v>10.575273625088224</v>
      </c>
      <c r="AL29" s="1">
        <f t="shared" si="35"/>
        <v>10.575505551610899</v>
      </c>
      <c r="AV29" s="1">
        <v>5</v>
      </c>
      <c r="AW29" s="1">
        <f t="shared" si="26"/>
        <v>10.57653430509235</v>
      </c>
      <c r="AX29" s="1">
        <f t="shared" si="26"/>
        <v>10.57642751629429</v>
      </c>
      <c r="AY29" s="1">
        <f t="shared" si="26"/>
        <v>10.575998870040218</v>
      </c>
      <c r="AZ29" s="1">
        <f t="shared" si="26"/>
        <v>10.575682435638225</v>
      </c>
      <c r="BA29" s="1">
        <f t="shared" si="26"/>
        <v>10.575573191656579</v>
      </c>
    </row>
    <row r="30" spans="5:53" x14ac:dyDescent="0.25">
      <c r="F30" s="6" t="s">
        <v>15</v>
      </c>
      <c r="G30" s="6">
        <f>SUM(G25:G29)+$O$5</f>
        <v>64.655672899550609</v>
      </c>
      <c r="H30" s="6">
        <f t="shared" ref="H30:T30" si="36">SUM(H25:H29)+$O$5</f>
        <v>61.870642467245915</v>
      </c>
      <c r="I30" s="6">
        <f t="shared" si="36"/>
        <v>53.98321847890854</v>
      </c>
      <c r="J30" s="6">
        <f t="shared" si="36"/>
        <v>49.997654909133175</v>
      </c>
      <c r="K30" s="6">
        <f t="shared" si="36"/>
        <v>48.891683461923307</v>
      </c>
      <c r="L30" s="6">
        <f t="shared" si="36"/>
        <v>72.659703333709857</v>
      </c>
      <c r="M30" s="6">
        <f t="shared" si="36"/>
        <v>68.136375969736108</v>
      </c>
      <c r="N30" s="6">
        <f t="shared" si="36"/>
        <v>59.529814317324622</v>
      </c>
      <c r="O30" s="6">
        <f t="shared" si="36"/>
        <v>57.487316616840722</v>
      </c>
      <c r="P30" s="6">
        <f t="shared" si="36"/>
        <v>52.639480267595047</v>
      </c>
      <c r="Q30" s="6">
        <f t="shared" si="36"/>
        <v>51.147347614799841</v>
      </c>
      <c r="R30" s="6">
        <f t="shared" si="36"/>
        <v>48.891683461923307</v>
      </c>
      <c r="S30" s="6">
        <f t="shared" si="36"/>
        <v>47.786543728440833</v>
      </c>
      <c r="T30" s="6">
        <f t="shared" si="36"/>
        <v>46.913975074735873</v>
      </c>
      <c r="Z30" s="6" t="s">
        <v>15</v>
      </c>
      <c r="AA30" s="6">
        <f>SUM(AA25:AA29)+$O$5</f>
        <v>65.021905369539652</v>
      </c>
      <c r="AB30" s="6">
        <f t="shared" ref="AB30:AC30" si="37">SUM(AB25:AB29)+$O$5</f>
        <v>62.2054224540299</v>
      </c>
      <c r="AC30" s="6">
        <f t="shared" si="37"/>
        <v>54.067218940599936</v>
      </c>
      <c r="AD30" s="6">
        <f>SUM(AD25:AD29)+$O$5</f>
        <v>50.050253444292146</v>
      </c>
      <c r="AE30" s="6">
        <f t="shared" ref="AE30:AL30" si="38">SUM(AE25:AE29)+$O$5</f>
        <v>72.807076793304063</v>
      </c>
      <c r="AF30" s="6">
        <f t="shared" si="38"/>
        <v>68.234898912260363</v>
      </c>
      <c r="AG30" s="6">
        <f t="shared" si="38"/>
        <v>59.604027312185153</v>
      </c>
      <c r="AH30" s="6">
        <f t="shared" si="38"/>
        <v>57.556608894190596</v>
      </c>
      <c r="AI30" s="6">
        <f t="shared" si="38"/>
        <v>52.639480267595047</v>
      </c>
      <c r="AJ30" s="6">
        <f t="shared" si="38"/>
        <v>47.887777934527186</v>
      </c>
      <c r="AK30" s="6">
        <f t="shared" si="38"/>
        <v>46.962537794430993</v>
      </c>
      <c r="AL30" s="6">
        <f t="shared" si="38"/>
        <v>49.006791653544354</v>
      </c>
      <c r="AV30" s="1" t="s">
        <v>15</v>
      </c>
      <c r="AW30" s="1">
        <f>SUM(AW25:AW29)+$O$5</f>
        <v>65.279016965248132</v>
      </c>
      <c r="AX30" s="1">
        <f t="shared" ref="AX30:BA30" si="39">SUM(AX25:AX29)+$O$5</f>
        <v>62.518946978095229</v>
      </c>
      <c r="AY30" s="1">
        <f t="shared" si="39"/>
        <v>54.73884655708185</v>
      </c>
      <c r="AZ30" s="1">
        <f t="shared" si="39"/>
        <v>50.806550010011208</v>
      </c>
      <c r="BA30" s="1">
        <f t="shared" si="39"/>
        <v>49.667318556084467</v>
      </c>
    </row>
    <row r="34" spans="3:11" x14ac:dyDescent="0.25">
      <c r="D34" s="1" t="s">
        <v>21</v>
      </c>
      <c r="E34" s="1">
        <v>3.7330000000000001</v>
      </c>
    </row>
    <row r="35" spans="3:11" x14ac:dyDescent="0.25">
      <c r="D35" s="1" t="s">
        <v>22</v>
      </c>
      <c r="E35" s="1">
        <v>3.7839999999999998</v>
      </c>
    </row>
    <row r="36" spans="3:11" x14ac:dyDescent="0.25">
      <c r="D36" s="1" t="s">
        <v>23</v>
      </c>
      <c r="E36" s="1">
        <v>3.8597999999999999</v>
      </c>
    </row>
    <row r="39" spans="3:11" x14ac:dyDescent="0.25">
      <c r="C39" s="1" t="s">
        <v>16</v>
      </c>
      <c r="D39" s="1" t="s">
        <v>17</v>
      </c>
      <c r="E39" s="1" t="s">
        <v>5</v>
      </c>
      <c r="F39" s="1" t="s">
        <v>18</v>
      </c>
      <c r="G39" s="1" t="s">
        <v>19</v>
      </c>
      <c r="H39" s="1" t="s">
        <v>20</v>
      </c>
      <c r="K39" s="1" t="e">
        <f>ASIN($F$4/(2*D39))</f>
        <v>#VALUE!</v>
      </c>
    </row>
    <row r="40" spans="3:11" x14ac:dyDescent="0.25">
      <c r="D40" s="1">
        <f t="shared" ref="D40:D45" si="40">$E$40/SQRT(F40^2+G40^2+H40^2)</f>
        <v>3.7839999999999998</v>
      </c>
      <c r="E40" s="1">
        <v>3.7839999999999998</v>
      </c>
      <c r="F40" s="1">
        <v>0</v>
      </c>
      <c r="G40" s="1">
        <v>0</v>
      </c>
      <c r="H40" s="1">
        <v>1</v>
      </c>
      <c r="I40" s="1">
        <f t="shared" ref="I40:I41" si="41">SUMSQ(F40:H40)</f>
        <v>1</v>
      </c>
      <c r="K40" s="1">
        <f t="shared" ref="K40:K41" si="42">2*ASIN($F$4/(2*D40))*180/PI()</f>
        <v>23.511432762646734</v>
      </c>
    </row>
    <row r="41" spans="3:11" x14ac:dyDescent="0.25">
      <c r="D41" s="1">
        <f t="shared" si="40"/>
        <v>2.6756920600098955</v>
      </c>
      <c r="F41" s="1">
        <v>0</v>
      </c>
      <c r="G41" s="1">
        <v>1</v>
      </c>
      <c r="H41" s="1">
        <v>1</v>
      </c>
      <c r="I41" s="1">
        <f t="shared" si="41"/>
        <v>2</v>
      </c>
      <c r="K41" s="1">
        <f t="shared" si="42"/>
        <v>33.492197161340641</v>
      </c>
    </row>
    <row r="42" spans="3:11" x14ac:dyDescent="0.25">
      <c r="D42" s="1">
        <f t="shared" si="40"/>
        <v>2.184693418613544</v>
      </c>
      <c r="F42" s="1">
        <v>1</v>
      </c>
      <c r="G42" s="1">
        <v>1</v>
      </c>
      <c r="H42" s="1">
        <v>1</v>
      </c>
      <c r="I42" s="1">
        <f>SUMSQ(F42:H42)</f>
        <v>3</v>
      </c>
      <c r="K42" s="1">
        <f>2*ASIN($F$4/(2*D42))*180/PI()</f>
        <v>41.328003136622421</v>
      </c>
    </row>
    <row r="43" spans="3:11" x14ac:dyDescent="0.25">
      <c r="D43" s="1">
        <f t="shared" si="40"/>
        <v>1.8919999999999999</v>
      </c>
      <c r="F43" s="1">
        <v>0</v>
      </c>
      <c r="G43" s="1">
        <v>0</v>
      </c>
      <c r="H43" s="1">
        <v>2</v>
      </c>
      <c r="I43" s="1">
        <f t="shared" ref="I43:I57" si="43">SUMSQ(F43:H43)</f>
        <v>4</v>
      </c>
      <c r="K43" s="1">
        <f t="shared" ref="K43:K57" si="44">2*ASIN($F$4/(2*D43))*180/PI()</f>
        <v>48.09311742785431</v>
      </c>
    </row>
    <row r="44" spans="3:11" x14ac:dyDescent="0.25">
      <c r="D44" s="1">
        <f t="shared" si="40"/>
        <v>1.6922562453718406</v>
      </c>
      <c r="F44" s="1">
        <v>0</v>
      </c>
      <c r="G44" s="1">
        <v>1</v>
      </c>
      <c r="H44" s="1">
        <v>2</v>
      </c>
      <c r="I44" s="1">
        <f t="shared" si="43"/>
        <v>5</v>
      </c>
      <c r="K44" s="1">
        <f t="shared" si="44"/>
        <v>54.20390114977377</v>
      </c>
    </row>
    <row r="45" spans="3:11" x14ac:dyDescent="0.25">
      <c r="D45" s="1">
        <f t="shared" si="40"/>
        <v>1.5448115311152577</v>
      </c>
      <c r="F45" s="1">
        <v>1</v>
      </c>
      <c r="G45" s="1">
        <v>1</v>
      </c>
      <c r="H45" s="1">
        <v>2</v>
      </c>
      <c r="I45" s="1">
        <f t="shared" si="43"/>
        <v>6</v>
      </c>
      <c r="K45" s="1">
        <f t="shared" si="44"/>
        <v>59.875347307572952</v>
      </c>
    </row>
    <row r="46" spans="3:11" x14ac:dyDescent="0.25">
      <c r="D46" s="1">
        <f t="shared" ref="D46:D57" si="45">$E$40/SQRT(F46^2+G46^2+H46^2)</f>
        <v>1.3378460300049477</v>
      </c>
      <c r="F46" s="1">
        <v>0</v>
      </c>
      <c r="G46" s="1">
        <v>2</v>
      </c>
      <c r="H46" s="1">
        <v>2</v>
      </c>
      <c r="I46" s="1">
        <f t="shared" si="43"/>
        <v>8</v>
      </c>
      <c r="K46" s="1">
        <f t="shared" si="44"/>
        <v>70.376135552594221</v>
      </c>
    </row>
    <row r="47" spans="3:11" x14ac:dyDescent="0.25">
      <c r="D47" s="1">
        <f t="shared" si="45"/>
        <v>1.2613333333333332</v>
      </c>
      <c r="F47" s="1">
        <v>1</v>
      </c>
      <c r="G47" s="1">
        <v>2</v>
      </c>
      <c r="H47" s="1">
        <v>2</v>
      </c>
      <c r="I47" s="1">
        <f t="shared" si="43"/>
        <v>9</v>
      </c>
      <c r="K47" s="1">
        <f t="shared" si="44"/>
        <v>75.355290617257921</v>
      </c>
    </row>
    <row r="48" spans="3:11" x14ac:dyDescent="0.25">
      <c r="D48" s="1">
        <f t="shared" si="45"/>
        <v>1.1966058666077146</v>
      </c>
      <c r="F48" s="1">
        <v>0</v>
      </c>
      <c r="G48" s="1">
        <v>1</v>
      </c>
      <c r="H48" s="1">
        <v>3</v>
      </c>
      <c r="I48" s="1">
        <f t="shared" si="43"/>
        <v>10</v>
      </c>
      <c r="K48" s="1">
        <f t="shared" si="44"/>
        <v>80.223524272708445</v>
      </c>
    </row>
    <row r="49" spans="4:11" x14ac:dyDescent="0.25">
      <c r="D49" s="1">
        <f t="shared" si="45"/>
        <v>1.1409189278822576</v>
      </c>
      <c r="F49" s="1">
        <v>1</v>
      </c>
      <c r="G49" s="1">
        <v>1</v>
      </c>
      <c r="H49" s="1">
        <v>3</v>
      </c>
      <c r="I49" s="1">
        <f t="shared" si="43"/>
        <v>11</v>
      </c>
      <c r="K49" s="1">
        <f t="shared" si="44"/>
        <v>85.021300360027027</v>
      </c>
    </row>
    <row r="50" spans="4:11" x14ac:dyDescent="0.25">
      <c r="D50" s="1">
        <f t="shared" si="45"/>
        <v>1.092346709306772</v>
      </c>
      <c r="F50" s="1">
        <v>2</v>
      </c>
      <c r="G50" s="1">
        <v>2</v>
      </c>
      <c r="H50" s="1">
        <v>2</v>
      </c>
      <c r="I50" s="1">
        <f t="shared" si="43"/>
        <v>12</v>
      </c>
      <c r="K50" s="1">
        <f t="shared" si="44"/>
        <v>89.784230460872777</v>
      </c>
    </row>
    <row r="51" spans="4:11" x14ac:dyDescent="0.25">
      <c r="D51" s="1">
        <f t="shared" si="45"/>
        <v>1.0494927712581335</v>
      </c>
      <c r="F51" s="1">
        <v>0</v>
      </c>
      <c r="G51" s="1">
        <v>2</v>
      </c>
      <c r="H51" s="1">
        <v>3</v>
      </c>
      <c r="I51" s="1">
        <f t="shared" si="43"/>
        <v>13</v>
      </c>
      <c r="K51" s="1">
        <f t="shared" si="44"/>
        <v>94.545665666226384</v>
      </c>
    </row>
    <row r="52" spans="4:11" x14ac:dyDescent="0.25">
      <c r="D52" s="1">
        <f t="shared" si="45"/>
        <v>1.0113165393966139</v>
      </c>
      <c r="F52" s="1">
        <v>1</v>
      </c>
      <c r="G52" s="1">
        <v>2</v>
      </c>
      <c r="H52" s="1">
        <v>3</v>
      </c>
      <c r="I52" s="1">
        <f t="shared" si="43"/>
        <v>14</v>
      </c>
      <c r="K52" s="1">
        <f t="shared" si="44"/>
        <v>99.338862096344627</v>
      </c>
    </row>
    <row r="53" spans="4:11" x14ac:dyDescent="0.25">
      <c r="D53" s="1">
        <f t="shared" si="45"/>
        <v>0.94599999999999995</v>
      </c>
      <c r="F53" s="1">
        <v>0</v>
      </c>
      <c r="G53" s="1">
        <v>0</v>
      </c>
      <c r="H53" s="1">
        <v>4</v>
      </c>
      <c r="I53" s="1">
        <f t="shared" si="43"/>
        <v>16</v>
      </c>
      <c r="K53" s="1">
        <f t="shared" si="44"/>
        <v>109.16636245450476</v>
      </c>
    </row>
    <row r="54" spans="4:11" x14ac:dyDescent="0.25">
      <c r="D54" s="1">
        <f t="shared" si="45"/>
        <v>0.91775480513748386</v>
      </c>
      <c r="F54" s="1">
        <v>2</v>
      </c>
      <c r="G54" s="1">
        <v>2</v>
      </c>
      <c r="H54" s="1">
        <v>3</v>
      </c>
      <c r="I54" s="1">
        <f t="shared" si="43"/>
        <v>17</v>
      </c>
      <c r="K54" s="1">
        <f t="shared" si="44"/>
        <v>114.28851571934513</v>
      </c>
    </row>
    <row r="55" spans="4:11" x14ac:dyDescent="0.25">
      <c r="D55" s="1">
        <f t="shared" si="45"/>
        <v>0.891897353336632</v>
      </c>
      <c r="F55" s="1">
        <v>0</v>
      </c>
      <c r="G55" s="1">
        <v>3</v>
      </c>
      <c r="H55" s="1">
        <v>3</v>
      </c>
      <c r="I55" s="1">
        <f t="shared" si="43"/>
        <v>18</v>
      </c>
      <c r="K55" s="1">
        <f t="shared" si="44"/>
        <v>119.6269755112552</v>
      </c>
    </row>
    <row r="56" spans="4:11" x14ac:dyDescent="0.25">
      <c r="D56" s="1">
        <f t="shared" si="45"/>
        <v>0.86810913696620562</v>
      </c>
      <c r="F56" s="1">
        <v>1</v>
      </c>
      <c r="G56" s="1">
        <v>3</v>
      </c>
      <c r="H56" s="1">
        <v>3</v>
      </c>
      <c r="I56" s="1">
        <f t="shared" si="43"/>
        <v>19</v>
      </c>
      <c r="K56" s="1">
        <f t="shared" si="44"/>
        <v>125.26582268107008</v>
      </c>
    </row>
    <row r="57" spans="4:11" x14ac:dyDescent="0.25">
      <c r="D57" s="1">
        <f t="shared" si="45"/>
        <v>0.8461281226859203</v>
      </c>
      <c r="F57" s="1">
        <v>0</v>
      </c>
      <c r="G57" s="1">
        <v>2</v>
      </c>
      <c r="H57" s="1">
        <v>4</v>
      </c>
      <c r="I57" s="1">
        <f t="shared" si="43"/>
        <v>20</v>
      </c>
      <c r="K57" s="1">
        <f t="shared" si="44"/>
        <v>131.32963845498844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561B1-14D7-4856-AC05-2802599319CD}">
  <dimension ref="B4:X68"/>
  <sheetViews>
    <sheetView topLeftCell="B22" workbookViewId="0">
      <selection activeCell="O55" sqref="O55"/>
    </sheetView>
  </sheetViews>
  <sheetFormatPr baseColWidth="10" defaultRowHeight="15" x14ac:dyDescent="0.25"/>
  <cols>
    <col min="10" max="10" width="12" bestFit="1" customWidth="1"/>
  </cols>
  <sheetData>
    <row r="4" spans="2:24" x14ac:dyDescent="0.25">
      <c r="B4" s="9" t="s">
        <v>11</v>
      </c>
      <c r="C4" s="9"/>
      <c r="D4" s="9"/>
      <c r="E4" s="9"/>
      <c r="F4" s="9"/>
      <c r="G4" s="9"/>
      <c r="H4" s="9"/>
      <c r="I4" s="9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</row>
    <row r="5" spans="2:24" x14ac:dyDescent="0.25">
      <c r="C5" t="s">
        <v>24</v>
      </c>
      <c r="D5" t="s">
        <v>25</v>
      </c>
      <c r="F5" t="s">
        <v>2</v>
      </c>
      <c r="G5" t="s">
        <v>26</v>
      </c>
      <c r="H5" t="s">
        <v>27</v>
      </c>
      <c r="I5" t="s">
        <v>5</v>
      </c>
      <c r="J5" t="s">
        <v>39</v>
      </c>
      <c r="N5" s="5"/>
      <c r="O5" s="5"/>
      <c r="R5" s="5"/>
      <c r="U5" s="5"/>
      <c r="V5" s="5"/>
    </row>
    <row r="6" spans="2:24" x14ac:dyDescent="0.25">
      <c r="C6">
        <v>41.92</v>
      </c>
      <c r="F6">
        <v>1.5419</v>
      </c>
      <c r="H6">
        <v>3</v>
      </c>
      <c r="I6">
        <f>$F$6*SQRT(H6)/(2*SIN(PI()/180*C6/2))</f>
        <v>3.7329171637545349</v>
      </c>
      <c r="J6">
        <f>($I$20-I6)^2</f>
        <v>5.0166569280077716E-5</v>
      </c>
      <c r="K6" t="s">
        <v>29</v>
      </c>
      <c r="L6">
        <v>199</v>
      </c>
      <c r="M6">
        <v>70</v>
      </c>
      <c r="N6">
        <v>1868</v>
      </c>
      <c r="O6">
        <v>1646</v>
      </c>
      <c r="P6">
        <v>89</v>
      </c>
      <c r="Q6">
        <v>89</v>
      </c>
      <c r="R6">
        <v>514</v>
      </c>
      <c r="S6">
        <v>69</v>
      </c>
      <c r="T6">
        <v>79</v>
      </c>
      <c r="U6">
        <v>814</v>
      </c>
      <c r="V6">
        <v>176</v>
      </c>
      <c r="W6">
        <v>59</v>
      </c>
      <c r="X6">
        <v>74</v>
      </c>
    </row>
    <row r="7" spans="2:24" x14ac:dyDescent="0.25">
      <c r="B7" s="8" t="s">
        <v>28</v>
      </c>
      <c r="C7">
        <v>48.7</v>
      </c>
      <c r="H7">
        <f>ROUND(SIN(PI()/180*C7/2)^2*$H$6/SIN(PI()/180*$C$6/2)^2,0)</f>
        <v>4</v>
      </c>
      <c r="I7">
        <f>$F$6*SQRT(H7)/(2*SIN(PI()/180*C7/2))</f>
        <v>3.7396659754122967</v>
      </c>
      <c r="J7">
        <f t="shared" ref="J7:J19" si="0">($I$20-I7)^2</f>
        <v>1.1157242519048334E-7</v>
      </c>
      <c r="K7" t="s">
        <v>1</v>
      </c>
      <c r="L7">
        <v>23.84</v>
      </c>
      <c r="M7">
        <v>33.96</v>
      </c>
      <c r="N7">
        <v>41.92</v>
      </c>
      <c r="O7">
        <v>48.7</v>
      </c>
      <c r="P7">
        <v>54.8</v>
      </c>
      <c r="Q7">
        <v>60.5</v>
      </c>
      <c r="R7">
        <v>71.36</v>
      </c>
      <c r="S7">
        <v>76</v>
      </c>
      <c r="T7">
        <v>81.56</v>
      </c>
      <c r="U7">
        <v>86.2</v>
      </c>
      <c r="V7">
        <v>91.02</v>
      </c>
      <c r="W7">
        <v>96.26</v>
      </c>
      <c r="X7">
        <v>100.76</v>
      </c>
    </row>
    <row r="8" spans="2:24" x14ac:dyDescent="0.25">
      <c r="B8" s="8"/>
      <c r="C8">
        <v>71.36</v>
      </c>
      <c r="H8">
        <f>ROUND(SIN(PI()/180*C8/2)^2*$H$6/SIN(PI()/180*$C$6/2)^2,0)</f>
        <v>8</v>
      </c>
      <c r="I8">
        <f t="shared" ref="I8:I19" si="1">$F$6*SQRT(H8)/(2*SIN(PI()/180*C8/2))</f>
        <v>3.7386148051600281</v>
      </c>
      <c r="J8">
        <f t="shared" si="0"/>
        <v>1.9187647446854036E-6</v>
      </c>
      <c r="K8" t="s">
        <v>15</v>
      </c>
      <c r="L8">
        <v>72.66</v>
      </c>
      <c r="M8">
        <v>68.14</v>
      </c>
      <c r="N8" s="1">
        <v>64.655672899550609</v>
      </c>
      <c r="O8" s="1">
        <v>61.870642467245915</v>
      </c>
      <c r="P8">
        <v>59.53</v>
      </c>
      <c r="Q8">
        <v>57.49</v>
      </c>
      <c r="R8" s="1">
        <v>53.98321847890854</v>
      </c>
      <c r="S8" s="1">
        <v>52.64</v>
      </c>
      <c r="T8" s="1">
        <v>51.15</v>
      </c>
      <c r="U8" s="1">
        <v>49.997654909133175</v>
      </c>
      <c r="V8" s="1">
        <v>48.891683461923307</v>
      </c>
      <c r="W8" s="1">
        <v>47.79</v>
      </c>
      <c r="X8" s="1">
        <v>46.91</v>
      </c>
    </row>
    <row r="9" spans="2:24" x14ac:dyDescent="0.25">
      <c r="B9" s="8"/>
      <c r="C9">
        <v>86.2</v>
      </c>
      <c r="H9">
        <f>ROUND(SIN(PI()/180*C9/2)^2*$H$6/SIN(PI()/180*$C$6/2)^2,0)</f>
        <v>11</v>
      </c>
      <c r="I9">
        <f t="shared" si="1"/>
        <v>3.7422069756170839</v>
      </c>
      <c r="J9">
        <f t="shared" si="0"/>
        <v>4.8707413744020554E-6</v>
      </c>
      <c r="K9" t="s">
        <v>14</v>
      </c>
      <c r="L9">
        <v>25.93</v>
      </c>
      <c r="M9">
        <v>23.93</v>
      </c>
      <c r="N9" s="1">
        <v>22.360290957845443</v>
      </c>
      <c r="O9" s="1">
        <v>21.057591404170829</v>
      </c>
      <c r="P9">
        <v>19.93</v>
      </c>
      <c r="Q9">
        <v>18.93</v>
      </c>
      <c r="R9" s="1">
        <v>17.193542645457313</v>
      </c>
      <c r="S9" s="1">
        <v>16.53</v>
      </c>
      <c r="T9" s="1">
        <v>15.79</v>
      </c>
      <c r="U9" s="1">
        <v>15.224205011503566</v>
      </c>
      <c r="V9" s="1">
        <v>14.682343700604443</v>
      </c>
      <c r="W9" s="1">
        <v>14.14</v>
      </c>
      <c r="X9" s="1">
        <v>13.72</v>
      </c>
    </row>
    <row r="10" spans="2:24" x14ac:dyDescent="0.25">
      <c r="B10" s="8"/>
      <c r="C10">
        <v>91.02</v>
      </c>
      <c r="H10">
        <f>ROUND(SIN(PI()/180*C10/2)^2*$H$6/SIN(PI()/180*$C$6/2)^2,0)</f>
        <v>12</v>
      </c>
      <c r="I10">
        <f t="shared" si="1"/>
        <v>3.743693693357431</v>
      </c>
      <c r="J10">
        <f t="shared" si="0"/>
        <v>1.3643370618728042E-5</v>
      </c>
      <c r="K10" t="s">
        <v>31</v>
      </c>
      <c r="L10">
        <v>6</v>
      </c>
      <c r="M10">
        <v>12</v>
      </c>
      <c r="N10">
        <v>8</v>
      </c>
      <c r="O10">
        <v>6</v>
      </c>
      <c r="P10">
        <v>24</v>
      </c>
      <c r="Q10">
        <v>24</v>
      </c>
      <c r="R10">
        <v>12</v>
      </c>
      <c r="S10">
        <v>24</v>
      </c>
      <c r="T10">
        <v>24</v>
      </c>
      <c r="U10">
        <v>24</v>
      </c>
      <c r="V10">
        <v>8</v>
      </c>
      <c r="W10">
        <v>24</v>
      </c>
      <c r="X10">
        <v>0</v>
      </c>
    </row>
    <row r="11" spans="2:24" x14ac:dyDescent="0.25">
      <c r="I11" s="3">
        <f>ROUND(AVERAGE(I6:I10),2)</f>
        <v>3.74</v>
      </c>
      <c r="J11">
        <f t="shared" si="0"/>
        <v>0</v>
      </c>
      <c r="K11" t="s">
        <v>32</v>
      </c>
      <c r="L11">
        <f>(1+COS(PI()/180*L7)^2)/(8*SIN(PI()/180*L7/2)^2*COS(PI()/180*L7/2))</f>
        <v>5.5000625876804783</v>
      </c>
      <c r="M11">
        <f t="shared" ref="M11:X11" si="2">(1+COS(PI()/180*M7)^2)/(8*SIN(PI()/180*M7/2)^2*COS(PI()/180*M7/2))</f>
        <v>2.586715745873656</v>
      </c>
      <c r="N11">
        <f t="shared" si="2"/>
        <v>1.6252454685212692</v>
      </c>
      <c r="O11">
        <f t="shared" si="2"/>
        <v>1.1586654940236523</v>
      </c>
      <c r="P11">
        <f t="shared" si="2"/>
        <v>0.88570306269480459</v>
      </c>
      <c r="Q11">
        <f t="shared" si="2"/>
        <v>0.70843049277860615</v>
      </c>
      <c r="R11">
        <f t="shared" si="2"/>
        <v>0.49856652621447678</v>
      </c>
      <c r="S11">
        <f t="shared" si="2"/>
        <v>0.44299163426083471</v>
      </c>
      <c r="T11">
        <f t="shared" si="2"/>
        <v>0.39528317526424156</v>
      </c>
      <c r="U11">
        <f t="shared" si="2"/>
        <v>0.36830232707631322</v>
      </c>
      <c r="V11">
        <f t="shared" si="2"/>
        <v>0.3506145263884643</v>
      </c>
      <c r="W11">
        <f t="shared" si="2"/>
        <v>0.34175262373834914</v>
      </c>
      <c r="X11">
        <f t="shared" si="2"/>
        <v>0.34187607864208053</v>
      </c>
    </row>
    <row r="12" spans="2:24" x14ac:dyDescent="0.25">
      <c r="C12">
        <v>23.84</v>
      </c>
      <c r="H12">
        <f>ROUND(SIN(PI()/180*C12/2)^2*$H$6/SIN(PI()/180*$C$6/2)^2,0)</f>
        <v>1</v>
      </c>
      <c r="I12">
        <f t="shared" si="1"/>
        <v>3.7325873270414505</v>
      </c>
      <c r="J12">
        <f t="shared" si="0"/>
        <v>5.4947720390414681E-5</v>
      </c>
      <c r="K12" t="s">
        <v>33</v>
      </c>
      <c r="L12">
        <f>L6/N6</f>
        <v>0.10653104925053533</v>
      </c>
      <c r="M12">
        <f>M6/N6</f>
        <v>3.7473233404710919E-2</v>
      </c>
      <c r="N12">
        <f>N6/N6</f>
        <v>1</v>
      </c>
      <c r="O12">
        <f>O6/O6</f>
        <v>1</v>
      </c>
      <c r="P12">
        <f>P6/O6</f>
        <v>5.4070473876063181E-2</v>
      </c>
      <c r="Q12">
        <f>Q6/R6</f>
        <v>0.17315175097276264</v>
      </c>
      <c r="R12">
        <f>R6/R6</f>
        <v>1</v>
      </c>
      <c r="S12">
        <f>S6/R6</f>
        <v>0.13424124513618677</v>
      </c>
      <c r="T12">
        <f>T6/U6</f>
        <v>9.7051597051597049E-2</v>
      </c>
      <c r="U12">
        <f>U6/U6</f>
        <v>1</v>
      </c>
      <c r="V12">
        <f>V6/V6</f>
        <v>1</v>
      </c>
      <c r="W12">
        <f>W6/V6</f>
        <v>0.33522727272727271</v>
      </c>
      <c r="X12">
        <f>X6/V6</f>
        <v>0.42045454545454547</v>
      </c>
    </row>
    <row r="13" spans="2:24" x14ac:dyDescent="0.25">
      <c r="C13">
        <v>33.96</v>
      </c>
      <c r="H13">
        <f t="shared" ref="H13:H18" si="3">ROUND(SIN(PI()/180*C13/2)^2*$H$6/SIN(PI()/180*$C$6/2)^2,0)</f>
        <v>2</v>
      </c>
      <c r="I13">
        <f t="shared" si="1"/>
        <v>3.733378594118181</v>
      </c>
      <c r="J13">
        <f t="shared" si="0"/>
        <v>4.3843015851790604E-5</v>
      </c>
      <c r="K13" t="s">
        <v>36</v>
      </c>
      <c r="L13">
        <f>L8-L9</f>
        <v>46.73</v>
      </c>
      <c r="M13">
        <f>M8-M9</f>
        <v>44.21</v>
      </c>
      <c r="N13" s="1">
        <f>N8+3*N9</f>
        <v>131.73654577308693</v>
      </c>
      <c r="O13" s="1">
        <f>O8+3*O9</f>
        <v>125.04341667975839</v>
      </c>
      <c r="P13">
        <f>P8-P9</f>
        <v>39.6</v>
      </c>
      <c r="Q13">
        <f>Q8-Q9</f>
        <v>38.56</v>
      </c>
      <c r="R13" s="1">
        <f>R8+3*R9</f>
        <v>105.56384641528048</v>
      </c>
      <c r="S13">
        <f>S8-S9</f>
        <v>36.11</v>
      </c>
      <c r="T13">
        <f>T8-T9</f>
        <v>35.36</v>
      </c>
      <c r="U13" s="1">
        <f>U8+3*U9</f>
        <v>95.670269943643873</v>
      </c>
      <c r="V13" s="1">
        <f>V8+3*V9</f>
        <v>92.938714563736639</v>
      </c>
      <c r="W13">
        <f>W8-W9</f>
        <v>33.65</v>
      </c>
      <c r="X13">
        <f>X8-X9</f>
        <v>33.19</v>
      </c>
    </row>
    <row r="14" spans="2:24" x14ac:dyDescent="0.25">
      <c r="C14">
        <v>54.8</v>
      </c>
      <c r="H14">
        <f t="shared" si="3"/>
        <v>5</v>
      </c>
      <c r="I14">
        <f t="shared" si="1"/>
        <v>3.7459743881956595</v>
      </c>
      <c r="J14">
        <f t="shared" si="0"/>
        <v>3.5693314312433413E-5</v>
      </c>
      <c r="K14" t="s">
        <v>37</v>
      </c>
      <c r="L14">
        <f>N13/L13</f>
        <v>2.8191000593427549</v>
      </c>
      <c r="M14">
        <f>N13/M13</f>
        <v>2.9797906757088199</v>
      </c>
      <c r="N14">
        <f>N13/N13</f>
        <v>1</v>
      </c>
      <c r="O14">
        <f>O13/O13</f>
        <v>1</v>
      </c>
      <c r="P14">
        <f>O13/P13</f>
        <v>3.1576620373676363</v>
      </c>
      <c r="Q14">
        <f>R13/Q13</f>
        <v>2.7376516186535391</v>
      </c>
      <c r="R14">
        <f>R13/R13</f>
        <v>1</v>
      </c>
      <c r="S14">
        <f>R13/S13</f>
        <v>2.9233964667759755</v>
      </c>
      <c r="T14">
        <f>U13/T13</f>
        <v>2.7056071816641367</v>
      </c>
      <c r="U14">
        <f>U13/U13</f>
        <v>1</v>
      </c>
      <c r="V14">
        <f>V13/V13</f>
        <v>1</v>
      </c>
      <c r="W14">
        <f>V13/W13</f>
        <v>2.7619231668272404</v>
      </c>
      <c r="X14">
        <f>V13/X13</f>
        <v>2.8002023068314745</v>
      </c>
    </row>
    <row r="15" spans="2:24" x14ac:dyDescent="0.25">
      <c r="C15">
        <v>60.5</v>
      </c>
      <c r="H15">
        <f t="shared" si="3"/>
        <v>6</v>
      </c>
      <c r="I15">
        <f t="shared" si="1"/>
        <v>3.7485741686653902</v>
      </c>
      <c r="J15">
        <f t="shared" si="0"/>
        <v>7.3516368302555018E-5</v>
      </c>
      <c r="K15" t="s">
        <v>34</v>
      </c>
      <c r="L15">
        <f>L14^2</f>
        <v>7.9473251445863244</v>
      </c>
      <c r="M15">
        <f t="shared" ref="M15:X15" si="4">M14^2</f>
        <v>8.8791524710412251</v>
      </c>
      <c r="N15">
        <f t="shared" si="4"/>
        <v>1</v>
      </c>
      <c r="O15">
        <f t="shared" si="4"/>
        <v>1</v>
      </c>
      <c r="P15">
        <f t="shared" si="4"/>
        <v>9.9708295422327318</v>
      </c>
      <c r="Q15">
        <f t="shared" si="4"/>
        <v>7.4947363851163429</v>
      </c>
      <c r="R15">
        <f t="shared" si="4"/>
        <v>1</v>
      </c>
      <c r="S15">
        <f t="shared" si="4"/>
        <v>8.5462469019582574</v>
      </c>
      <c r="T15">
        <f t="shared" si="4"/>
        <v>7.3203102214725533</v>
      </c>
      <c r="U15">
        <f t="shared" si="4"/>
        <v>1</v>
      </c>
      <c r="V15">
        <f t="shared" si="4"/>
        <v>1</v>
      </c>
      <c r="W15">
        <f t="shared" si="4"/>
        <v>7.6282195794570127</v>
      </c>
      <c r="X15">
        <f t="shared" si="4"/>
        <v>7.8411329591843115</v>
      </c>
    </row>
    <row r="16" spans="2:24" x14ac:dyDescent="0.25">
      <c r="C16">
        <v>76</v>
      </c>
      <c r="H16">
        <f t="shared" si="3"/>
        <v>9</v>
      </c>
      <c r="I16">
        <f t="shared" si="1"/>
        <v>3.7566911244147647</v>
      </c>
      <c r="J16">
        <f t="shared" si="0"/>
        <v>2.7859363422914766E-4</v>
      </c>
      <c r="K16" t="s">
        <v>38</v>
      </c>
      <c r="L16">
        <f>L10*L11</f>
        <v>33.00037552608287</v>
      </c>
      <c r="M16">
        <f t="shared" ref="M16:X16" si="5">M10*M11</f>
        <v>31.040588950483873</v>
      </c>
      <c r="N16">
        <f t="shared" si="5"/>
        <v>13.001963748170153</v>
      </c>
      <c r="O16">
        <f t="shared" si="5"/>
        <v>6.9519929641419136</v>
      </c>
      <c r="P16">
        <f t="shared" si="5"/>
        <v>21.256873504675312</v>
      </c>
      <c r="Q16">
        <f t="shared" si="5"/>
        <v>17.002331826686547</v>
      </c>
      <c r="R16">
        <f t="shared" si="5"/>
        <v>5.9827983145737216</v>
      </c>
      <c r="S16">
        <f t="shared" si="5"/>
        <v>10.631799222260033</v>
      </c>
      <c r="T16">
        <f t="shared" si="5"/>
        <v>9.486796206341797</v>
      </c>
      <c r="U16">
        <f t="shared" si="5"/>
        <v>8.8392558498315168</v>
      </c>
      <c r="V16">
        <f t="shared" si="5"/>
        <v>2.8049162111077144</v>
      </c>
      <c r="W16">
        <f t="shared" si="5"/>
        <v>8.2020629697203802</v>
      </c>
      <c r="X16">
        <f t="shared" si="5"/>
        <v>0</v>
      </c>
    </row>
    <row r="17" spans="3:24" x14ac:dyDescent="0.25">
      <c r="C17">
        <v>81.56</v>
      </c>
      <c r="H17">
        <f t="shared" si="3"/>
        <v>10</v>
      </c>
      <c r="I17">
        <f t="shared" si="1"/>
        <v>3.732579592386589</v>
      </c>
      <c r="J17">
        <f t="shared" si="0"/>
        <v>5.5062449149171322E-5</v>
      </c>
      <c r="K17" t="s">
        <v>35</v>
      </c>
      <c r="L17">
        <f>N16/L16</f>
        <v>0.39399441796938489</v>
      </c>
      <c r="M17">
        <f>N16/M16</f>
        <v>0.41886975047126074</v>
      </c>
      <c r="N17">
        <f>N16/N16</f>
        <v>1</v>
      </c>
      <c r="O17">
        <f>O16/O16</f>
        <v>1</v>
      </c>
      <c r="P17">
        <f>O16/P16</f>
        <v>0.32704682382443812</v>
      </c>
      <c r="Q17">
        <f>R16/Q16</f>
        <v>0.35188104640936557</v>
      </c>
      <c r="R17">
        <f>R16/R16</f>
        <v>1</v>
      </c>
      <c r="S17">
        <f>R16/S16</f>
        <v>0.56272679623665245</v>
      </c>
      <c r="T17">
        <f>U16/T16</f>
        <v>0.93174298863114524</v>
      </c>
      <c r="U17">
        <f>U16/U16</f>
        <v>1</v>
      </c>
      <c r="V17">
        <f>V16/V16</f>
        <v>1</v>
      </c>
      <c r="W17">
        <f>V16/W16</f>
        <v>0.34197691744901804</v>
      </c>
      <c r="X17" t="e">
        <f>V16/X16</f>
        <v>#DIV/0!</v>
      </c>
    </row>
    <row r="18" spans="3:24" x14ac:dyDescent="0.25">
      <c r="C18">
        <v>96.26</v>
      </c>
      <c r="H18">
        <f t="shared" si="3"/>
        <v>13</v>
      </c>
      <c r="I18">
        <f t="shared" si="1"/>
        <v>3.732838574909811</v>
      </c>
      <c r="J18">
        <f t="shared" si="0"/>
        <v>5.1286009322392023E-5</v>
      </c>
      <c r="K18" t="s">
        <v>30</v>
      </c>
      <c r="L18">
        <f>L12*L15*L17</f>
        <v>0.33357020728383008</v>
      </c>
      <c r="M18">
        <f t="shared" ref="M18:X18" si="6">M12*M15*M17</f>
        <v>0.1393707637022977</v>
      </c>
      <c r="N18">
        <f t="shared" si="6"/>
        <v>1</v>
      </c>
      <c r="O18">
        <f t="shared" si="6"/>
        <v>1</v>
      </c>
      <c r="P18">
        <f t="shared" si="6"/>
        <v>0.17631992940990651</v>
      </c>
      <c r="Q18">
        <f t="shared" si="6"/>
        <v>0.4566454390591061</v>
      </c>
      <c r="R18">
        <f t="shared" si="6"/>
        <v>1</v>
      </c>
      <c r="S18">
        <f t="shared" si="6"/>
        <v>0.64559328324914533</v>
      </c>
      <c r="T18">
        <f t="shared" si="6"/>
        <v>0.66195475448832264</v>
      </c>
      <c r="U18">
        <f t="shared" si="6"/>
        <v>1</v>
      </c>
      <c r="V18">
        <f t="shared" si="6"/>
        <v>1</v>
      </c>
      <c r="W18">
        <f t="shared" si="6"/>
        <v>0.87449901151710385</v>
      </c>
      <c r="X18" t="e">
        <f t="shared" si="6"/>
        <v>#DIV/0!</v>
      </c>
    </row>
    <row r="19" spans="3:24" x14ac:dyDescent="0.25">
      <c r="C19">
        <v>100.76</v>
      </c>
      <c r="H19">
        <f>ROUND(SIN(PI()/180*C19/2)^2*$H$6/SIN(PI()/180*$C$6/2)^2,0)</f>
        <v>14</v>
      </c>
      <c r="I19">
        <f t="shared" si="1"/>
        <v>3.7448599456749427</v>
      </c>
      <c r="J19">
        <f t="shared" si="0"/>
        <v>2.3619071963392536E-5</v>
      </c>
      <c r="K19" t="s">
        <v>41</v>
      </c>
      <c r="L19">
        <f>($L$20-L18)^2</f>
        <v>1.8533397035685469E-2</v>
      </c>
      <c r="M19">
        <f t="shared" ref="M19:W19" si="7">($L$20-M18)^2</f>
        <v>0.10912244322596697</v>
      </c>
      <c r="P19">
        <f t="shared" si="7"/>
        <v>8.607634107288277E-2</v>
      </c>
      <c r="Q19">
        <f t="shared" si="7"/>
        <v>1.7062075271986557E-4</v>
      </c>
      <c r="S19">
        <f t="shared" si="7"/>
        <v>3.0935764088780349E-2</v>
      </c>
      <c r="T19">
        <f t="shared" si="7"/>
        <v>3.6958958043456218E-2</v>
      </c>
      <c r="W19">
        <f t="shared" si="7"/>
        <v>0.16385606501284694</v>
      </c>
      <c r="X19" t="e">
        <f>(X20-X18)^2</f>
        <v>#DIV/0!</v>
      </c>
    </row>
    <row r="20" spans="3:24" x14ac:dyDescent="0.25">
      <c r="I20" s="3">
        <f>ROUND(AVERAGE(I6:I10,I12:I19),2)</f>
        <v>3.74</v>
      </c>
      <c r="J20" s="3">
        <f>SQRT(1/(13*12)*SUM(J6:J10,J12:J19))</f>
        <v>2.0989505954966581E-3</v>
      </c>
      <c r="K20" t="s">
        <v>30</v>
      </c>
      <c r="L20">
        <f>AVERAGE(L18:M18,P18:Q18,S18:T18,W18)</f>
        <v>0.46970762695853036</v>
      </c>
    </row>
    <row r="21" spans="3:24" x14ac:dyDescent="0.25">
      <c r="K21" t="s">
        <v>40</v>
      </c>
      <c r="L21">
        <f>SQRT(1/(7*8)*SUM(L19:M19,P19:Q19,S19:T19,W19))</f>
        <v>8.9208182403411468E-2</v>
      </c>
    </row>
    <row r="37" spans="2:24" x14ac:dyDescent="0.25">
      <c r="B37" s="9" t="s">
        <v>13</v>
      </c>
      <c r="C37" s="9"/>
      <c r="D37" s="9"/>
      <c r="E37" s="9"/>
      <c r="F37" s="9"/>
      <c r="G37" s="9"/>
      <c r="H37" s="9"/>
      <c r="I37" s="9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</row>
    <row r="38" spans="2:24" x14ac:dyDescent="0.25">
      <c r="C38">
        <v>41.06</v>
      </c>
      <c r="F38">
        <v>1.5419</v>
      </c>
      <c r="H38">
        <v>3</v>
      </c>
      <c r="I38">
        <f>$F$6*SQRT(H38)/(2*SIN(PI()/180*C38/2))</f>
        <v>3.807622033709428</v>
      </c>
      <c r="J38">
        <f>($I$43-I38)^2</f>
        <v>1.4154174204333337E-3</v>
      </c>
      <c r="N38" s="5"/>
      <c r="O38" s="5"/>
      <c r="R38" s="5"/>
      <c r="U38" s="5"/>
      <c r="V38" s="5"/>
    </row>
    <row r="39" spans="2:24" x14ac:dyDescent="0.25">
      <c r="B39" s="8" t="s">
        <v>28</v>
      </c>
      <c r="C39">
        <v>47.86</v>
      </c>
      <c r="H39">
        <f>ROUND(SIN(PI()/180*C39/2)^2*$H$6/SIN(PI()/180*$C$6/2)^2,0)</f>
        <v>4</v>
      </c>
      <c r="I39">
        <f>$F$6*SQRT(H39)/(2*SIN(PI()/180*C39/2))</f>
        <v>3.8013389687088677</v>
      </c>
      <c r="J39">
        <f t="shared" ref="J39:J49" si="8">($I$43-I39)^2</f>
        <v>9.8213095973538589E-4</v>
      </c>
      <c r="K39" t="s">
        <v>29</v>
      </c>
      <c r="L39">
        <v>104</v>
      </c>
      <c r="M39">
        <v>50</v>
      </c>
      <c r="N39">
        <v>2437</v>
      </c>
      <c r="O39">
        <v>1334</v>
      </c>
      <c r="P39">
        <v>37</v>
      </c>
      <c r="Q39">
        <v>40</v>
      </c>
      <c r="R39">
        <v>564</v>
      </c>
      <c r="S39">
        <v>44</v>
      </c>
      <c r="U39">
        <v>575</v>
      </c>
      <c r="V39">
        <v>89</v>
      </c>
      <c r="W39">
        <v>49</v>
      </c>
      <c r="X39">
        <v>79</v>
      </c>
    </row>
    <row r="40" spans="2:24" x14ac:dyDescent="0.25">
      <c r="B40" s="8"/>
      <c r="C40">
        <v>71.08</v>
      </c>
      <c r="H40">
        <f>ROUND(SIN(PI()/180*C40/2)^2*$H$6/SIN(PI()/180*$C$6/2)^2,0)</f>
        <v>8</v>
      </c>
      <c r="I40">
        <f t="shared" ref="I40:I42" si="9">$F$6*SQRT(H40)/(2*SIN(PI()/180*C40/2))</f>
        <v>3.7513917588726535</v>
      </c>
      <c r="J40">
        <f t="shared" si="8"/>
        <v>3.4626663785346945E-4</v>
      </c>
      <c r="K40" t="s">
        <v>1</v>
      </c>
      <c r="L40">
        <v>23.5</v>
      </c>
      <c r="M40">
        <v>33.74</v>
      </c>
      <c r="N40">
        <v>41.06</v>
      </c>
      <c r="O40">
        <v>47.86</v>
      </c>
      <c r="P40">
        <v>54.6</v>
      </c>
      <c r="Q40">
        <v>60.3</v>
      </c>
      <c r="R40">
        <v>71.08</v>
      </c>
      <c r="S40">
        <v>76</v>
      </c>
      <c r="U40">
        <v>85.98</v>
      </c>
      <c r="V40">
        <v>90.5</v>
      </c>
      <c r="W40">
        <v>95.76</v>
      </c>
      <c r="X40">
        <v>100.5</v>
      </c>
    </row>
    <row r="41" spans="2:24" x14ac:dyDescent="0.25">
      <c r="B41" s="8"/>
      <c r="C41">
        <v>85.98</v>
      </c>
      <c r="H41">
        <f>ROUND(SIN(PI()/180*C41/2)^2*$H$6/SIN(PI()/180*$C$6/2)^2,0)</f>
        <v>11</v>
      </c>
      <c r="I41">
        <f t="shared" si="9"/>
        <v>3.7499072268676916</v>
      </c>
      <c r="J41">
        <f t="shared" si="8"/>
        <v>4.0371953214641409E-4</v>
      </c>
      <c r="K41" t="s">
        <v>15</v>
      </c>
      <c r="L41">
        <v>72.81</v>
      </c>
      <c r="M41">
        <v>68.23</v>
      </c>
      <c r="N41" s="1">
        <v>65.02</v>
      </c>
      <c r="O41" s="1">
        <v>62.21</v>
      </c>
      <c r="P41">
        <v>59.6</v>
      </c>
      <c r="Q41">
        <v>57.56</v>
      </c>
      <c r="R41" s="1">
        <v>54.07</v>
      </c>
      <c r="S41" s="1">
        <v>52.64</v>
      </c>
      <c r="T41" s="1"/>
      <c r="U41" s="1">
        <v>50.05</v>
      </c>
      <c r="V41" s="1">
        <v>49.01</v>
      </c>
      <c r="W41" s="1">
        <v>47.89</v>
      </c>
      <c r="X41" s="1">
        <v>46.96</v>
      </c>
    </row>
    <row r="42" spans="2:24" x14ac:dyDescent="0.25">
      <c r="B42" s="8"/>
      <c r="C42">
        <v>90.5</v>
      </c>
      <c r="H42">
        <f>ROUND(SIN(PI()/180*C42/2)^2*$H$6/SIN(PI()/180*$C$6/2)^2,0)</f>
        <v>12</v>
      </c>
      <c r="I42">
        <f t="shared" si="9"/>
        <v>3.7604958252577214</v>
      </c>
      <c r="J42">
        <f t="shared" si="8"/>
        <v>9.032933753176657E-5</v>
      </c>
      <c r="K42" t="s">
        <v>14</v>
      </c>
      <c r="L42">
        <v>26</v>
      </c>
      <c r="M42">
        <v>23.97</v>
      </c>
      <c r="N42" s="1">
        <v>22.53</v>
      </c>
      <c r="O42" s="1">
        <v>21.22</v>
      </c>
      <c r="P42">
        <v>19.97</v>
      </c>
      <c r="Q42">
        <v>18.96</v>
      </c>
      <c r="R42" s="1">
        <v>17.239999999999998</v>
      </c>
      <c r="S42" s="1">
        <v>16.53</v>
      </c>
      <c r="T42" s="1"/>
      <c r="U42" s="1">
        <v>15.25</v>
      </c>
      <c r="V42" s="1">
        <v>14.74</v>
      </c>
      <c r="W42" s="1">
        <v>14.19</v>
      </c>
      <c r="X42" s="1">
        <v>13.75</v>
      </c>
    </row>
    <row r="43" spans="2:24" x14ac:dyDescent="0.25">
      <c r="I43" s="3">
        <f>ROUND(AVERAGE(I38:I42),2)</f>
        <v>3.77</v>
      </c>
      <c r="J43">
        <f t="shared" si="8"/>
        <v>0</v>
      </c>
      <c r="K43" t="s">
        <v>31</v>
      </c>
      <c r="L43">
        <v>6</v>
      </c>
      <c r="M43">
        <v>12</v>
      </c>
      <c r="N43">
        <v>8</v>
      </c>
      <c r="O43">
        <v>6</v>
      </c>
      <c r="P43">
        <v>24</v>
      </c>
      <c r="Q43">
        <v>24</v>
      </c>
      <c r="R43">
        <v>12</v>
      </c>
      <c r="S43">
        <v>24</v>
      </c>
      <c r="U43">
        <v>24</v>
      </c>
      <c r="V43">
        <v>8</v>
      </c>
      <c r="W43">
        <v>24</v>
      </c>
      <c r="X43">
        <v>0</v>
      </c>
    </row>
    <row r="44" spans="2:24" x14ac:dyDescent="0.25">
      <c r="C44">
        <v>23.5</v>
      </c>
      <c r="H44">
        <f>ROUND(SIN(PI()/180*C44/2)^2*$H$6/SIN(PI()/180*$C$6/2)^2,0)</f>
        <v>1</v>
      </c>
      <c r="I44">
        <f t="shared" ref="I44:I50" si="10">$F$6*SQRT(H44)/(2*SIN(PI()/180*C44/2))</f>
        <v>3.7858150191868756</v>
      </c>
      <c r="J44">
        <f t="shared" si="8"/>
        <v>2.5011483188124196E-4</v>
      </c>
      <c r="K44" t="s">
        <v>32</v>
      </c>
      <c r="L44">
        <f>(1+COS(PI()/180*L40)^2)/(8*SIN(PI()/180*L40/2)^2*COS(PI()/180*L40/2))</f>
        <v>5.667964204246446</v>
      </c>
      <c r="M44">
        <f t="shared" ref="M44:X44" si="11">(1+COS(PI()/180*M40)^2)/(8*SIN(PI()/180*M40/2)^2*COS(PI()/180*M40/2))</f>
        <v>2.623542520034079</v>
      </c>
      <c r="N44">
        <f t="shared" si="11"/>
        <v>1.7023139424453204</v>
      </c>
      <c r="O44">
        <f t="shared" si="11"/>
        <v>1.2053762743328806</v>
      </c>
      <c r="P44">
        <f t="shared" si="11"/>
        <v>0.8930975633458107</v>
      </c>
      <c r="Q44">
        <f t="shared" si="11"/>
        <v>0.71368663083002626</v>
      </c>
      <c r="R44">
        <f t="shared" si="11"/>
        <v>0.50245684886399566</v>
      </c>
      <c r="S44">
        <f t="shared" si="11"/>
        <v>0.44299163426083471</v>
      </c>
      <c r="T44" t="e">
        <f t="shared" si="11"/>
        <v>#DIV/0!</v>
      </c>
      <c r="U44">
        <f t="shared" si="11"/>
        <v>0.36934906078735014</v>
      </c>
      <c r="V44">
        <f t="shared" si="11"/>
        <v>0.35206097873726444</v>
      </c>
      <c r="W44">
        <f t="shared" si="11"/>
        <v>0.34216698774180271</v>
      </c>
      <c r="X44">
        <f t="shared" si="11"/>
        <v>0.34168458980200767</v>
      </c>
    </row>
    <row r="45" spans="2:24" x14ac:dyDescent="0.25">
      <c r="C45">
        <v>33.74</v>
      </c>
      <c r="H45">
        <f t="shared" ref="H45:H50" si="12">ROUND(SIN(PI()/180*C45/2)^2*$H$6/SIN(PI()/180*$C$6/2)^2,0)</f>
        <v>2</v>
      </c>
      <c r="I45">
        <f t="shared" si="10"/>
        <v>3.7570074437087699</v>
      </c>
      <c r="J45">
        <f t="shared" si="8"/>
        <v>1.6880651898078244E-4</v>
      </c>
      <c r="K45" t="s">
        <v>33</v>
      </c>
      <c r="L45">
        <f>L39/N39</f>
        <v>4.267542059909725E-2</v>
      </c>
      <c r="M45">
        <f>M39/N39</f>
        <v>2.051702913418137E-2</v>
      </c>
      <c r="N45">
        <f>N39/N39</f>
        <v>1</v>
      </c>
      <c r="O45">
        <f>O39/O39</f>
        <v>1</v>
      </c>
      <c r="P45">
        <f>P39/O39</f>
        <v>2.7736131934032984E-2</v>
      </c>
      <c r="Q45">
        <f>Q39/R39</f>
        <v>7.0921985815602842E-2</v>
      </c>
      <c r="R45">
        <f>R39/R39</f>
        <v>1</v>
      </c>
      <c r="S45">
        <f>S39/R39</f>
        <v>7.8014184397163122E-2</v>
      </c>
      <c r="U45">
        <f>U39/U39</f>
        <v>1</v>
      </c>
      <c r="V45">
        <f>V39/V39</f>
        <v>1</v>
      </c>
      <c r="W45">
        <f>W39/V39</f>
        <v>0.550561797752809</v>
      </c>
      <c r="X45">
        <f>X39/V39</f>
        <v>0.88764044943820219</v>
      </c>
    </row>
    <row r="46" spans="2:24" x14ac:dyDescent="0.25">
      <c r="C46">
        <v>54.6</v>
      </c>
      <c r="H46">
        <f t="shared" si="12"/>
        <v>5</v>
      </c>
      <c r="I46">
        <f t="shared" si="10"/>
        <v>3.7586357392012193</v>
      </c>
      <c r="J46">
        <f t="shared" si="8"/>
        <v>1.2914642350270427E-4</v>
      </c>
      <c r="K46" t="s">
        <v>36</v>
      </c>
      <c r="L46">
        <f>L41-L42</f>
        <v>46.81</v>
      </c>
      <c r="M46">
        <f>M41-M42</f>
        <v>44.260000000000005</v>
      </c>
      <c r="N46" s="1">
        <f>N41+3*N42</f>
        <v>132.61000000000001</v>
      </c>
      <c r="O46" s="1">
        <f>O41+3*O42</f>
        <v>125.87</v>
      </c>
      <c r="P46">
        <f>P41-P42</f>
        <v>39.630000000000003</v>
      </c>
      <c r="Q46">
        <f>Q41-Q42</f>
        <v>38.6</v>
      </c>
      <c r="R46" s="1">
        <f>R41+3*R42</f>
        <v>105.78999999999999</v>
      </c>
      <c r="S46">
        <f>S41-S42</f>
        <v>36.11</v>
      </c>
      <c r="U46" s="1">
        <f>U41+3*U42</f>
        <v>95.8</v>
      </c>
      <c r="V46" s="1">
        <f>V41+3*V42</f>
        <v>93.22999999999999</v>
      </c>
      <c r="W46">
        <f>W41-W42</f>
        <v>33.700000000000003</v>
      </c>
      <c r="X46">
        <f>X41-X42</f>
        <v>33.21</v>
      </c>
    </row>
    <row r="47" spans="2:24" x14ac:dyDescent="0.25">
      <c r="C47">
        <v>60.3</v>
      </c>
      <c r="H47">
        <f t="shared" si="12"/>
        <v>6</v>
      </c>
      <c r="I47">
        <f t="shared" si="10"/>
        <v>3.7598321855376735</v>
      </c>
      <c r="J47">
        <f t="shared" si="8"/>
        <v>1.0338445094029609E-4</v>
      </c>
      <c r="K47" t="s">
        <v>37</v>
      </c>
      <c r="L47">
        <f>N46/L46</f>
        <v>2.8329416791283917</v>
      </c>
      <c r="M47">
        <f>N46/M46</f>
        <v>2.9961590600994126</v>
      </c>
      <c r="N47">
        <f>N46/N46</f>
        <v>1</v>
      </c>
      <c r="O47">
        <f>O46/O46</f>
        <v>1</v>
      </c>
      <c r="P47">
        <f>O46/P46</f>
        <v>3.1761291950542518</v>
      </c>
      <c r="Q47">
        <f>R46/Q46</f>
        <v>2.7406735751295335</v>
      </c>
      <c r="R47">
        <f>R46/R46</f>
        <v>1</v>
      </c>
      <c r="S47">
        <f>R46/S46</f>
        <v>2.9296593741345887</v>
      </c>
      <c r="U47">
        <f>U46/U46</f>
        <v>1</v>
      </c>
      <c r="V47">
        <f>V46/V46</f>
        <v>1</v>
      </c>
      <c r="W47">
        <f>V46/W46</f>
        <v>2.76646884272997</v>
      </c>
      <c r="X47">
        <f>V46/X46</f>
        <v>2.8072869617585061</v>
      </c>
    </row>
    <row r="48" spans="2:24" x14ac:dyDescent="0.25">
      <c r="C48">
        <v>76</v>
      </c>
      <c r="H48">
        <f t="shared" si="12"/>
        <v>9</v>
      </c>
      <c r="I48">
        <f t="shared" si="10"/>
        <v>3.7566911244147647</v>
      </c>
      <c r="J48">
        <f t="shared" si="8"/>
        <v>1.7712616934327231E-4</v>
      </c>
      <c r="K48" t="s">
        <v>34</v>
      </c>
      <c r="L48">
        <f>L47^2</f>
        <v>8.0255585573427908</v>
      </c>
      <c r="M48">
        <f t="shared" ref="M48" si="13">M47^2</f>
        <v>8.9769691134157945</v>
      </c>
      <c r="N48">
        <f t="shared" ref="N48" si="14">N47^2</f>
        <v>1</v>
      </c>
      <c r="O48">
        <f t="shared" ref="O48" si="15">O47^2</f>
        <v>1</v>
      </c>
      <c r="P48">
        <f t="shared" ref="P48" si="16">P47^2</f>
        <v>10.08779666367597</v>
      </c>
      <c r="Q48">
        <f t="shared" ref="Q48" si="17">Q47^2</f>
        <v>7.5112916454132987</v>
      </c>
      <c r="R48">
        <f t="shared" ref="R48" si="18">R47^2</f>
        <v>1</v>
      </c>
      <c r="S48">
        <f t="shared" ref="S48" si="19">S47^2</f>
        <v>8.5829040484546706</v>
      </c>
      <c r="U48">
        <f t="shared" ref="U48" si="20">U47^2</f>
        <v>1</v>
      </c>
      <c r="V48">
        <f t="shared" ref="V48" si="21">V47^2</f>
        <v>1</v>
      </c>
      <c r="W48">
        <f t="shared" ref="W48" si="22">W47^2</f>
        <v>7.6533498577956989</v>
      </c>
      <c r="X48">
        <f t="shared" ref="X48" si="23">X47^2</f>
        <v>7.8808600856593038</v>
      </c>
    </row>
    <row r="49" spans="2:24" x14ac:dyDescent="0.25">
      <c r="C49">
        <v>95.76</v>
      </c>
      <c r="H49">
        <f t="shared" si="12"/>
        <v>13</v>
      </c>
      <c r="I49">
        <f t="shared" si="10"/>
        <v>3.7475302834239121</v>
      </c>
      <c r="J49">
        <f t="shared" si="8"/>
        <v>5.0488816300971813E-4</v>
      </c>
      <c r="K49" t="s">
        <v>38</v>
      </c>
      <c r="L49">
        <f>L43*L44</f>
        <v>34.007785225478678</v>
      </c>
      <c r="M49">
        <f t="shared" ref="M49:X49" si="24">M43*M44</f>
        <v>31.482510240408949</v>
      </c>
      <c r="N49">
        <f t="shared" si="24"/>
        <v>13.618511539562563</v>
      </c>
      <c r="O49">
        <f t="shared" si="24"/>
        <v>7.2322576459972838</v>
      </c>
      <c r="P49">
        <f t="shared" si="24"/>
        <v>21.434341520299455</v>
      </c>
      <c r="Q49">
        <f t="shared" si="24"/>
        <v>17.128479139920628</v>
      </c>
      <c r="R49">
        <f t="shared" si="24"/>
        <v>6.0294821863679484</v>
      </c>
      <c r="S49">
        <f t="shared" si="24"/>
        <v>10.631799222260033</v>
      </c>
      <c r="U49">
        <f t="shared" si="24"/>
        <v>8.8643774588964028</v>
      </c>
      <c r="V49">
        <f t="shared" si="24"/>
        <v>2.8164878298981155</v>
      </c>
      <c r="W49">
        <f t="shared" si="24"/>
        <v>8.2120077058032646</v>
      </c>
      <c r="X49">
        <f t="shared" si="24"/>
        <v>0</v>
      </c>
    </row>
    <row r="50" spans="2:24" x14ac:dyDescent="0.25">
      <c r="C50">
        <v>100.5</v>
      </c>
      <c r="H50">
        <f t="shared" si="12"/>
        <v>14</v>
      </c>
      <c r="I50">
        <f t="shared" si="10"/>
        <v>3.7519170289601984</v>
      </c>
      <c r="J50">
        <f>($I$43-I50)^2</f>
        <v>3.2699384162630373E-4</v>
      </c>
      <c r="K50" t="s">
        <v>35</v>
      </c>
      <c r="L50">
        <f>N49/L49</f>
        <v>0.40045276248567802</v>
      </c>
      <c r="M50">
        <f>N49/M49</f>
        <v>0.43257387786323048</v>
      </c>
      <c r="N50">
        <f>N49/N49</f>
        <v>1</v>
      </c>
      <c r="O50">
        <f>O49/O49</f>
        <v>1</v>
      </c>
      <c r="P50">
        <f>O49/P49</f>
        <v>0.33741450089091624</v>
      </c>
      <c r="Q50">
        <f>R49/Q49</f>
        <v>0.35201503514198684</v>
      </c>
      <c r="R50">
        <f>R49/R49</f>
        <v>1</v>
      </c>
      <c r="S50">
        <f>R49/S49</f>
        <v>0.56711776250852142</v>
      </c>
      <c r="U50">
        <f>U49/U49</f>
        <v>1</v>
      </c>
      <c r="V50">
        <f>V49/V49</f>
        <v>1</v>
      </c>
      <c r="W50">
        <f>V49/W49</f>
        <v>0.34297189320801036</v>
      </c>
      <c r="X50" t="e">
        <f>V49/X49</f>
        <v>#DIV/0!</v>
      </c>
    </row>
    <row r="51" spans="2:24" x14ac:dyDescent="0.25">
      <c r="I51" s="3">
        <f>ROUND(AVERAGE(I38:I42,I44:I50),2)</f>
        <v>3.77</v>
      </c>
      <c r="J51" s="3">
        <f>SQRT(1/(12*11)*SUM(J38:J42,J44:J50))</f>
        <v>6.0916760686728555E-3</v>
      </c>
      <c r="K51" t="s">
        <v>30</v>
      </c>
      <c r="L51">
        <f>L45*L48*L50</f>
        <v>0.13715270326506496</v>
      </c>
      <c r="M51">
        <f t="shared" ref="M51" si="25">M45*M48*M50</f>
        <v>7.9671775561114405E-2</v>
      </c>
      <c r="N51">
        <f t="shared" ref="N51" si="26">N45*N48*N50</f>
        <v>1</v>
      </c>
      <c r="O51">
        <f t="shared" ref="O51" si="27">O45*O48*O50</f>
        <v>1</v>
      </c>
      <c r="P51">
        <f t="shared" ref="P51" si="28">P45*P48*P50</f>
        <v>9.4407382627767072E-2</v>
      </c>
      <c r="Q51">
        <f t="shared" ref="Q51" si="29">Q45*Q48*Q50</f>
        <v>0.18752394273204787</v>
      </c>
      <c r="R51">
        <f t="shared" ref="R51" si="30">R45*R48*R50</f>
        <v>1</v>
      </c>
      <c r="S51">
        <f t="shared" ref="S51" si="31">S45*S48*S50</f>
        <v>0.37973539530237144</v>
      </c>
      <c r="U51">
        <f t="shared" ref="U51" si="32">U45*U48*U50</f>
        <v>1</v>
      </c>
      <c r="V51">
        <f t="shared" ref="V51" si="33">V45*V48*V50</f>
        <v>1</v>
      </c>
      <c r="W51">
        <f t="shared" ref="W51" si="34">W45*W48*W50</f>
        <v>1.4451607934321455</v>
      </c>
      <c r="X51" t="e">
        <f t="shared" ref="X51" si="35">X45*X48*X50</f>
        <v>#DIV/0!</v>
      </c>
    </row>
    <row r="52" spans="2:24" x14ac:dyDescent="0.25">
      <c r="K52" t="s">
        <v>41</v>
      </c>
      <c r="L52">
        <f>($L$53-L51)^2</f>
        <v>6.2561329482021047E-2</v>
      </c>
      <c r="M52">
        <f t="shared" ref="M52:W52" si="36">($L$53-M51)^2</f>
        <v>9.4619948028234827E-2</v>
      </c>
      <c r="P52">
        <f t="shared" si="36"/>
        <v>8.5771635859359513E-2</v>
      </c>
      <c r="Q52">
        <f t="shared" si="36"/>
        <v>3.9900617575768071E-2</v>
      </c>
      <c r="S52">
        <f t="shared" si="36"/>
        <v>5.6850647717777925E-5</v>
      </c>
      <c r="W52">
        <f t="shared" si="36"/>
        <v>1.119121649184905</v>
      </c>
    </row>
    <row r="53" spans="2:24" x14ac:dyDescent="0.25">
      <c r="K53" t="s">
        <v>30</v>
      </c>
      <c r="L53">
        <f>AVERAGE(L51:M51,P51:Q51,S51:T51,W51)</f>
        <v>0.38727533215341853</v>
      </c>
      <c r="M53" s="7">
        <f>AVERAGE(L51:M51,P51:Q51,S51:T51)</f>
        <v>0.17569823989767314</v>
      </c>
    </row>
    <row r="54" spans="2:24" x14ac:dyDescent="0.25">
      <c r="K54" t="s">
        <v>40</v>
      </c>
      <c r="L54">
        <f>SQRT(1/30*SUM(L52:M52,P52,Q52,S52,W52))</f>
        <v>0.21618140767867511</v>
      </c>
      <c r="M54" s="7">
        <f>SQRT(1/30*SUM(L52:M52,P52,Q52,S52))</f>
        <v>9.7109968865731672E-2</v>
      </c>
    </row>
    <row r="62" spans="2:24" x14ac:dyDescent="0.25">
      <c r="B62" s="9" t="s">
        <v>12</v>
      </c>
      <c r="C62" s="9"/>
      <c r="D62" s="9"/>
      <c r="E62" s="9"/>
      <c r="F62" s="9"/>
      <c r="G62" s="9"/>
      <c r="H62" s="9"/>
      <c r="I62" s="9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</row>
    <row r="63" spans="2:24" x14ac:dyDescent="0.25">
      <c r="C63">
        <v>40.46</v>
      </c>
      <c r="F63">
        <v>1.5419</v>
      </c>
      <c r="H63">
        <v>3</v>
      </c>
      <c r="I63">
        <f>$F$6*SQRT(H63)/(2*SIN(PI()/180*C63/2))</f>
        <v>3.8616684272288273</v>
      </c>
      <c r="J63">
        <f>($I$68-I63)^2</f>
        <v>2.7836494178927752E-6</v>
      </c>
    </row>
    <row r="64" spans="2:24" x14ac:dyDescent="0.25">
      <c r="B64" s="8" t="s">
        <v>28</v>
      </c>
      <c r="C64">
        <v>47.08</v>
      </c>
      <c r="H64">
        <f>ROUND(SIN(PI()/180*C64/2)^2*$H$6/SIN(PI()/180*$C$6/2)^2,0)</f>
        <v>4</v>
      </c>
      <c r="I64">
        <f>$F$6*SQRT(H64)/(2*SIN(PI()/180*C64/2))</f>
        <v>3.8606452012653865</v>
      </c>
      <c r="J64">
        <f t="shared" ref="J64:J67" si="37">($I$68-I64)^2</f>
        <v>4.1628467285645145E-7</v>
      </c>
    </row>
    <row r="65" spans="2:10" x14ac:dyDescent="0.25">
      <c r="B65" s="8"/>
      <c r="C65">
        <v>68.88</v>
      </c>
      <c r="G65">
        <f>ROUND(SIN(PI()/180*C65/2)^2*$H$6/SIN(PI()/180*$C$6/2)^2,0)</f>
        <v>7</v>
      </c>
      <c r="H65">
        <v>8</v>
      </c>
      <c r="I65">
        <f>$F$6*SQRT(H65)/(2*SIN(PI()/180*C65/2))</f>
        <v>3.8557214280027274</v>
      </c>
      <c r="J65">
        <f t="shared" si="37"/>
        <v>1.8306178335843879E-5</v>
      </c>
    </row>
    <row r="66" spans="2:10" x14ac:dyDescent="0.25">
      <c r="B66" s="8"/>
      <c r="C66">
        <v>82.9</v>
      </c>
      <c r="G66">
        <f>ROUND(SIN(PI()/180*C66/2)^2*$H$6/SIN(PI()/180*$C$6/2)^2,0)</f>
        <v>10</v>
      </c>
      <c r="H66">
        <v>11</v>
      </c>
      <c r="I66">
        <f>$F$6*SQRT(H66)/(2*SIN(PI()/180*C66/2))</f>
        <v>3.8626622447278551</v>
      </c>
      <c r="J66">
        <f t="shared" si="37"/>
        <v>7.0875469909931079E-6</v>
      </c>
    </row>
    <row r="67" spans="2:10" x14ac:dyDescent="0.25">
      <c r="B67" s="8"/>
      <c r="C67">
        <v>87.6</v>
      </c>
      <c r="G67">
        <f>ROUND(SIN(PI()/180*C67/2)^2*$H$6/SIN(PI()/180*$C$6/2)^2,0)</f>
        <v>11</v>
      </c>
      <c r="H67">
        <v>12</v>
      </c>
      <c r="I67">
        <f>$F$6*SQRT(H67)/(2*SIN(PI()/180*C67/2))</f>
        <v>3.8585212438871639</v>
      </c>
      <c r="J67">
        <f t="shared" si="37"/>
        <v>2.186719641249802E-6</v>
      </c>
    </row>
    <row r="68" spans="2:10" x14ac:dyDescent="0.25">
      <c r="I68" s="3">
        <f>ROUND(AVERAGE(I63:I67),2)</f>
        <v>3.86</v>
      </c>
      <c r="J68" s="3">
        <f>SQRT(1/20*SUM(J63:J67))</f>
        <v>1.2405720265030163E-3</v>
      </c>
    </row>
  </sheetData>
  <mergeCells count="6">
    <mergeCell ref="B64:B67"/>
    <mergeCell ref="B7:B10"/>
    <mergeCell ref="B4:I4"/>
    <mergeCell ref="B37:I37"/>
    <mergeCell ref="B39:B42"/>
    <mergeCell ref="B62:I62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4079C-107F-47DA-884D-859E342E8E03}">
  <dimension ref="F2:Q14"/>
  <sheetViews>
    <sheetView tabSelected="1" topLeftCell="C1" workbookViewId="0">
      <selection activeCell="G12" sqref="G12"/>
    </sheetView>
  </sheetViews>
  <sheetFormatPr baseColWidth="10" defaultRowHeight="15" x14ac:dyDescent="0.25"/>
  <cols>
    <col min="7" max="7" width="12" bestFit="1" customWidth="1"/>
    <col min="16" max="16" width="12" bestFit="1" customWidth="1"/>
  </cols>
  <sheetData>
    <row r="2" spans="6:17" x14ac:dyDescent="0.25">
      <c r="G2" t="s">
        <v>42</v>
      </c>
      <c r="H2" t="s">
        <v>43</v>
      </c>
      <c r="I2" t="s">
        <v>44</v>
      </c>
      <c r="J2" t="s">
        <v>45</v>
      </c>
      <c r="K2" t="s">
        <v>20</v>
      </c>
      <c r="L2" t="s">
        <v>46</v>
      </c>
      <c r="M2" t="s">
        <v>17</v>
      </c>
      <c r="N2" t="s">
        <v>47</v>
      </c>
      <c r="P2" t="s">
        <v>50</v>
      </c>
      <c r="Q2" t="s">
        <v>31</v>
      </c>
    </row>
    <row r="3" spans="6:17" x14ac:dyDescent="0.25">
      <c r="F3">
        <v>2</v>
      </c>
      <c r="G3" s="10">
        <v>3.8999999999999999E-4</v>
      </c>
      <c r="H3" s="10">
        <v>9.9000000000000005E-7</v>
      </c>
      <c r="I3" s="10">
        <v>5.1000000000000004E-3</v>
      </c>
      <c r="J3" s="10">
        <v>3.0000000000000001E-5</v>
      </c>
      <c r="K3" s="10">
        <v>6.7000000000000002E-3</v>
      </c>
      <c r="L3" s="10">
        <v>5.0000000000000002E-5</v>
      </c>
      <c r="M3" s="10">
        <v>2.0000000000000001E-4</v>
      </c>
      <c r="N3" s="10">
        <v>5.0000000000000002E-5</v>
      </c>
      <c r="P3">
        <f>SQRT((J3*M3*G3/K3)^2+(I3*G3*N3/K3)^2+(I3*M3*H3/K3)^2+(I3*M3*G3*L3/K3^2)^2)</f>
        <v>1.4854766364107948E-8</v>
      </c>
      <c r="Q3" s="10">
        <f>I3*M3*G3/K3</f>
        <v>5.937313432835822E-8</v>
      </c>
    </row>
    <row r="4" spans="6:17" x14ac:dyDescent="0.25">
      <c r="F4">
        <v>3</v>
      </c>
      <c r="G4" s="10">
        <v>2.5999999999999998E-4</v>
      </c>
      <c r="H4" s="10">
        <v>1.5E-6</v>
      </c>
      <c r="I4" s="10">
        <v>5.1999999999999998E-3</v>
      </c>
      <c r="J4" s="10">
        <v>3.0000000000000001E-5</v>
      </c>
      <c r="K4" s="10">
        <v>4.3E-3</v>
      </c>
      <c r="L4" s="10">
        <v>5.0000000000000002E-5</v>
      </c>
      <c r="M4" s="10">
        <v>2.0000000000000001E-4</v>
      </c>
      <c r="N4" s="10">
        <v>5.0000000000000002E-5</v>
      </c>
      <c r="P4">
        <f t="shared" ref="P4:P5" si="0">SQRT((J4*M4*G4/K4)^2+(I4*G4*N4/K4)^2+(I4*M4*H4/K4)^2+(I4*M4*G4*L4/K4^2)^2)</f>
        <v>1.5746286668795033E-8</v>
      </c>
      <c r="Q4" s="10">
        <f t="shared" ref="Q4:Q5" si="1">I4*M4*G4/K4</f>
        <v>6.2883720930232546E-8</v>
      </c>
    </row>
    <row r="5" spans="6:17" x14ac:dyDescent="0.25">
      <c r="F5">
        <v>4</v>
      </c>
      <c r="G5" s="10">
        <v>2.5999999999999999E-3</v>
      </c>
      <c r="H5" s="10">
        <v>9.0999999999999997E-7</v>
      </c>
      <c r="I5" s="10">
        <v>5.1000000000000004E-3</v>
      </c>
      <c r="J5" s="10">
        <v>3.0000000000000001E-5</v>
      </c>
      <c r="K5" s="10">
        <v>4.1000000000000003E-3</v>
      </c>
      <c r="L5" s="10">
        <v>5.0000000000000002E-5</v>
      </c>
      <c r="M5" s="10">
        <v>2.0000000000000001E-4</v>
      </c>
      <c r="N5" s="10">
        <v>5.0000000000000002E-5</v>
      </c>
      <c r="P5">
        <f t="shared" si="0"/>
        <v>1.6194445912481182E-7</v>
      </c>
      <c r="Q5" s="10">
        <f t="shared" si="1"/>
        <v>6.4682926829268299E-7</v>
      </c>
    </row>
    <row r="10" spans="6:17" x14ac:dyDescent="0.25">
      <c r="F10" t="s">
        <v>48</v>
      </c>
      <c r="G10">
        <f>(P5-P3)/(0.25*0.75)</f>
        <v>7.844783613904207E-7</v>
      </c>
      <c r="I10" t="s">
        <v>51</v>
      </c>
      <c r="J10">
        <f>SQRT((Q5-Q4)/(Q5-Q3))</f>
        <v>0.99700756629453469</v>
      </c>
    </row>
    <row r="11" spans="6:17" x14ac:dyDescent="0.25">
      <c r="F11" t="s">
        <v>49</v>
      </c>
      <c r="G11">
        <f>1/(0.25*0.75) * SQRT(P5^2+P3^2)</f>
        <v>8.6732974716077602E-7</v>
      </c>
      <c r="I11" t="s">
        <v>52</v>
      </c>
      <c r="J11">
        <f>SQRT(J12+J13+J14)</f>
        <v>1.8446578725678169E-2</v>
      </c>
    </row>
    <row r="12" spans="6:17" x14ac:dyDescent="0.25">
      <c r="I12" t="s">
        <v>5</v>
      </c>
      <c r="J12" s="10">
        <f>(1/(2*J10*(Q5-Q3)) * P4)^2</f>
        <v>1.806959929807293E-4</v>
      </c>
    </row>
    <row r="13" spans="6:17" x14ac:dyDescent="0.25">
      <c r="I13" t="s">
        <v>44</v>
      </c>
      <c r="J13" s="10">
        <f>((Q5-Q4)*P3/(2*J10*(Q5-Q3)^2))^2</f>
        <v>1.5889772617479485E-4</v>
      </c>
    </row>
    <row r="14" spans="6:17" x14ac:dyDescent="0.25">
      <c r="I14" t="s">
        <v>53</v>
      </c>
      <c r="J14" s="10">
        <f>(P5*(Q4-Q3)/(J10*2*(Q5-Q3)^2))^2</f>
        <v>6.8254752711828959E-7</v>
      </c>
    </row>
  </sheetData>
  <phoneticPr fontId="1" type="noConversion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XRD</vt:lpstr>
      <vt:lpstr>Widerstand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Jesco Talies</dc:creator>
  <cp:lastModifiedBy>Jesco Talies</cp:lastModifiedBy>
  <dcterms:created xsi:type="dcterms:W3CDTF">2015-06-05T18:19:34Z</dcterms:created>
  <dcterms:modified xsi:type="dcterms:W3CDTF">2021-06-01T14:22:15Z</dcterms:modified>
</cp:coreProperties>
</file>