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ena/Documents/TROPIMUNDO/MASTER THESIS/MS_Elena_master/data/"/>
    </mc:Choice>
  </mc:AlternateContent>
  <xr:revisionPtr revIDLastSave="0" documentId="13_ncr:1_{103AF3BF-3E1E-0C46-B37F-723E68055FBE}" xr6:coauthVersionLast="43" xr6:coauthVersionMax="43" xr10:uidLastSave="{00000000-0000-0000-0000-000000000000}"/>
  <bookViews>
    <workbookView xWindow="-35740" yWindow="-8440" windowWidth="32440" windowHeight="26900" tabRatio="500" activeTab="11" xr2:uid="{00000000-000D-0000-FFFF-FFFF00000000}"/>
  </bookViews>
  <sheets>
    <sheet name="QTY" sheetId="5" r:id="rId1"/>
    <sheet name="QLY" sheetId="4" r:id="rId2"/>
    <sheet name="NOT USED" sheetId="1" r:id="rId3"/>
    <sheet name="Myrsine PROT" sheetId="10" r:id="rId4"/>
    <sheet name="Hoja2" sheetId="2" r:id="rId5"/>
    <sheet name="Ficus pPDM" sheetId="3" r:id="rId6"/>
    <sheet name="Miconia pPDM" sheetId="6" r:id="rId7"/>
    <sheet name="Miconia NSC" sheetId="8" r:id="rId8"/>
    <sheet name="Nectandra NSC" sheetId="9" r:id="rId9"/>
    <sheet name="Phoradendron pPDM" sheetId="11" r:id="rId10"/>
    <sheet name="Phoradendron Energy" sheetId="7" r:id="rId11"/>
    <sheet name="PDM Variation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2" l="1"/>
  <c r="I8" i="12"/>
  <c r="I165" i="12"/>
  <c r="H165" i="12"/>
  <c r="U19" i="12"/>
  <c r="X23" i="12"/>
  <c r="W23" i="12"/>
  <c r="I163" i="12"/>
  <c r="H163" i="12"/>
  <c r="I159" i="12"/>
  <c r="H159" i="12"/>
  <c r="H157" i="12"/>
  <c r="E157" i="12"/>
  <c r="I155" i="12"/>
  <c r="H155" i="12"/>
  <c r="I146" i="12"/>
  <c r="H146" i="12"/>
  <c r="H145" i="12"/>
  <c r="H144" i="12"/>
  <c r="D144" i="12"/>
  <c r="I142" i="12"/>
  <c r="H142" i="12"/>
  <c r="I132" i="12"/>
  <c r="H132" i="12"/>
  <c r="I15" i="12"/>
  <c r="H15" i="12"/>
  <c r="H13" i="12"/>
  <c r="H12" i="12"/>
  <c r="E12" i="12"/>
  <c r="I120" i="12"/>
  <c r="H120" i="12"/>
  <c r="I110" i="12"/>
  <c r="H110" i="12"/>
  <c r="I103" i="12"/>
  <c r="H57" i="12"/>
  <c r="E60" i="12"/>
  <c r="H60" i="12" s="1"/>
  <c r="E59" i="12"/>
  <c r="H59" i="12" s="1"/>
  <c r="H61" i="12" l="1"/>
  <c r="I61" i="12"/>
  <c r="I57" i="12"/>
  <c r="E89" i="12"/>
  <c r="H89" i="12" s="1"/>
  <c r="E93" i="12"/>
  <c r="H93" i="12" s="1"/>
  <c r="H103" i="12"/>
  <c r="H33" i="12"/>
  <c r="I34" i="12" s="1"/>
  <c r="H28" i="12"/>
  <c r="I29" i="12" s="1"/>
  <c r="H7" i="12"/>
  <c r="I10" i="12" s="1"/>
  <c r="I87" i="12"/>
  <c r="H87" i="12"/>
  <c r="D69" i="12"/>
  <c r="I69" i="12" s="1"/>
  <c r="C69" i="12"/>
  <c r="F65" i="12"/>
  <c r="I65" i="12" s="1"/>
  <c r="C65" i="12"/>
  <c r="I19" i="12"/>
  <c r="H19" i="12"/>
  <c r="H59" i="6"/>
  <c r="E5" i="8"/>
  <c r="E9" i="9"/>
  <c r="E9" i="10"/>
  <c r="V19" i="12"/>
  <c r="A18" i="2"/>
  <c r="F11" i="11"/>
  <c r="H10" i="12" l="1"/>
  <c r="I9" i="12"/>
  <c r="H9" i="12"/>
  <c r="H29" i="12"/>
  <c r="I30" i="12"/>
  <c r="I94" i="12"/>
  <c r="H94" i="12"/>
  <c r="E6" i="7"/>
  <c r="E11" i="11" l="1"/>
  <c r="D8" i="11"/>
  <c r="D9" i="10"/>
  <c r="D9" i="9" l="1"/>
  <c r="D5" i="8"/>
  <c r="D6" i="7"/>
  <c r="G59" i="6" l="1"/>
  <c r="G58" i="6"/>
  <c r="G57" i="6"/>
  <c r="G54" i="6"/>
  <c r="D52" i="6"/>
  <c r="G49" i="6"/>
  <c r="G48" i="6"/>
  <c r="G47" i="6"/>
  <c r="G42" i="6"/>
  <c r="G41" i="6"/>
  <c r="G39" i="6"/>
  <c r="G28" i="6"/>
  <c r="G25" i="6"/>
  <c r="G22" i="6"/>
  <c r="G21" i="6"/>
  <c r="G17" i="6"/>
  <c r="G5" i="6"/>
  <c r="G4" i="6"/>
  <c r="G2" i="6"/>
  <c r="E53" i="3" l="1"/>
  <c r="E51" i="3"/>
  <c r="E49" i="3"/>
  <c r="E45" i="3"/>
  <c r="E44" i="3"/>
  <c r="E43" i="3"/>
  <c r="E41" i="3"/>
  <c r="E40" i="3"/>
  <c r="E38" i="3"/>
  <c r="E37" i="3"/>
  <c r="E36" i="3"/>
  <c r="E35" i="3"/>
  <c r="E34" i="3"/>
  <c r="E32" i="3"/>
  <c r="D31" i="3"/>
  <c r="E31" i="3" s="1"/>
  <c r="C31" i="3"/>
  <c r="E30" i="3"/>
  <c r="E29" i="3"/>
  <c r="E27" i="3"/>
  <c r="E25" i="3"/>
  <c r="E24" i="3"/>
  <c r="E21" i="3"/>
  <c r="E18" i="3"/>
  <c r="E16" i="3"/>
  <c r="E15" i="3"/>
  <c r="E14" i="3"/>
  <c r="E13" i="3"/>
  <c r="E12" i="3"/>
  <c r="E11" i="3"/>
  <c r="E10" i="3"/>
  <c r="E9" i="3"/>
  <c r="E8" i="3"/>
  <c r="E7" i="3"/>
  <c r="E6" i="3"/>
  <c r="D5" i="3"/>
  <c r="E5" i="3" s="1"/>
  <c r="C5" i="3"/>
  <c r="E4" i="3"/>
  <c r="E3" i="3"/>
  <c r="E2" i="3"/>
  <c r="A11" i="2"/>
</calcChain>
</file>

<file path=xl/sharedStrings.xml><?xml version="1.0" encoding="utf-8"?>
<sst xmlns="http://schemas.openxmlformats.org/spreadsheetml/2006/main" count="1040" uniqueCount="391">
  <si>
    <t>Plant_sp</t>
  </si>
  <si>
    <t>What</t>
  </si>
  <si>
    <t>Acnistus arborescens</t>
  </si>
  <si>
    <t>PFM/FFM</t>
  </si>
  <si>
    <t>Athie &amp; Dias 2012</t>
  </si>
  <si>
    <t>Trichilia clauseni</t>
  </si>
  <si>
    <t>Syzygium cumini (Eugenia jambolana)</t>
  </si>
  <si>
    <t>Plinia cauliflora (Myrciaria cauliflora)</t>
  </si>
  <si>
    <t>Casearia sylvestris</t>
  </si>
  <si>
    <t>Solanum granulosoleprosum</t>
  </si>
  <si>
    <t>PDM/FFM</t>
  </si>
  <si>
    <t>Marco Aurelio fruit traits.xls</t>
  </si>
  <si>
    <t>Miconia prasina</t>
  </si>
  <si>
    <t>TOTALC</t>
  </si>
  <si>
    <t>FRUBASE</t>
  </si>
  <si>
    <t>Copaifera langsdorffii</t>
  </si>
  <si>
    <t>Motta Jr 1990</t>
  </si>
  <si>
    <t>Myrsine coriacea</t>
  </si>
  <si>
    <t>PROT</t>
  </si>
  <si>
    <t>Richeria grandis</t>
  </si>
  <si>
    <t>Brito 2016</t>
  </si>
  <si>
    <t>Cupania oblongifolia</t>
  </si>
  <si>
    <t>Nectandra megapotamica</t>
  </si>
  <si>
    <t>Krügel et al 2006 Iheringia</t>
  </si>
  <si>
    <t>Cordia silvestris</t>
  </si>
  <si>
    <t>Ficus enormis</t>
  </si>
  <si>
    <t>Sloanea guinaensis</t>
  </si>
  <si>
    <t>Calculated PDM from PFM/FFRM</t>
  </si>
  <si>
    <t>Aburria jacutinga</t>
  </si>
  <si>
    <t>Penelope obscura</t>
  </si>
  <si>
    <t>Mean PDM/FFRM of all Ficus sp.</t>
  </si>
  <si>
    <t>Value</t>
  </si>
  <si>
    <t>Tangara cayana</t>
  </si>
  <si>
    <t>Tangara cyanocephala</t>
  </si>
  <si>
    <t>Tangara seledon</t>
  </si>
  <si>
    <t>Thraupis palmarum</t>
  </si>
  <si>
    <t>NSC</t>
  </si>
  <si>
    <t>Thraupis sayaca</t>
  </si>
  <si>
    <t>Value for brute fibre taken as total carbohydrate</t>
  </si>
  <si>
    <t>Ramphastos dicolorus</t>
  </si>
  <si>
    <t>Cabralea canjerana</t>
  </si>
  <si>
    <t>Baillonius bailloni</t>
  </si>
  <si>
    <t>Selenidera maculirostris</t>
  </si>
  <si>
    <t>Turdus albicollis</t>
  </si>
  <si>
    <t>Turdus rufiventris</t>
  </si>
  <si>
    <t>Tityra cayana</t>
  </si>
  <si>
    <t>Procnias nudicollis</t>
  </si>
  <si>
    <t>Calculated PDM from water percentage and fruit fresh mass</t>
  </si>
  <si>
    <t>Euphonia chlorotica</t>
  </si>
  <si>
    <t>KJ/g</t>
  </si>
  <si>
    <t>Mean for the four Phoradendron sp. Energy_fruit=KJ*PDM</t>
  </si>
  <si>
    <t>PDM</t>
  </si>
  <si>
    <t>Mean for 3 phoradendron</t>
  </si>
  <si>
    <t>FFRM of Phoradendrons</t>
  </si>
  <si>
    <t>Euphonia violacea</t>
  </si>
  <si>
    <t>Alchornea triplinervia</t>
  </si>
  <si>
    <t>KJG of Miconia</t>
  </si>
  <si>
    <t>Miconia bipulifera</t>
  </si>
  <si>
    <t>Miconia sp.1</t>
  </si>
  <si>
    <t>MINE</t>
  </si>
  <si>
    <t>Cecropia glaziovii</t>
  </si>
  <si>
    <t>GEN</t>
  </si>
  <si>
    <t>SP</t>
  </si>
  <si>
    <t>FRFM</t>
  </si>
  <si>
    <t>PDM/FFRM</t>
  </si>
  <si>
    <t>Ficus</t>
  </si>
  <si>
    <t>adhatadifolia</t>
  </si>
  <si>
    <t>benjamina</t>
  </si>
  <si>
    <t>broadwayi</t>
  </si>
  <si>
    <t>calyphoceras</t>
  </si>
  <si>
    <t>catappaefolia</t>
  </si>
  <si>
    <t>cestrifolia</t>
  </si>
  <si>
    <t>citrifolia</t>
  </si>
  <si>
    <t>cotinifolia</t>
  </si>
  <si>
    <t>enormis</t>
  </si>
  <si>
    <t>NA</t>
  </si>
  <si>
    <t>eximia</t>
  </si>
  <si>
    <t>glabrata</t>
  </si>
  <si>
    <t>gomelleira</t>
  </si>
  <si>
    <t>guarinitica</t>
  </si>
  <si>
    <t>hirsuta</t>
  </si>
  <si>
    <t>insipida</t>
  </si>
  <si>
    <t>luschnathiana</t>
  </si>
  <si>
    <t>luschnatiana</t>
  </si>
  <si>
    <t>microcarpa</t>
  </si>
  <si>
    <t>nymphaefolia</t>
  </si>
  <si>
    <t>obtusifolia</t>
  </si>
  <si>
    <t>perforata</t>
  </si>
  <si>
    <t>pertusa</t>
  </si>
  <si>
    <t>popenoei</t>
  </si>
  <si>
    <t>pulchella</t>
  </si>
  <si>
    <t>sp.</t>
  </si>
  <si>
    <t>sp.1</t>
  </si>
  <si>
    <t>sp.2</t>
  </si>
  <si>
    <t>sp.3</t>
  </si>
  <si>
    <t>sp.4</t>
  </si>
  <si>
    <t>sp.5</t>
  </si>
  <si>
    <t>spp.</t>
  </si>
  <si>
    <t>trigona</t>
  </si>
  <si>
    <t>NOT USED</t>
  </si>
  <si>
    <t>Fruit mass-seed mass = PFM, them multiplied by 1-water%=PDM</t>
  </si>
  <si>
    <t>Citharexylum myriantum</t>
  </si>
  <si>
    <t>Virola oleifera</t>
  </si>
  <si>
    <t>1st calculated PFM (Pp*FFRM) 2nd calculated PDM from water percentage and PFM</t>
  </si>
  <si>
    <t>Calculated PDM from water percentage and PFM</t>
  </si>
  <si>
    <t>Alchornea glandulosa</t>
  </si>
  <si>
    <t>Value of Cordia Curassiacava</t>
  </si>
  <si>
    <t>QUANTITY IMPUTATION DATA</t>
  </si>
  <si>
    <t>QUALITY IMPUTATION DATA</t>
  </si>
  <si>
    <t>species</t>
  </si>
  <si>
    <t>value</t>
  </si>
  <si>
    <t>how</t>
  </si>
  <si>
    <t>source</t>
  </si>
  <si>
    <t>Using same spp data</t>
  </si>
  <si>
    <t>Using congeners data</t>
  </si>
  <si>
    <t>plant species</t>
  </si>
  <si>
    <t>Citharexylum myrianthum</t>
  </si>
  <si>
    <t>Cinnamodendron dinisii</t>
  </si>
  <si>
    <t>Cryptocarya moschata</t>
  </si>
  <si>
    <t>Meliosma sinuata</t>
  </si>
  <si>
    <t>Phytolacca dioica</t>
  </si>
  <si>
    <t>Quiina glazovii</t>
  </si>
  <si>
    <t>Virola gardneri</t>
  </si>
  <si>
    <t>Myrcia pubipetala</t>
  </si>
  <si>
    <t>Protium heptaphyllum</t>
  </si>
  <si>
    <t>Sorocea ilicifolia</t>
  </si>
  <si>
    <t>Phoradendron piperoides</t>
  </si>
  <si>
    <t>Miconia cinnamomifolia</t>
  </si>
  <si>
    <t>Myrsine gardneriana</t>
  </si>
  <si>
    <t>Myrsine umbellata</t>
  </si>
  <si>
    <t>Ficus microcarpa</t>
  </si>
  <si>
    <t>Miconia minutiflora</t>
  </si>
  <si>
    <t>Miconia urophylla</t>
  </si>
  <si>
    <t>Euterpe edulis</t>
  </si>
  <si>
    <t>Schinus terebinthifolius</t>
  </si>
  <si>
    <t>Miconia albicans</t>
  </si>
  <si>
    <t>Paullinia micrantha</t>
  </si>
  <si>
    <t>Erythroxylum deciduum</t>
  </si>
  <si>
    <t>Miconia sellowiana</t>
  </si>
  <si>
    <t>Myrcia tomentosa</t>
  </si>
  <si>
    <t>Miconia tristis</t>
  </si>
  <si>
    <t>Nectandra lanceolata</t>
  </si>
  <si>
    <t>Miconia pusilliflora</t>
  </si>
  <si>
    <t>Schefflera morototoni</t>
  </si>
  <si>
    <t>Euterpe oleracea</t>
  </si>
  <si>
    <t>Matayba elaeagnoides</t>
  </si>
  <si>
    <t>Miconia chartacea</t>
  </si>
  <si>
    <t>DATA IMPUTATION NOT USED:</t>
  </si>
  <si>
    <t>Tapirira guianensis</t>
  </si>
  <si>
    <t>Myrcia fallax</t>
  </si>
  <si>
    <t>Trogon surrucura</t>
  </si>
  <si>
    <t>Trogon viridis</t>
  </si>
  <si>
    <t>Erythroxylum ambiguum</t>
  </si>
  <si>
    <t>Miconia cinerascens</t>
  </si>
  <si>
    <t>type of imputation</t>
  </si>
  <si>
    <t>1=using same spp data</t>
  </si>
  <si>
    <t>2=using congenere data</t>
  </si>
  <si>
    <t>3=using frug_capacity/FFRM</t>
  </si>
  <si>
    <t>Miconia spp.</t>
  </si>
  <si>
    <t>Phoradendron spp.</t>
  </si>
  <si>
    <t>pPDM=0.08</t>
  </si>
  <si>
    <t>pPFM=0.381</t>
  </si>
  <si>
    <t>pPFM=0.33</t>
  </si>
  <si>
    <t>pPFM=0.96</t>
  </si>
  <si>
    <t>SFM=0.3</t>
  </si>
  <si>
    <t>NSC=0.744</t>
  </si>
  <si>
    <t>pPDM=0.61</t>
  </si>
  <si>
    <t>PDM=0.0073</t>
  </si>
  <si>
    <t xml:space="preserve">Mean NSC for all Nectandra sp </t>
  </si>
  <si>
    <t>pPDM=0.67</t>
  </si>
  <si>
    <t>Melastomataceae</t>
  </si>
  <si>
    <t>Miconia</t>
  </si>
  <si>
    <t>bipulifera</t>
  </si>
  <si>
    <t>Miconia.bipulifera</t>
  </si>
  <si>
    <t>brasiliensis</t>
  </si>
  <si>
    <t>Miconia.brasiliensis</t>
  </si>
  <si>
    <t>budlejoides</t>
  </si>
  <si>
    <t>Miconia.budlejoides</t>
  </si>
  <si>
    <t>cabucu</t>
  </si>
  <si>
    <t>Miconia.cabucu</t>
  </si>
  <si>
    <t>chartacea</t>
  </si>
  <si>
    <t>Miconia.chartacea</t>
  </si>
  <si>
    <t>ciliata</t>
  </si>
  <si>
    <t>Miconia.ciliata</t>
  </si>
  <si>
    <t>cinerascens</t>
  </si>
  <si>
    <t>Miconia.cinerascens</t>
  </si>
  <si>
    <t>cinnamomifolia</t>
  </si>
  <si>
    <t>Miconia.cinnamomifolia</t>
  </si>
  <si>
    <t>collatata</t>
  </si>
  <si>
    <t>Miconia.collatata</t>
  </si>
  <si>
    <t>cubatanensis</t>
  </si>
  <si>
    <t>Miconia.cubatanensis</t>
  </si>
  <si>
    <t>cuspidata</t>
  </si>
  <si>
    <t>Miconia.cuspidata</t>
  </si>
  <si>
    <t>discolor</t>
  </si>
  <si>
    <t>Miconia.discolor</t>
  </si>
  <si>
    <t>doriana</t>
  </si>
  <si>
    <t>Miconia.doriana</t>
  </si>
  <si>
    <t>elegans</t>
  </si>
  <si>
    <t>Miconia.elegans</t>
  </si>
  <si>
    <t>fallax</t>
  </si>
  <si>
    <t>Miconia.fallax</t>
  </si>
  <si>
    <t>inconspicua</t>
  </si>
  <si>
    <t>Miconia.inconspicua</t>
  </si>
  <si>
    <t>langsdorffii</t>
  </si>
  <si>
    <t>Miconia.langsdorffii</t>
  </si>
  <si>
    <t>latecrenata</t>
  </si>
  <si>
    <t>Miconia.latecrenata</t>
  </si>
  <si>
    <t>ligustroides</t>
  </si>
  <si>
    <t>Miconia.ligustroides</t>
  </si>
  <si>
    <t>minutiflora</t>
  </si>
  <si>
    <t>Miconia.minutiflora</t>
  </si>
  <si>
    <t>pepericarpa</t>
  </si>
  <si>
    <t>Miconia.pepericarpa</t>
  </si>
  <si>
    <t>prasina</t>
  </si>
  <si>
    <t>Miconia.prasina</t>
  </si>
  <si>
    <t>pusilliflora</t>
  </si>
  <si>
    <t>Miconia.pusilliflora</t>
  </si>
  <si>
    <t>racemifera</t>
  </si>
  <si>
    <t>Miconia.racemifera</t>
  </si>
  <si>
    <t>rigidiuscula</t>
  </si>
  <si>
    <t>Miconia.rigidiuscula</t>
  </si>
  <si>
    <t>rubiginosa</t>
  </si>
  <si>
    <t>Miconia.rubiginosa</t>
  </si>
  <si>
    <t>sellowiana</t>
  </si>
  <si>
    <t>Miconia.sellowiana</t>
  </si>
  <si>
    <t>Miconia.sp.1</t>
  </si>
  <si>
    <t>Miconia.sp.2</t>
  </si>
  <si>
    <t>Miconia.sp.3</t>
  </si>
  <si>
    <t>Miconia.sp.4</t>
  </si>
  <si>
    <t>stenostachya</t>
  </si>
  <si>
    <t>Miconia.stenostachya</t>
  </si>
  <si>
    <t>theaezans</t>
  </si>
  <si>
    <t>Miconia.theaezans</t>
  </si>
  <si>
    <t>theizans</t>
  </si>
  <si>
    <t>Miconia.theizans</t>
  </si>
  <si>
    <t>tristis</t>
  </si>
  <si>
    <t>Miconia.tristis</t>
  </si>
  <si>
    <t>valt+C647herii</t>
  </si>
  <si>
    <t>Miconia.valt+C647herii</t>
  </si>
  <si>
    <t>FAM</t>
  </si>
  <si>
    <t>Santalaceae</t>
  </si>
  <si>
    <t>Phoradendron</t>
  </si>
  <si>
    <t>californicum</t>
  </si>
  <si>
    <t>jenmanii</t>
  </si>
  <si>
    <t>robustissimum</t>
  </si>
  <si>
    <t>serotinum</t>
  </si>
  <si>
    <t>KJG</t>
  </si>
  <si>
    <t>Mean for 2 Miconias</t>
  </si>
  <si>
    <t>Mean fo 5 Myrsine sp.</t>
  </si>
  <si>
    <t>PROT=0.05</t>
  </si>
  <si>
    <t>NSC=0.205</t>
  </si>
  <si>
    <t>KJ/G=21.045</t>
  </si>
  <si>
    <t>variable of interest</t>
  </si>
  <si>
    <t>Value of Alchornea glandulosa (PFM/FFM)</t>
  </si>
  <si>
    <t>Value of Cecropia pachystachia (PDM/FFM)</t>
  </si>
  <si>
    <t>Mean of PDM/FFRM from 17 Miconia species available (PDM/FFM)</t>
  </si>
  <si>
    <t>Using Sloanea monosperma data (PDM/PFM)</t>
  </si>
  <si>
    <t>White, S.C. (1974)</t>
  </si>
  <si>
    <t>Beehler, B. (1983)</t>
  </si>
  <si>
    <t>Pannell, C.M. and M.J. Koziol (1987)</t>
  </si>
  <si>
    <t>REFERENCE</t>
  </si>
  <si>
    <t>Growth habit</t>
  </si>
  <si>
    <t>Fruit type</t>
  </si>
  <si>
    <t>Color</t>
  </si>
  <si>
    <t>CompColor</t>
  </si>
  <si>
    <t>Disperser type category</t>
  </si>
  <si>
    <t>Disperser type</t>
  </si>
  <si>
    <t>Area</t>
  </si>
  <si>
    <t>Lauraceae</t>
  </si>
  <si>
    <t>Nectandra</t>
  </si>
  <si>
    <t>davidsoniana</t>
  </si>
  <si>
    <t>gentlei</t>
  </si>
  <si>
    <t>hypoglauca</t>
  </si>
  <si>
    <t>salicina1</t>
  </si>
  <si>
    <t>salicina2</t>
  </si>
  <si>
    <t>sp.nc</t>
  </si>
  <si>
    <t>sp.nv</t>
  </si>
  <si>
    <t>Primulaceae</t>
  </si>
  <si>
    <t>Myrsine</t>
  </si>
  <si>
    <t>coriacea</t>
  </si>
  <si>
    <t>Erica &amp; Wesley, unpubl.</t>
  </si>
  <si>
    <t>gardneriana</t>
  </si>
  <si>
    <t>parvifolia</t>
  </si>
  <si>
    <t>Gomes et al. 2010</t>
  </si>
  <si>
    <t>rubra</t>
  </si>
  <si>
    <t>umbellata</t>
  </si>
  <si>
    <t>Cazetta 2007</t>
  </si>
  <si>
    <t>venosa</t>
  </si>
  <si>
    <t>crassifolium</t>
  </si>
  <si>
    <t>Phoradendron.crassifolium</t>
  </si>
  <si>
    <t>Motta Jr. 1981</t>
  </si>
  <si>
    <t>Passos &amp; Oliveira 2003</t>
  </si>
  <si>
    <t>Souza 2004</t>
  </si>
  <si>
    <t>hexastichum</t>
  </si>
  <si>
    <t>Phoradendron.hexastichum</t>
  </si>
  <si>
    <t>inaequidentatum</t>
  </si>
  <si>
    <t>Phoradendron.inaequidentatum</t>
  </si>
  <si>
    <t>Phoradendron.robustissimum</t>
  </si>
  <si>
    <t>rubrum</t>
  </si>
  <si>
    <t>Cazetta 2002</t>
  </si>
  <si>
    <t>selloi</t>
  </si>
  <si>
    <t>Phoradendron.selloi</t>
  </si>
  <si>
    <t>Gondim 2002</t>
  </si>
  <si>
    <t>Phoradendron.sp.</t>
  </si>
  <si>
    <t>Donatti 2011</t>
  </si>
  <si>
    <t>1 value (etimation c)</t>
  </si>
  <si>
    <t>Erica&amp;Wesley</t>
  </si>
  <si>
    <t>1 value (etimation s-s)</t>
  </si>
  <si>
    <t>Ref</t>
  </si>
  <si>
    <t>S_ENERGY</t>
  </si>
  <si>
    <t>Cinnamomum.neurophyllum</t>
  </si>
  <si>
    <t>Cinnamomum.triplinerve</t>
  </si>
  <si>
    <t>Cecropia pachystachia</t>
  </si>
  <si>
    <t>1 value</t>
  </si>
  <si>
    <t>Eugenia umbelliflora</t>
  </si>
  <si>
    <t>Eugenia uniflora</t>
  </si>
  <si>
    <t>Copaifera.langsdorffii</t>
  </si>
  <si>
    <t>Intervales_morfo</t>
  </si>
  <si>
    <t>FFM</t>
  </si>
  <si>
    <t>SE_PDM</t>
  </si>
  <si>
    <t>Alchornea.glandulosa</t>
  </si>
  <si>
    <t>Erythroxylum.ambiguum</t>
  </si>
  <si>
    <t>Erythroxylum.amplifolium</t>
  </si>
  <si>
    <t>Erythroxylum.argentinum</t>
  </si>
  <si>
    <t>ATLANTIC</t>
  </si>
  <si>
    <t>Erythroxylum.campestre</t>
  </si>
  <si>
    <t>Camargo 2014</t>
  </si>
  <si>
    <t>MA Pizo_unpubl.</t>
  </si>
  <si>
    <t>Erythroxylum.cuneifolium</t>
  </si>
  <si>
    <t>Erythroxylum.deciduum</t>
  </si>
  <si>
    <t>Erythroxylum.gonocladum</t>
  </si>
  <si>
    <t>Erythroxylum.pelleterianum</t>
  </si>
  <si>
    <t>Erythroxylum.pulchrum</t>
  </si>
  <si>
    <t>Alves 2008</t>
  </si>
  <si>
    <t>Erythroxylum.suberosum</t>
  </si>
  <si>
    <t>Erythroxylum.tortuosum</t>
  </si>
  <si>
    <t>Cupania.emarginata</t>
  </si>
  <si>
    <t>Angel-de-Oliveira 1999</t>
  </si>
  <si>
    <t>Cupania.oblongifolia</t>
  </si>
  <si>
    <t>Correia 1997</t>
  </si>
  <si>
    <t>SDM</t>
  </si>
  <si>
    <t>PFM</t>
  </si>
  <si>
    <t>Eugenia.sp.3</t>
  </si>
  <si>
    <t>Eugenia.sp.b</t>
  </si>
  <si>
    <t>Eugenia.sulcata</t>
  </si>
  <si>
    <t>Eugenia.umbelliflora</t>
  </si>
  <si>
    <t>Eugenia.uniflora</t>
  </si>
  <si>
    <t>Seed Fate: Predation, Dispersal, and Seedling Establishment Escrito por J. E. Lambert, P. E. Hulme, S. B. Vander Wall</t>
  </si>
  <si>
    <r>
      <t xml:space="preserve">Galetti, M., Pizo, M. A., &amp; Morellato, L. P. C. (2011). Diversity of functional traits of fleshy fruits in a species-rich Atlantic rain forest. </t>
    </r>
    <r>
      <rPr>
        <i/>
        <sz val="12"/>
        <color theme="1"/>
        <rFont val="Calibri"/>
        <family val="2"/>
        <scheme val="minor"/>
      </rPr>
      <t>Biota Neotropica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11</t>
    </r>
    <r>
      <rPr>
        <sz val="12"/>
        <color theme="1"/>
        <rFont val="Calibri"/>
        <family val="2"/>
        <scheme val="minor"/>
      </rPr>
      <t>(1), 0–13. https://doi.org/10.1590/S1676-06032011000100019</t>
    </r>
  </si>
  <si>
    <t>Magnolia ovata</t>
  </si>
  <si>
    <t>Myrsine.coriacea</t>
  </si>
  <si>
    <t>Kindel 1996</t>
  </si>
  <si>
    <t>Myrsine.gardneriana</t>
  </si>
  <si>
    <t>Myrsine.guianensis</t>
  </si>
  <si>
    <t>Myrsine.lancifolia</t>
  </si>
  <si>
    <t>Myrsine.sp.</t>
  </si>
  <si>
    <t>Clóvis Azambuja, unpubl.</t>
  </si>
  <si>
    <t>Myrsine.umbellata</t>
  </si>
  <si>
    <t>Myrsine.venosa</t>
  </si>
  <si>
    <t>Krugel</t>
  </si>
  <si>
    <t>Cinnamomum triplinerve</t>
  </si>
  <si>
    <t>FFM_SE</t>
  </si>
  <si>
    <t>PFM_SE</t>
  </si>
  <si>
    <t>Cupania spp</t>
  </si>
  <si>
    <t>Erythroxylum spp</t>
  </si>
  <si>
    <t>Myrsine spp</t>
  </si>
  <si>
    <t>Eugenia spp</t>
  </si>
  <si>
    <t>Ocotea.pulchella</t>
  </si>
  <si>
    <t>Protium.heptaphyllum</t>
  </si>
  <si>
    <t>Cecropia sp</t>
  </si>
  <si>
    <r>
      <t xml:space="preserve">Athiê, S., &amp; Dias, M. M. (2012). Frugivoria por aves em um mosaico de Floresta Estacional Semidecidual e reflorestamento misto em Rio Claro, São Paulo, Brasil. </t>
    </r>
    <r>
      <rPr>
        <i/>
        <sz val="12"/>
        <color theme="1"/>
        <rFont val="Calibri"/>
        <family val="2"/>
        <scheme val="minor"/>
      </rPr>
      <t>Acta Botanica Brasilica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26</t>
    </r>
    <r>
      <rPr>
        <sz val="12"/>
        <color theme="1"/>
        <rFont val="Calibri"/>
        <family val="2"/>
        <scheme val="minor"/>
      </rPr>
      <t>(1), 84–93. https://doi.org/10.1590/S0102-33062012000100010</t>
    </r>
  </si>
  <si>
    <t>Schefflera.angustissima</t>
  </si>
  <si>
    <t>Schefflera.decaphylla</t>
  </si>
  <si>
    <t>Schefflera.macrocarpa</t>
  </si>
  <si>
    <t>Schefflera.morototoni</t>
  </si>
  <si>
    <t>Castro 2001</t>
  </si>
  <si>
    <t>Schinus.terebinthifolius</t>
  </si>
  <si>
    <t>Krugel &amp; Behr 1998</t>
  </si>
  <si>
    <t>Schefflera spp</t>
  </si>
  <si>
    <t>Sloanes guinaensis</t>
  </si>
  <si>
    <t>Sloanea guinaenesis</t>
  </si>
  <si>
    <t>Pp de Sloanea monosperma (marco Aurelio fruit traits</t>
  </si>
  <si>
    <t>Tapirira.guianensis</t>
  </si>
  <si>
    <t>Santana et al. 2013</t>
  </si>
  <si>
    <t>Trema micrantha</t>
  </si>
  <si>
    <t>Virola bicuhyba</t>
  </si>
  <si>
    <t>Virola sebifera</t>
  </si>
  <si>
    <t>FRUIT_ENERGY</t>
  </si>
  <si>
    <t>Pizo &amp; Oliveira 2001</t>
  </si>
  <si>
    <t>Pizo &amp; Oliveira (2001)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</si>
</sst>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Verdana"/>
      <family val="2"/>
    </font>
    <font>
      <i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rgb="FFDCE6F1"/>
      </top>
      <bottom style="thin">
        <color rgb="FFDCE6F1"/>
      </bottom>
      <diagonal/>
    </border>
  </borders>
  <cellStyleXfs count="15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/>
    <xf numFmtId="2" fontId="2" fillId="0" borderId="0" xfId="0" applyNumberFormat="1" applyFont="1" applyFill="1"/>
    <xf numFmtId="2" fontId="0" fillId="0" borderId="0" xfId="0" applyNumberFormat="1" applyFill="1"/>
    <xf numFmtId="164" fontId="2" fillId="0" borderId="0" xfId="0" applyNumberFormat="1" applyFont="1" applyFill="1"/>
    <xf numFmtId="2" fontId="3" fillId="0" borderId="0" xfId="0" applyNumberFormat="1" applyFont="1"/>
    <xf numFmtId="0" fontId="2" fillId="0" borderId="0" xfId="0" applyFont="1" applyFill="1"/>
    <xf numFmtId="0" fontId="0" fillId="0" borderId="0" xfId="0" applyFont="1" applyFill="1"/>
    <xf numFmtId="164" fontId="6" fillId="0" borderId="0" xfId="0" applyNumberFormat="1" applyFont="1" applyFill="1" applyAlignment="1">
      <alignment horizontal="right"/>
    </xf>
    <xf numFmtId="165" fontId="0" fillId="0" borderId="0" xfId="0" applyNumberFormat="1" applyFont="1" applyFill="1" applyAlignment="1">
      <alignment horizontal="right"/>
    </xf>
    <xf numFmtId="164" fontId="7" fillId="0" borderId="0" xfId="0" applyNumberFormat="1" applyFont="1" applyAlignment="1">
      <alignment horizontal="right"/>
    </xf>
    <xf numFmtId="164" fontId="1" fillId="0" borderId="0" xfId="0" applyNumberFormat="1" applyFont="1" applyFill="1"/>
    <xf numFmtId="2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left"/>
    </xf>
    <xf numFmtId="2" fontId="0" fillId="0" borderId="0" xfId="0" applyNumberFormat="1"/>
    <xf numFmtId="0" fontId="8" fillId="0" borderId="0" xfId="0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6" fillId="0" borderId="0" xfId="0" applyFont="1" applyFill="1"/>
    <xf numFmtId="166" fontId="6" fillId="0" borderId="0" xfId="0" applyNumberFormat="1" applyFont="1" applyFill="1" applyAlignment="1">
      <alignment horizontal="right"/>
    </xf>
    <xf numFmtId="0" fontId="9" fillId="0" borderId="0" xfId="117" applyFill="1"/>
    <xf numFmtId="0" fontId="0" fillId="0" borderId="0" xfId="0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117" applyFont="1" applyFill="1"/>
    <xf numFmtId="0" fontId="1" fillId="0" borderId="0" xfId="0" applyFont="1" applyFill="1"/>
    <xf numFmtId="0" fontId="1" fillId="2" borderId="0" xfId="0" applyFont="1" applyFill="1"/>
    <xf numFmtId="0" fontId="0" fillId="0" borderId="1" xfId="0" applyFont="1" applyBorder="1" applyAlignment="1">
      <alignment horizontal="left" indent="1"/>
    </xf>
    <xf numFmtId="0" fontId="10" fillId="0" borderId="0" xfId="0" applyFont="1" applyFill="1"/>
    <xf numFmtId="0" fontId="10" fillId="0" borderId="0" xfId="0" applyFont="1"/>
    <xf numFmtId="0" fontId="12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 indent="1"/>
    </xf>
    <xf numFmtId="0" fontId="11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indent="1"/>
    </xf>
    <xf numFmtId="1" fontId="12" fillId="3" borderId="2" xfId="0" applyNumberFormat="1" applyFont="1" applyFill="1" applyBorder="1"/>
    <xf numFmtId="1" fontId="3" fillId="0" borderId="2" xfId="0" applyNumberFormat="1" applyFont="1" applyBorder="1"/>
    <xf numFmtId="0" fontId="0" fillId="0" borderId="0" xfId="0" applyFont="1" applyFill="1" applyBorder="1"/>
    <xf numFmtId="0" fontId="13" fillId="0" borderId="0" xfId="0" applyFont="1" applyFill="1"/>
    <xf numFmtId="0" fontId="7" fillId="0" borderId="0" xfId="0" applyFont="1"/>
    <xf numFmtId="2" fontId="14" fillId="0" borderId="0" xfId="0" applyNumberFormat="1" applyFont="1" applyAlignment="1">
      <alignment horizontal="center"/>
    </xf>
    <xf numFmtId="2" fontId="1" fillId="0" borderId="0" xfId="0" applyNumberFormat="1" applyFont="1"/>
    <xf numFmtId="164" fontId="7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164" fontId="14" fillId="0" borderId="0" xfId="0" applyNumberFormat="1" applyFont="1" applyBorder="1" applyAlignment="1">
      <alignment horizontal="center"/>
    </xf>
    <xf numFmtId="0" fontId="14" fillId="0" borderId="0" xfId="0" applyFont="1"/>
    <xf numFmtId="164" fontId="1" fillId="0" borderId="0" xfId="0" applyNumberFormat="1" applyFont="1"/>
    <xf numFmtId="164" fontId="6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/>
    <xf numFmtId="165" fontId="7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1" fontId="0" fillId="0" borderId="0" xfId="0" applyNumberFormat="1" applyFill="1"/>
    <xf numFmtId="164" fontId="0" fillId="0" borderId="0" xfId="0" applyNumberFormat="1" applyFill="1" applyAlignment="1"/>
    <xf numFmtId="165" fontId="10" fillId="0" borderId="0" xfId="0" applyNumberFormat="1" applyFont="1" applyFill="1" applyAlignment="1">
      <alignment horizontal="right"/>
    </xf>
    <xf numFmtId="165" fontId="0" fillId="0" borderId="0" xfId="0" applyNumberFormat="1"/>
    <xf numFmtId="165" fontId="10" fillId="0" borderId="0" xfId="0" applyNumberFormat="1" applyFont="1"/>
    <xf numFmtId="0" fontId="0" fillId="0" borderId="0" xfId="0" applyFont="1"/>
    <xf numFmtId="0" fontId="0" fillId="4" borderId="0" xfId="0" applyFill="1"/>
    <xf numFmtId="165" fontId="1" fillId="0" borderId="0" xfId="0" applyNumberFormat="1" applyFont="1"/>
    <xf numFmtId="0" fontId="16" fillId="0" borderId="0" xfId="0" applyFont="1"/>
  </cellXfs>
  <cellStyles count="15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Normal" xfId="0" builtinId="0"/>
    <cellStyle name="Normal 2" xfId="117" xr:uid="{00000000-0005-0000-0000-00009D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9"/>
  <sheetViews>
    <sheetView workbookViewId="0">
      <selection activeCell="D10" sqref="D10"/>
    </sheetView>
  </sheetViews>
  <sheetFormatPr baseColWidth="10" defaultRowHeight="16" x14ac:dyDescent="0.2"/>
  <cols>
    <col min="1" max="1" width="26.6640625" bestFit="1" customWidth="1"/>
    <col min="2" max="2" width="16.5" bestFit="1" customWidth="1"/>
  </cols>
  <sheetData>
    <row r="1" spans="1:12" x14ac:dyDescent="0.2">
      <c r="A1" s="28" t="s">
        <v>107</v>
      </c>
      <c r="F1" s="30" t="s">
        <v>155</v>
      </c>
    </row>
    <row r="2" spans="1:12" x14ac:dyDescent="0.2">
      <c r="A2" t="s">
        <v>115</v>
      </c>
      <c r="B2" t="s">
        <v>154</v>
      </c>
      <c r="F2" s="31" t="s">
        <v>156</v>
      </c>
    </row>
    <row r="3" spans="1:12" x14ac:dyDescent="0.2">
      <c r="A3" s="32" t="s">
        <v>28</v>
      </c>
      <c r="B3" s="36"/>
      <c r="F3" s="31" t="s">
        <v>157</v>
      </c>
      <c r="G3" s="2"/>
      <c r="I3" s="2"/>
      <c r="J3" s="2"/>
      <c r="K3" s="2"/>
      <c r="L3" s="2"/>
    </row>
    <row r="4" spans="1:12" x14ac:dyDescent="0.2">
      <c r="A4" s="33" t="s">
        <v>60</v>
      </c>
      <c r="B4" s="37">
        <v>1</v>
      </c>
      <c r="G4" s="5"/>
      <c r="I4" s="5"/>
      <c r="J4" s="5"/>
      <c r="K4" s="5"/>
      <c r="L4" s="5"/>
    </row>
    <row r="5" spans="1:12" x14ac:dyDescent="0.2">
      <c r="A5" s="33" t="s">
        <v>116</v>
      </c>
      <c r="B5" s="37">
        <v>3</v>
      </c>
    </row>
    <row r="6" spans="1:12" x14ac:dyDescent="0.2">
      <c r="A6" s="33" t="s">
        <v>21</v>
      </c>
      <c r="B6" s="37">
        <v>3</v>
      </c>
    </row>
    <row r="7" spans="1:12" x14ac:dyDescent="0.2">
      <c r="A7" s="33" t="s">
        <v>133</v>
      </c>
      <c r="B7" s="37">
        <v>1</v>
      </c>
      <c r="G7" s="3"/>
    </row>
    <row r="8" spans="1:12" x14ac:dyDescent="0.2">
      <c r="A8" s="33" t="s">
        <v>22</v>
      </c>
      <c r="B8" s="37">
        <v>3</v>
      </c>
      <c r="G8" s="3"/>
    </row>
    <row r="9" spans="1:12" x14ac:dyDescent="0.2">
      <c r="A9" s="33" t="s">
        <v>102</v>
      </c>
      <c r="B9" s="37">
        <v>2</v>
      </c>
    </row>
    <row r="10" spans="1:12" x14ac:dyDescent="0.2">
      <c r="A10" s="33" t="s">
        <v>117</v>
      </c>
      <c r="B10" s="37">
        <v>3</v>
      </c>
    </row>
    <row r="11" spans="1:12" x14ac:dyDescent="0.2">
      <c r="A11" s="33" t="s">
        <v>24</v>
      </c>
      <c r="B11" s="37">
        <v>3</v>
      </c>
    </row>
    <row r="12" spans="1:12" x14ac:dyDescent="0.2">
      <c r="A12" s="33" t="s">
        <v>118</v>
      </c>
      <c r="B12" s="37">
        <v>3</v>
      </c>
      <c r="G12" s="2"/>
    </row>
    <row r="13" spans="1:12" x14ac:dyDescent="0.2">
      <c r="A13" s="33" t="s">
        <v>25</v>
      </c>
      <c r="B13" s="37">
        <v>3</v>
      </c>
      <c r="G13" s="2"/>
    </row>
    <row r="14" spans="1:12" x14ac:dyDescent="0.2">
      <c r="A14" s="33" t="s">
        <v>119</v>
      </c>
      <c r="B14" s="37">
        <v>3</v>
      </c>
      <c r="G14" s="2"/>
    </row>
    <row r="15" spans="1:12" x14ac:dyDescent="0.2">
      <c r="A15" s="33" t="s">
        <v>120</v>
      </c>
      <c r="B15" s="37">
        <v>3</v>
      </c>
    </row>
    <row r="16" spans="1:12" x14ac:dyDescent="0.2">
      <c r="A16" s="33" t="s">
        <v>121</v>
      </c>
      <c r="B16" s="37">
        <v>3</v>
      </c>
    </row>
    <row r="17" spans="1:2" x14ac:dyDescent="0.2">
      <c r="A17" s="33" t="s">
        <v>122</v>
      </c>
      <c r="B17" s="37">
        <v>3</v>
      </c>
    </row>
    <row r="18" spans="1:2" x14ac:dyDescent="0.2">
      <c r="A18" s="32" t="s">
        <v>41</v>
      </c>
      <c r="B18" s="36"/>
    </row>
    <row r="19" spans="1:2" x14ac:dyDescent="0.2">
      <c r="A19" s="33" t="s">
        <v>40</v>
      </c>
      <c r="B19" s="37">
        <v>3</v>
      </c>
    </row>
    <row r="20" spans="1:2" x14ac:dyDescent="0.2">
      <c r="A20" s="33" t="s">
        <v>133</v>
      </c>
      <c r="B20" s="37">
        <v>1</v>
      </c>
    </row>
    <row r="21" spans="1:2" x14ac:dyDescent="0.2">
      <c r="A21" s="33" t="s">
        <v>102</v>
      </c>
      <c r="B21" s="37">
        <v>2</v>
      </c>
    </row>
    <row r="22" spans="1:2" x14ac:dyDescent="0.2">
      <c r="A22" s="32" t="s">
        <v>48</v>
      </c>
      <c r="B22" s="36"/>
    </row>
    <row r="23" spans="1:2" x14ac:dyDescent="0.2">
      <c r="A23" s="33" t="s">
        <v>126</v>
      </c>
      <c r="B23" s="37">
        <v>2</v>
      </c>
    </row>
    <row r="24" spans="1:2" x14ac:dyDescent="0.2">
      <c r="A24" s="33" t="s">
        <v>124</v>
      </c>
      <c r="B24" s="37">
        <v>1</v>
      </c>
    </row>
    <row r="25" spans="1:2" x14ac:dyDescent="0.2">
      <c r="A25" s="32" t="s">
        <v>54</v>
      </c>
      <c r="B25" s="36"/>
    </row>
    <row r="26" spans="1:2" x14ac:dyDescent="0.2">
      <c r="A26" s="33" t="s">
        <v>126</v>
      </c>
      <c r="B26" s="37">
        <v>2</v>
      </c>
    </row>
    <row r="27" spans="1:2" x14ac:dyDescent="0.2">
      <c r="A27" s="33" t="s">
        <v>124</v>
      </c>
      <c r="B27" s="37">
        <v>1</v>
      </c>
    </row>
    <row r="28" spans="1:2" x14ac:dyDescent="0.2">
      <c r="A28" s="33" t="s">
        <v>127</v>
      </c>
      <c r="B28" s="37">
        <v>2</v>
      </c>
    </row>
    <row r="29" spans="1:2" x14ac:dyDescent="0.2">
      <c r="A29" s="32" t="s">
        <v>29</v>
      </c>
      <c r="B29" s="36"/>
    </row>
    <row r="30" spans="1:2" x14ac:dyDescent="0.2">
      <c r="A30" s="33" t="s">
        <v>133</v>
      </c>
      <c r="B30" s="37">
        <v>1</v>
      </c>
    </row>
    <row r="31" spans="1:2" x14ac:dyDescent="0.2">
      <c r="A31" s="33" t="s">
        <v>22</v>
      </c>
      <c r="B31" s="37">
        <v>3</v>
      </c>
    </row>
    <row r="32" spans="1:2" x14ac:dyDescent="0.2">
      <c r="A32" s="33" t="s">
        <v>123</v>
      </c>
      <c r="B32" s="37">
        <v>3</v>
      </c>
    </row>
    <row r="33" spans="1:2" x14ac:dyDescent="0.2">
      <c r="A33" s="33" t="s">
        <v>121</v>
      </c>
      <c r="B33" s="37">
        <v>3</v>
      </c>
    </row>
    <row r="34" spans="1:2" x14ac:dyDescent="0.2">
      <c r="A34" s="32" t="s">
        <v>46</v>
      </c>
      <c r="B34" s="36"/>
    </row>
    <row r="35" spans="1:2" x14ac:dyDescent="0.2">
      <c r="A35" s="33" t="s">
        <v>133</v>
      </c>
      <c r="B35" s="37">
        <v>1</v>
      </c>
    </row>
    <row r="36" spans="1:2" x14ac:dyDescent="0.2">
      <c r="A36" s="33" t="s">
        <v>124</v>
      </c>
      <c r="B36" s="37">
        <v>3</v>
      </c>
    </row>
    <row r="37" spans="1:2" x14ac:dyDescent="0.2">
      <c r="A37" s="33" t="s">
        <v>125</v>
      </c>
      <c r="B37" s="37">
        <v>3</v>
      </c>
    </row>
    <row r="38" spans="1:2" x14ac:dyDescent="0.2">
      <c r="A38" s="33" t="s">
        <v>102</v>
      </c>
      <c r="B38" s="37">
        <v>3</v>
      </c>
    </row>
    <row r="39" spans="1:2" x14ac:dyDescent="0.2">
      <c r="A39" s="32" t="s">
        <v>39</v>
      </c>
      <c r="B39" s="36"/>
    </row>
    <row r="40" spans="1:2" x14ac:dyDescent="0.2">
      <c r="A40" s="33" t="s">
        <v>40</v>
      </c>
      <c r="B40" s="37">
        <v>2</v>
      </c>
    </row>
    <row r="41" spans="1:2" x14ac:dyDescent="0.2">
      <c r="A41" s="33" t="s">
        <v>60</v>
      </c>
      <c r="B41" s="37">
        <v>1</v>
      </c>
    </row>
    <row r="42" spans="1:2" x14ac:dyDescent="0.2">
      <c r="A42" s="33" t="s">
        <v>133</v>
      </c>
      <c r="B42" s="37">
        <v>1</v>
      </c>
    </row>
    <row r="43" spans="1:2" x14ac:dyDescent="0.2">
      <c r="A43" s="33" t="s">
        <v>102</v>
      </c>
      <c r="B43" s="37">
        <v>2</v>
      </c>
    </row>
    <row r="44" spans="1:2" x14ac:dyDescent="0.2">
      <c r="A44" s="33" t="s">
        <v>127</v>
      </c>
      <c r="B44" s="37">
        <v>2</v>
      </c>
    </row>
    <row r="45" spans="1:2" x14ac:dyDescent="0.2">
      <c r="A45" s="32" t="s">
        <v>42</v>
      </c>
      <c r="B45" s="36"/>
    </row>
    <row r="46" spans="1:2" x14ac:dyDescent="0.2">
      <c r="A46" s="33" t="s">
        <v>40</v>
      </c>
      <c r="B46" s="37">
        <v>3</v>
      </c>
    </row>
    <row r="47" spans="1:2" x14ac:dyDescent="0.2">
      <c r="A47" s="33" t="s">
        <v>60</v>
      </c>
      <c r="B47" s="37">
        <v>1</v>
      </c>
    </row>
    <row r="48" spans="1:2" x14ac:dyDescent="0.2">
      <c r="A48" s="33" t="s">
        <v>133</v>
      </c>
      <c r="B48" s="37">
        <v>1</v>
      </c>
    </row>
    <row r="49" spans="1:2" x14ac:dyDescent="0.2">
      <c r="A49" s="33" t="s">
        <v>102</v>
      </c>
      <c r="B49" s="37">
        <v>2</v>
      </c>
    </row>
    <row r="50" spans="1:2" x14ac:dyDescent="0.2">
      <c r="A50" s="32" t="s">
        <v>32</v>
      </c>
      <c r="B50" s="36"/>
    </row>
    <row r="51" spans="1:2" x14ac:dyDescent="0.2">
      <c r="A51" s="33" t="s">
        <v>128</v>
      </c>
      <c r="B51" s="37">
        <v>2</v>
      </c>
    </row>
    <row r="52" spans="1:2" x14ac:dyDescent="0.2">
      <c r="A52" s="33" t="s">
        <v>129</v>
      </c>
      <c r="B52" s="37">
        <v>2</v>
      </c>
    </row>
    <row r="53" spans="1:2" x14ac:dyDescent="0.2">
      <c r="A53" s="33" t="s">
        <v>124</v>
      </c>
      <c r="B53" s="37">
        <v>2</v>
      </c>
    </row>
    <row r="54" spans="1:2" x14ac:dyDescent="0.2">
      <c r="A54" s="33" t="s">
        <v>148</v>
      </c>
      <c r="B54" s="37">
        <v>1</v>
      </c>
    </row>
    <row r="55" spans="1:2" x14ac:dyDescent="0.2">
      <c r="A55" s="33" t="s">
        <v>8</v>
      </c>
      <c r="B55" s="37">
        <v>1</v>
      </c>
    </row>
    <row r="56" spans="1:2" x14ac:dyDescent="0.2">
      <c r="A56" s="33" t="s">
        <v>130</v>
      </c>
      <c r="B56" s="37">
        <v>2</v>
      </c>
    </row>
    <row r="57" spans="1:2" x14ac:dyDescent="0.2">
      <c r="A57" s="33" t="s">
        <v>131</v>
      </c>
      <c r="B57" s="37">
        <v>2</v>
      </c>
    </row>
    <row r="58" spans="1:2" x14ac:dyDescent="0.2">
      <c r="A58" s="33" t="s">
        <v>132</v>
      </c>
      <c r="B58" s="37">
        <v>2</v>
      </c>
    </row>
    <row r="59" spans="1:2" x14ac:dyDescent="0.2">
      <c r="A59" s="32" t="s">
        <v>33</v>
      </c>
      <c r="B59" s="36"/>
    </row>
    <row r="60" spans="1:2" x14ac:dyDescent="0.2">
      <c r="A60" s="33" t="s">
        <v>133</v>
      </c>
      <c r="B60" s="37">
        <v>2</v>
      </c>
    </row>
    <row r="61" spans="1:2" x14ac:dyDescent="0.2">
      <c r="A61" s="33" t="s">
        <v>17</v>
      </c>
      <c r="B61" s="37">
        <v>1</v>
      </c>
    </row>
    <row r="62" spans="1:2" x14ac:dyDescent="0.2">
      <c r="A62" s="33" t="s">
        <v>129</v>
      </c>
      <c r="B62" s="37">
        <v>2</v>
      </c>
    </row>
    <row r="63" spans="1:2" x14ac:dyDescent="0.2">
      <c r="A63" s="33" t="s">
        <v>134</v>
      </c>
      <c r="B63" s="37">
        <v>2</v>
      </c>
    </row>
    <row r="64" spans="1:2" x14ac:dyDescent="0.2">
      <c r="A64" s="33" t="s">
        <v>135</v>
      </c>
      <c r="B64" s="37">
        <v>2</v>
      </c>
    </row>
    <row r="65" spans="1:2" x14ac:dyDescent="0.2">
      <c r="A65" s="33" t="s">
        <v>127</v>
      </c>
      <c r="B65" s="37">
        <v>2</v>
      </c>
    </row>
    <row r="66" spans="1:2" x14ac:dyDescent="0.2">
      <c r="A66" s="32" t="s">
        <v>34</v>
      </c>
      <c r="B66" s="36"/>
    </row>
    <row r="67" spans="1:2" x14ac:dyDescent="0.2">
      <c r="A67" s="33" t="s">
        <v>133</v>
      </c>
      <c r="B67" s="37">
        <v>1</v>
      </c>
    </row>
    <row r="68" spans="1:2" x14ac:dyDescent="0.2">
      <c r="A68" s="33" t="s">
        <v>127</v>
      </c>
      <c r="B68" s="37">
        <v>2</v>
      </c>
    </row>
    <row r="69" spans="1:2" x14ac:dyDescent="0.2">
      <c r="A69" s="32" t="s">
        <v>35</v>
      </c>
      <c r="B69" s="36"/>
    </row>
    <row r="70" spans="1:2" x14ac:dyDescent="0.2">
      <c r="A70" s="33" t="s">
        <v>21</v>
      </c>
      <c r="B70" s="37">
        <v>2</v>
      </c>
    </row>
    <row r="71" spans="1:2" x14ac:dyDescent="0.2">
      <c r="A71" s="33" t="s">
        <v>128</v>
      </c>
      <c r="B71" s="37">
        <v>2</v>
      </c>
    </row>
    <row r="72" spans="1:2" x14ac:dyDescent="0.2">
      <c r="A72" s="33" t="s">
        <v>124</v>
      </c>
      <c r="B72" s="37">
        <v>1</v>
      </c>
    </row>
    <row r="73" spans="1:2" x14ac:dyDescent="0.2">
      <c r="A73" s="33" t="s">
        <v>143</v>
      </c>
      <c r="B73" s="37">
        <v>1</v>
      </c>
    </row>
    <row r="74" spans="1:2" x14ac:dyDescent="0.2">
      <c r="A74" s="33" t="s">
        <v>134</v>
      </c>
      <c r="B74" s="37">
        <v>2</v>
      </c>
    </row>
    <row r="75" spans="1:2" x14ac:dyDescent="0.2">
      <c r="A75" s="33" t="s">
        <v>148</v>
      </c>
      <c r="B75" s="37">
        <v>1</v>
      </c>
    </row>
    <row r="76" spans="1:2" x14ac:dyDescent="0.2">
      <c r="A76" s="33" t="s">
        <v>135</v>
      </c>
      <c r="B76" s="37">
        <v>2</v>
      </c>
    </row>
    <row r="77" spans="1:2" x14ac:dyDescent="0.2">
      <c r="A77" s="33" t="s">
        <v>127</v>
      </c>
      <c r="B77" s="37">
        <v>2</v>
      </c>
    </row>
    <row r="78" spans="1:2" x14ac:dyDescent="0.2">
      <c r="A78" s="33" t="s">
        <v>131</v>
      </c>
      <c r="B78" s="37">
        <v>2</v>
      </c>
    </row>
    <row r="79" spans="1:2" x14ac:dyDescent="0.2">
      <c r="A79" s="33" t="s">
        <v>149</v>
      </c>
      <c r="B79" s="37">
        <v>1</v>
      </c>
    </row>
    <row r="80" spans="1:2" x14ac:dyDescent="0.2">
      <c r="A80" s="33" t="s">
        <v>136</v>
      </c>
      <c r="B80" s="37">
        <v>2</v>
      </c>
    </row>
    <row r="81" spans="1:2" x14ac:dyDescent="0.2">
      <c r="A81" s="32" t="s">
        <v>37</v>
      </c>
      <c r="B81" s="36"/>
    </row>
    <row r="82" spans="1:2" x14ac:dyDescent="0.2">
      <c r="A82" s="33" t="s">
        <v>60</v>
      </c>
      <c r="B82" s="37">
        <v>1</v>
      </c>
    </row>
    <row r="83" spans="1:2" x14ac:dyDescent="0.2">
      <c r="A83" s="33" t="s">
        <v>116</v>
      </c>
      <c r="B83" s="37">
        <v>1</v>
      </c>
    </row>
    <row r="84" spans="1:2" x14ac:dyDescent="0.2">
      <c r="A84" s="33" t="s">
        <v>21</v>
      </c>
      <c r="B84" s="37">
        <v>2</v>
      </c>
    </row>
    <row r="85" spans="1:2" x14ac:dyDescent="0.2">
      <c r="A85" s="33" t="s">
        <v>17</v>
      </c>
      <c r="B85" s="37">
        <v>1</v>
      </c>
    </row>
    <row r="86" spans="1:2" x14ac:dyDescent="0.2">
      <c r="A86" s="33" t="s">
        <v>128</v>
      </c>
      <c r="B86" s="37">
        <v>2</v>
      </c>
    </row>
    <row r="87" spans="1:2" x14ac:dyDescent="0.2">
      <c r="A87" s="33" t="s">
        <v>129</v>
      </c>
      <c r="B87" s="37">
        <v>2</v>
      </c>
    </row>
    <row r="88" spans="1:2" x14ac:dyDescent="0.2">
      <c r="A88" s="33" t="s">
        <v>124</v>
      </c>
      <c r="B88" s="37">
        <v>1</v>
      </c>
    </row>
    <row r="89" spans="1:2" x14ac:dyDescent="0.2">
      <c r="A89" s="33" t="s">
        <v>134</v>
      </c>
      <c r="B89" s="37">
        <v>1</v>
      </c>
    </row>
    <row r="90" spans="1:2" x14ac:dyDescent="0.2">
      <c r="A90" s="33" t="s">
        <v>8</v>
      </c>
      <c r="B90" s="37">
        <v>1</v>
      </c>
    </row>
    <row r="91" spans="1:2" x14ac:dyDescent="0.2">
      <c r="A91" s="33" t="s">
        <v>137</v>
      </c>
      <c r="B91" s="37">
        <v>2</v>
      </c>
    </row>
    <row r="92" spans="1:2" x14ac:dyDescent="0.2">
      <c r="A92" s="33" t="s">
        <v>130</v>
      </c>
      <c r="B92" s="37">
        <v>1</v>
      </c>
    </row>
    <row r="93" spans="1:2" x14ac:dyDescent="0.2">
      <c r="A93" s="33" t="s">
        <v>135</v>
      </c>
      <c r="B93" s="37">
        <v>2</v>
      </c>
    </row>
    <row r="94" spans="1:2" x14ac:dyDescent="0.2">
      <c r="A94" s="33" t="s">
        <v>127</v>
      </c>
      <c r="B94" s="37">
        <v>2</v>
      </c>
    </row>
    <row r="95" spans="1:2" x14ac:dyDescent="0.2">
      <c r="A95" s="33" t="s">
        <v>131</v>
      </c>
      <c r="B95" s="37">
        <v>2</v>
      </c>
    </row>
    <row r="96" spans="1:2" x14ac:dyDescent="0.2">
      <c r="A96" s="33" t="s">
        <v>138</v>
      </c>
      <c r="B96" s="37">
        <v>2</v>
      </c>
    </row>
    <row r="97" spans="1:2" x14ac:dyDescent="0.2">
      <c r="A97" s="33" t="s">
        <v>132</v>
      </c>
      <c r="B97" s="37">
        <v>2</v>
      </c>
    </row>
    <row r="98" spans="1:2" x14ac:dyDescent="0.2">
      <c r="A98" s="33" t="s">
        <v>139</v>
      </c>
      <c r="B98" s="37">
        <v>2</v>
      </c>
    </row>
    <row r="99" spans="1:2" x14ac:dyDescent="0.2">
      <c r="A99" s="33" t="s">
        <v>136</v>
      </c>
      <c r="B99" s="37">
        <v>2</v>
      </c>
    </row>
    <row r="100" spans="1:2" x14ac:dyDescent="0.2">
      <c r="A100" s="32" t="s">
        <v>45</v>
      </c>
      <c r="B100" s="36"/>
    </row>
    <row r="101" spans="1:2" x14ac:dyDescent="0.2">
      <c r="A101" s="33" t="s">
        <v>60</v>
      </c>
      <c r="B101" s="37">
        <v>1</v>
      </c>
    </row>
    <row r="102" spans="1:2" x14ac:dyDescent="0.2">
      <c r="A102" s="33" t="s">
        <v>133</v>
      </c>
      <c r="B102" s="37">
        <v>1</v>
      </c>
    </row>
    <row r="103" spans="1:2" x14ac:dyDescent="0.2">
      <c r="A103" s="32" t="s">
        <v>150</v>
      </c>
      <c r="B103" s="36"/>
    </row>
    <row r="104" spans="1:2" x14ac:dyDescent="0.2">
      <c r="A104" s="33" t="s">
        <v>40</v>
      </c>
      <c r="B104" s="37">
        <v>1</v>
      </c>
    </row>
    <row r="105" spans="1:2" x14ac:dyDescent="0.2">
      <c r="A105" s="32" t="s">
        <v>151</v>
      </c>
      <c r="B105" s="36"/>
    </row>
    <row r="106" spans="1:2" x14ac:dyDescent="0.2">
      <c r="A106" s="33" t="s">
        <v>60</v>
      </c>
      <c r="B106" s="37">
        <v>1</v>
      </c>
    </row>
    <row r="107" spans="1:2" x14ac:dyDescent="0.2">
      <c r="A107" s="33" t="s">
        <v>133</v>
      </c>
      <c r="B107" s="37">
        <v>1</v>
      </c>
    </row>
    <row r="108" spans="1:2" x14ac:dyDescent="0.2">
      <c r="A108" s="33" t="s">
        <v>102</v>
      </c>
      <c r="B108" s="37">
        <v>1</v>
      </c>
    </row>
    <row r="109" spans="1:2" x14ac:dyDescent="0.2">
      <c r="A109" s="32" t="s">
        <v>43</v>
      </c>
      <c r="B109" s="36"/>
    </row>
    <row r="110" spans="1:2" x14ac:dyDescent="0.2">
      <c r="A110" s="33" t="s">
        <v>40</v>
      </c>
      <c r="B110" s="37">
        <v>1</v>
      </c>
    </row>
    <row r="111" spans="1:2" x14ac:dyDescent="0.2">
      <c r="A111" s="33" t="s">
        <v>116</v>
      </c>
      <c r="B111" s="37">
        <v>2</v>
      </c>
    </row>
    <row r="112" spans="1:2" x14ac:dyDescent="0.2">
      <c r="A112" s="33" t="s">
        <v>21</v>
      </c>
      <c r="B112" s="37">
        <v>2</v>
      </c>
    </row>
    <row r="113" spans="1:2" x14ac:dyDescent="0.2">
      <c r="A113" s="33" t="s">
        <v>152</v>
      </c>
      <c r="B113" s="37">
        <v>1</v>
      </c>
    </row>
    <row r="114" spans="1:2" x14ac:dyDescent="0.2">
      <c r="A114" s="33" t="s">
        <v>133</v>
      </c>
      <c r="B114" s="37">
        <v>1</v>
      </c>
    </row>
    <row r="115" spans="1:2" x14ac:dyDescent="0.2">
      <c r="A115" s="33" t="s">
        <v>17</v>
      </c>
      <c r="B115" s="37">
        <v>1</v>
      </c>
    </row>
    <row r="116" spans="1:2" x14ac:dyDescent="0.2">
      <c r="A116" s="33" t="s">
        <v>129</v>
      </c>
      <c r="B116" s="37">
        <v>2</v>
      </c>
    </row>
    <row r="117" spans="1:2" x14ac:dyDescent="0.2">
      <c r="A117" s="33" t="s">
        <v>134</v>
      </c>
      <c r="B117" s="37">
        <v>2</v>
      </c>
    </row>
    <row r="118" spans="1:2" x14ac:dyDescent="0.2">
      <c r="A118" s="33" t="s">
        <v>135</v>
      </c>
      <c r="B118" s="37">
        <v>2</v>
      </c>
    </row>
    <row r="119" spans="1:2" x14ac:dyDescent="0.2">
      <c r="A119" s="33" t="s">
        <v>153</v>
      </c>
      <c r="B119" s="37">
        <v>1</v>
      </c>
    </row>
    <row r="120" spans="1:2" x14ac:dyDescent="0.2">
      <c r="A120" s="33" t="s">
        <v>127</v>
      </c>
      <c r="B120" s="37">
        <v>2</v>
      </c>
    </row>
    <row r="121" spans="1:2" x14ac:dyDescent="0.2">
      <c r="A121" s="33" t="s">
        <v>138</v>
      </c>
      <c r="B121" s="37">
        <v>2</v>
      </c>
    </row>
    <row r="122" spans="1:2" x14ac:dyDescent="0.2">
      <c r="A122" s="33" t="s">
        <v>140</v>
      </c>
      <c r="B122" s="37">
        <v>2</v>
      </c>
    </row>
    <row r="123" spans="1:2" x14ac:dyDescent="0.2">
      <c r="A123" s="33" t="s">
        <v>141</v>
      </c>
      <c r="B123" s="37">
        <v>2</v>
      </c>
    </row>
    <row r="124" spans="1:2" x14ac:dyDescent="0.2">
      <c r="A124" s="32" t="s">
        <v>44</v>
      </c>
      <c r="B124" s="36"/>
    </row>
    <row r="125" spans="1:2" x14ac:dyDescent="0.2">
      <c r="A125" s="33" t="s">
        <v>40</v>
      </c>
      <c r="B125" s="37">
        <v>1</v>
      </c>
    </row>
    <row r="126" spans="1:2" x14ac:dyDescent="0.2">
      <c r="A126" s="33" t="s">
        <v>21</v>
      </c>
      <c r="B126" s="37">
        <v>1</v>
      </c>
    </row>
    <row r="127" spans="1:2" x14ac:dyDescent="0.2">
      <c r="A127" s="33" t="s">
        <v>133</v>
      </c>
      <c r="B127" s="37">
        <v>1</v>
      </c>
    </row>
    <row r="128" spans="1:2" x14ac:dyDescent="0.2">
      <c r="A128" s="33" t="s">
        <v>142</v>
      </c>
      <c r="B128" s="37">
        <v>2</v>
      </c>
    </row>
    <row r="129" spans="1:2" x14ac:dyDescent="0.2">
      <c r="A129" s="33" t="s">
        <v>17</v>
      </c>
      <c r="B129" s="37">
        <v>1</v>
      </c>
    </row>
    <row r="130" spans="1:2" x14ac:dyDescent="0.2">
      <c r="A130" s="33" t="s">
        <v>129</v>
      </c>
      <c r="B130" s="37">
        <v>2</v>
      </c>
    </row>
    <row r="131" spans="1:2" x14ac:dyDescent="0.2">
      <c r="A131" s="33" t="s">
        <v>143</v>
      </c>
      <c r="B131" s="37">
        <v>2</v>
      </c>
    </row>
    <row r="132" spans="1:2" x14ac:dyDescent="0.2">
      <c r="A132" s="33" t="s">
        <v>134</v>
      </c>
      <c r="B132" s="37">
        <v>1</v>
      </c>
    </row>
    <row r="133" spans="1:2" x14ac:dyDescent="0.2">
      <c r="A133" s="33" t="s">
        <v>144</v>
      </c>
      <c r="B133" s="37">
        <v>2</v>
      </c>
    </row>
    <row r="134" spans="1:2" x14ac:dyDescent="0.2">
      <c r="A134" s="33" t="s">
        <v>145</v>
      </c>
      <c r="B134" s="37">
        <v>2</v>
      </c>
    </row>
    <row r="135" spans="1:2" x14ac:dyDescent="0.2">
      <c r="A135" s="33" t="s">
        <v>146</v>
      </c>
      <c r="B135" s="37">
        <v>2</v>
      </c>
    </row>
    <row r="136" spans="1:2" x14ac:dyDescent="0.2">
      <c r="A136" s="33" t="s">
        <v>127</v>
      </c>
      <c r="B136" s="37">
        <v>2</v>
      </c>
    </row>
    <row r="137" spans="1:2" x14ac:dyDescent="0.2">
      <c r="A137" s="33" t="s">
        <v>131</v>
      </c>
      <c r="B137" s="37">
        <v>2</v>
      </c>
    </row>
    <row r="138" spans="1:2" x14ac:dyDescent="0.2">
      <c r="A138" s="33" t="s">
        <v>138</v>
      </c>
      <c r="B138" s="37">
        <v>2</v>
      </c>
    </row>
    <row r="139" spans="1:2" x14ac:dyDescent="0.2">
      <c r="A139" s="33" t="s">
        <v>140</v>
      </c>
      <c r="B139" s="37">
        <v>2</v>
      </c>
    </row>
    <row r="140" spans="1:2" x14ac:dyDescent="0.2">
      <c r="A140" s="33" t="s">
        <v>132</v>
      </c>
      <c r="B140" s="37">
        <v>2</v>
      </c>
    </row>
    <row r="141" spans="1:2" x14ac:dyDescent="0.2">
      <c r="A141" s="33" t="s">
        <v>141</v>
      </c>
      <c r="B141" s="37">
        <v>2</v>
      </c>
    </row>
    <row r="142" spans="1:2" x14ac:dyDescent="0.2">
      <c r="A142" s="34"/>
      <c r="B142" s="5"/>
    </row>
    <row r="143" spans="1:2" x14ac:dyDescent="0.2">
      <c r="A143" s="35"/>
      <c r="B143" s="5"/>
    </row>
    <row r="144" spans="1:2" x14ac:dyDescent="0.2">
      <c r="A144" s="34"/>
      <c r="B144" s="5"/>
    </row>
    <row r="145" spans="1:2" x14ac:dyDescent="0.2">
      <c r="A145" s="35"/>
      <c r="B145" s="5"/>
    </row>
    <row r="146" spans="1:2" x14ac:dyDescent="0.2">
      <c r="A146" s="35"/>
      <c r="B146" s="5"/>
    </row>
    <row r="147" spans="1:2" x14ac:dyDescent="0.2">
      <c r="A147" s="35"/>
      <c r="B147" s="5"/>
    </row>
    <row r="148" spans="1:2" x14ac:dyDescent="0.2">
      <c r="A148" s="34"/>
      <c r="B148" s="5"/>
    </row>
    <row r="149" spans="1:2" x14ac:dyDescent="0.2">
      <c r="A149" s="35"/>
      <c r="B149" s="5"/>
    </row>
    <row r="150" spans="1:2" x14ac:dyDescent="0.2">
      <c r="A150" s="35"/>
      <c r="B150" s="5"/>
    </row>
    <row r="151" spans="1:2" x14ac:dyDescent="0.2">
      <c r="A151" s="35"/>
      <c r="B151" s="5"/>
    </row>
    <row r="152" spans="1:2" x14ac:dyDescent="0.2">
      <c r="A152" s="35"/>
      <c r="B152" s="5"/>
    </row>
    <row r="153" spans="1:2" x14ac:dyDescent="0.2">
      <c r="A153" s="35"/>
      <c r="B153" s="5"/>
    </row>
    <row r="154" spans="1:2" x14ac:dyDescent="0.2">
      <c r="A154" s="34"/>
      <c r="B154" s="5"/>
    </row>
    <row r="155" spans="1:2" x14ac:dyDescent="0.2">
      <c r="A155" s="35"/>
      <c r="B155" s="5"/>
    </row>
    <row r="156" spans="1:2" x14ac:dyDescent="0.2">
      <c r="A156" s="29"/>
    </row>
    <row r="157" spans="1:2" x14ac:dyDescent="0.2">
      <c r="A157" s="29"/>
    </row>
    <row r="158" spans="1:2" x14ac:dyDescent="0.2">
      <c r="A158" s="29"/>
    </row>
    <row r="159" spans="1:2" x14ac:dyDescent="0.2">
      <c r="A159" s="2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F8D2-6D77-CF41-8CEF-45CC3504CC48}">
  <dimension ref="A1:F11"/>
  <sheetViews>
    <sheetView workbookViewId="0">
      <selection activeCell="F12" sqref="F12"/>
    </sheetView>
  </sheetViews>
  <sheetFormatPr baseColWidth="10" defaultRowHeight="16" x14ac:dyDescent="0.2"/>
  <cols>
    <col min="4" max="4" width="27.5" bestFit="1" customWidth="1"/>
  </cols>
  <sheetData>
    <row r="1" spans="1:6" x14ac:dyDescent="0.2">
      <c r="E1" t="s">
        <v>51</v>
      </c>
    </row>
    <row r="2" spans="1:6" s="11" customFormat="1" x14ac:dyDescent="0.2">
      <c r="A2" s="5" t="s">
        <v>241</v>
      </c>
      <c r="B2" s="5" t="s">
        <v>242</v>
      </c>
      <c r="C2" s="5" t="s">
        <v>289</v>
      </c>
      <c r="D2" s="5" t="s">
        <v>290</v>
      </c>
      <c r="F2" s="5" t="s">
        <v>291</v>
      </c>
    </row>
    <row r="3" spans="1:6" s="11" customFormat="1" x14ac:dyDescent="0.2">
      <c r="A3" s="5" t="s">
        <v>241</v>
      </c>
      <c r="B3" s="5" t="s">
        <v>242</v>
      </c>
      <c r="C3" s="5" t="s">
        <v>289</v>
      </c>
      <c r="D3" s="5" t="s">
        <v>290</v>
      </c>
      <c r="F3" s="11" t="s">
        <v>292</v>
      </c>
    </row>
    <row r="4" spans="1:6" s="11" customFormat="1" x14ac:dyDescent="0.2">
      <c r="A4" s="5" t="s">
        <v>241</v>
      </c>
      <c r="B4" s="5" t="s">
        <v>242</v>
      </c>
      <c r="C4" s="5" t="s">
        <v>289</v>
      </c>
      <c r="D4" s="5" t="s">
        <v>290</v>
      </c>
      <c r="E4" s="5"/>
      <c r="F4" s="11" t="s">
        <v>293</v>
      </c>
    </row>
    <row r="5" spans="1:6" s="11" customFormat="1" x14ac:dyDescent="0.2">
      <c r="A5" s="5" t="s">
        <v>241</v>
      </c>
      <c r="B5" s="5" t="s">
        <v>242</v>
      </c>
      <c r="C5" s="5" t="s">
        <v>294</v>
      </c>
      <c r="D5" s="5" t="s">
        <v>295</v>
      </c>
      <c r="E5" s="5">
        <v>4.0000000000000001E-3</v>
      </c>
      <c r="F5" s="11" t="s">
        <v>287</v>
      </c>
    </row>
    <row r="6" spans="1:6" s="11" customFormat="1" x14ac:dyDescent="0.2">
      <c r="A6" s="21" t="s">
        <v>241</v>
      </c>
      <c r="B6" s="21" t="s">
        <v>242</v>
      </c>
      <c r="C6" s="5" t="s">
        <v>296</v>
      </c>
      <c r="D6" s="5" t="s">
        <v>297</v>
      </c>
      <c r="E6" s="12">
        <v>3.0000000000000001E-3</v>
      </c>
      <c r="F6" s="11" t="s">
        <v>14</v>
      </c>
    </row>
    <row r="7" spans="1:6" s="11" customFormat="1" x14ac:dyDescent="0.2">
      <c r="A7" s="21" t="s">
        <v>241</v>
      </c>
      <c r="B7" s="21" t="s">
        <v>242</v>
      </c>
      <c r="C7" s="21" t="s">
        <v>245</v>
      </c>
      <c r="D7" s="21" t="s">
        <v>298</v>
      </c>
      <c r="E7" s="12">
        <v>1.4999999999999999E-2</v>
      </c>
      <c r="F7" s="11" t="s">
        <v>14</v>
      </c>
    </row>
    <row r="8" spans="1:6" s="11" customFormat="1" x14ac:dyDescent="0.2">
      <c r="A8" s="11" t="s">
        <v>241</v>
      </c>
      <c r="B8" s="11" t="s">
        <v>242</v>
      </c>
      <c r="C8" s="11" t="s">
        <v>299</v>
      </c>
      <c r="D8" s="11" t="str">
        <f>CONCATENATE(B8,".",C8)</f>
        <v>Phoradendron.rubrum</v>
      </c>
      <c r="F8" s="11" t="s">
        <v>300</v>
      </c>
    </row>
    <row r="9" spans="1:6" s="11" customFormat="1" x14ac:dyDescent="0.2">
      <c r="A9" s="5" t="s">
        <v>241</v>
      </c>
      <c r="B9" s="5" t="s">
        <v>242</v>
      </c>
      <c r="C9" s="5" t="s">
        <v>301</v>
      </c>
      <c r="D9" s="5" t="s">
        <v>302</v>
      </c>
      <c r="F9" s="5" t="s">
        <v>303</v>
      </c>
    </row>
    <row r="10" spans="1:6" s="11" customFormat="1" x14ac:dyDescent="0.2">
      <c r="A10" s="5" t="s">
        <v>241</v>
      </c>
      <c r="B10" s="5" t="s">
        <v>242</v>
      </c>
      <c r="C10" s="5" t="s">
        <v>91</v>
      </c>
      <c r="D10" s="5" t="s">
        <v>304</v>
      </c>
      <c r="F10" s="11" t="s">
        <v>305</v>
      </c>
    </row>
    <row r="11" spans="1:6" x14ac:dyDescent="0.2">
      <c r="E11" s="2">
        <f>AVERAGE(E5:E7)</f>
        <v>7.3333333333333332E-3</v>
      </c>
      <c r="F11" s="2">
        <f>STDEV(E5:E7)/SQRT(3)</f>
        <v>3.8441875315569324E-3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5C36E-7ABE-4D4D-B734-266D6CAA1010}">
  <dimension ref="A1:E6"/>
  <sheetViews>
    <sheetView workbookViewId="0">
      <selection activeCell="D19" sqref="D19"/>
    </sheetView>
  </sheetViews>
  <sheetFormatPr baseColWidth="10" defaultRowHeight="16" x14ac:dyDescent="0.2"/>
  <cols>
    <col min="1" max="1" width="11" customWidth="1"/>
    <col min="2" max="2" width="11.6640625" bestFit="1" customWidth="1"/>
    <col min="3" max="3" width="12.5" bestFit="1" customWidth="1"/>
  </cols>
  <sheetData>
    <row r="1" spans="1:5" x14ac:dyDescent="0.2">
      <c r="D1" s="41" t="s">
        <v>247</v>
      </c>
    </row>
    <row r="2" spans="1:5" x14ac:dyDescent="0.2">
      <c r="A2" s="40" t="s">
        <v>241</v>
      </c>
      <c r="B2" s="40" t="s">
        <v>242</v>
      </c>
      <c r="C2" s="40" t="s">
        <v>243</v>
      </c>
      <c r="D2" s="16">
        <v>22.1</v>
      </c>
    </row>
    <row r="3" spans="1:5" x14ac:dyDescent="0.2">
      <c r="A3" s="40" t="s">
        <v>241</v>
      </c>
      <c r="B3" s="40" t="s">
        <v>242</v>
      </c>
      <c r="C3" s="40" t="s">
        <v>244</v>
      </c>
      <c r="D3" s="16">
        <v>15.53</v>
      </c>
    </row>
    <row r="4" spans="1:5" x14ac:dyDescent="0.2">
      <c r="A4" s="40" t="s">
        <v>241</v>
      </c>
      <c r="B4" s="40" t="s">
        <v>242</v>
      </c>
      <c r="C4" s="40" t="s">
        <v>246</v>
      </c>
      <c r="D4" s="16">
        <v>18.38</v>
      </c>
    </row>
    <row r="5" spans="1:5" x14ac:dyDescent="0.2">
      <c r="A5" s="40" t="s">
        <v>241</v>
      </c>
      <c r="B5" s="40" t="s">
        <v>242</v>
      </c>
      <c r="C5" s="40" t="s">
        <v>92</v>
      </c>
      <c r="D5" s="16">
        <v>28.17</v>
      </c>
    </row>
    <row r="6" spans="1:5" x14ac:dyDescent="0.2">
      <c r="D6" s="42">
        <f>AVERAGE(D2:D5)</f>
        <v>21.045000000000002</v>
      </c>
      <c r="E6" s="2">
        <f>STDEV(D2:D5)/SQRT(4)</f>
        <v>2.7294092767483615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45611-9F8C-9348-B1C5-072A801E9188}">
  <dimension ref="A1:Y165"/>
  <sheetViews>
    <sheetView tabSelected="1" workbookViewId="0">
      <pane ySplit="1" topLeftCell="A116" activePane="bottomLeft" state="frozen"/>
      <selection pane="bottomLeft" activeCell="G137" sqref="G137"/>
    </sheetView>
  </sheetViews>
  <sheetFormatPr baseColWidth="10" defaultRowHeight="16" x14ac:dyDescent="0.2"/>
  <cols>
    <col min="1" max="2" width="24.6640625" bestFit="1" customWidth="1"/>
    <col min="4" max="4" width="11.5" bestFit="1" customWidth="1"/>
    <col min="9" max="9" width="11.5" bestFit="1" customWidth="1"/>
    <col min="11" max="11" width="19" bestFit="1" customWidth="1"/>
  </cols>
  <sheetData>
    <row r="1" spans="1:25" x14ac:dyDescent="0.2">
      <c r="C1" s="2" t="s">
        <v>319</v>
      </c>
      <c r="D1" s="2" t="s">
        <v>362</v>
      </c>
      <c r="E1" s="2" t="s">
        <v>342</v>
      </c>
      <c r="F1" s="2" t="s">
        <v>363</v>
      </c>
      <c r="G1" s="2" t="s">
        <v>341</v>
      </c>
      <c r="H1" s="2" t="s">
        <v>51</v>
      </c>
      <c r="I1" s="2" t="s">
        <v>320</v>
      </c>
      <c r="J1" s="2" t="s">
        <v>309</v>
      </c>
    </row>
    <row r="2" spans="1:25" x14ac:dyDescent="0.2">
      <c r="A2" s="58" t="s">
        <v>2</v>
      </c>
      <c r="B2" s="58" t="s">
        <v>2</v>
      </c>
      <c r="K2" s="58" t="s">
        <v>308</v>
      </c>
    </row>
    <row r="3" spans="1:25" x14ac:dyDescent="0.2">
      <c r="A3" s="58" t="s">
        <v>105</v>
      </c>
      <c r="B3" s="58" t="s">
        <v>105</v>
      </c>
      <c r="K3" s="58" t="s">
        <v>308</v>
      </c>
    </row>
    <row r="4" spans="1:25" x14ac:dyDescent="0.2">
      <c r="A4" s="58" t="s">
        <v>55</v>
      </c>
      <c r="B4" s="58" t="s">
        <v>55</v>
      </c>
      <c r="K4" s="58" t="s">
        <v>306</v>
      </c>
    </row>
    <row r="5" spans="1:25" x14ac:dyDescent="0.2">
      <c r="A5" s="2" t="s">
        <v>40</v>
      </c>
      <c r="B5" s="58" t="s">
        <v>40</v>
      </c>
      <c r="H5" s="5">
        <v>0.35</v>
      </c>
      <c r="J5" s="11" t="s">
        <v>287</v>
      </c>
    </row>
    <row r="6" spans="1:25" x14ac:dyDescent="0.2">
      <c r="B6" s="58" t="s">
        <v>40</v>
      </c>
      <c r="H6" s="55">
        <v>0.68224999999999991</v>
      </c>
      <c r="J6" s="11" t="s">
        <v>307</v>
      </c>
    </row>
    <row r="7" spans="1:25" x14ac:dyDescent="0.2">
      <c r="B7" s="58" t="s">
        <v>40</v>
      </c>
      <c r="H7">
        <f>0.9*(1-0.69)</f>
        <v>0.27900000000000008</v>
      </c>
      <c r="J7" s="11" t="s">
        <v>348</v>
      </c>
    </row>
    <row r="8" spans="1:25" x14ac:dyDescent="0.2">
      <c r="B8" s="58"/>
      <c r="E8">
        <v>0.09</v>
      </c>
      <c r="F8">
        <v>0.02</v>
      </c>
      <c r="H8" s="61">
        <f>E8*(1-0.41)</f>
        <v>5.3100000000000008E-2</v>
      </c>
      <c r="I8" s="61">
        <f>F8*(1-0.41)</f>
        <v>1.1800000000000001E-2</v>
      </c>
      <c r="J8" s="11" t="s">
        <v>389</v>
      </c>
    </row>
    <row r="9" spans="1:25" x14ac:dyDescent="0.2">
      <c r="H9" s="31">
        <f>AVERAGE(H5:H7)</f>
        <v>0.43708333333333332</v>
      </c>
      <c r="I9" s="31">
        <f>STDEV(H5:H7)/SQRT(3)</f>
        <v>0.12428498277927394</v>
      </c>
    </row>
    <row r="10" spans="1:25" x14ac:dyDescent="0.2">
      <c r="H10" s="2">
        <f>AVERAGE(H7,H5)</f>
        <v>0.3145</v>
      </c>
      <c r="I10" s="2">
        <f>STDEV(H7,H5)/SQRT(2)</f>
        <v>3.5500000000000254E-2</v>
      </c>
    </row>
    <row r="11" spans="1:25" x14ac:dyDescent="0.2">
      <c r="H11" s="2"/>
      <c r="I11" s="2"/>
    </row>
    <row r="12" spans="1:25" x14ac:dyDescent="0.2">
      <c r="A12" t="s">
        <v>60</v>
      </c>
      <c r="B12" t="s">
        <v>370</v>
      </c>
      <c r="C12">
        <v>8.6</v>
      </c>
      <c r="E12">
        <f>C12*0.513</f>
        <v>4.4117999999999995</v>
      </c>
      <c r="H12">
        <f>E12*(1-0.718)</f>
        <v>1.2441275999999999</v>
      </c>
      <c r="J12" t="s">
        <v>371</v>
      </c>
      <c r="K12" s="58" t="s">
        <v>306</v>
      </c>
      <c r="U12" t="s">
        <v>310</v>
      </c>
      <c r="W12" t="s">
        <v>388</v>
      </c>
    </row>
    <row r="13" spans="1:25" x14ac:dyDescent="0.2">
      <c r="B13" t="s">
        <v>60</v>
      </c>
      <c r="C13">
        <v>14.87</v>
      </c>
      <c r="H13">
        <f>C13*0.08</f>
        <v>1.1896</v>
      </c>
      <c r="K13" s="58"/>
    </row>
    <row r="14" spans="1:25" x14ac:dyDescent="0.2">
      <c r="A14" t="s">
        <v>313</v>
      </c>
      <c r="B14" t="s">
        <v>313</v>
      </c>
      <c r="H14">
        <v>0.8</v>
      </c>
      <c r="K14" s="58" t="s">
        <v>314</v>
      </c>
      <c r="T14" s="5" t="s">
        <v>57</v>
      </c>
      <c r="U14" s="5">
        <v>13.98</v>
      </c>
      <c r="Y14" s="5" t="s">
        <v>14</v>
      </c>
    </row>
    <row r="15" spans="1:25" x14ac:dyDescent="0.2">
      <c r="H15">
        <f>AVERAGE(H12:H14)</f>
        <v>1.0779091999999999</v>
      </c>
      <c r="I15">
        <f>STDEV(H12:H14)/SQRT(3)</f>
        <v>0.13984331395520253</v>
      </c>
      <c r="K15" s="58"/>
      <c r="T15" s="5"/>
      <c r="U15" s="5"/>
      <c r="Y15" s="5"/>
    </row>
    <row r="16" spans="1:25" x14ac:dyDescent="0.2">
      <c r="K16" s="58"/>
      <c r="T16" s="5"/>
      <c r="U16" s="5"/>
      <c r="Y16" s="5"/>
    </row>
    <row r="17" spans="1:25" s="11" customFormat="1" x14ac:dyDescent="0.2">
      <c r="A17" s="27" t="s">
        <v>361</v>
      </c>
      <c r="B17" s="11" t="s">
        <v>312</v>
      </c>
      <c r="G17" s="22"/>
      <c r="H17" s="12">
        <v>0.33100000000000002</v>
      </c>
      <c r="I17" s="5"/>
      <c r="J17" s="11" t="s">
        <v>14</v>
      </c>
      <c r="T17" s="5" t="s">
        <v>58</v>
      </c>
      <c r="U17" s="5">
        <v>17.54</v>
      </c>
      <c r="V17"/>
      <c r="Y17" s="5" t="s">
        <v>14</v>
      </c>
    </row>
    <row r="18" spans="1:25" s="11" customFormat="1" x14ac:dyDescent="0.2">
      <c r="A18" s="5"/>
      <c r="B18" s="5" t="s">
        <v>311</v>
      </c>
      <c r="G18" s="22"/>
      <c r="H18" s="12">
        <v>0.221</v>
      </c>
      <c r="I18" s="5"/>
      <c r="J18" s="11" t="s">
        <v>14</v>
      </c>
      <c r="T18" s="5" t="s">
        <v>12</v>
      </c>
      <c r="U18" s="5">
        <v>12.5</v>
      </c>
      <c r="V18"/>
      <c r="Y18" s="5" t="s">
        <v>59</v>
      </c>
    </row>
    <row r="19" spans="1:25" x14ac:dyDescent="0.2">
      <c r="A19" s="5"/>
      <c r="B19" s="5"/>
      <c r="H19" s="47">
        <f>AVERAGE(H17:H18)</f>
        <v>0.27600000000000002</v>
      </c>
      <c r="I19" s="2">
        <f>STDEV(H17:H18)/SQRT(2)</f>
        <v>5.5E-2</v>
      </c>
      <c r="U19" s="42">
        <f>AVERAGE(U14:U18)</f>
        <v>14.673333333333332</v>
      </c>
      <c r="V19" s="2">
        <f>STDEV(U14:U18)/SQRT(3)</f>
        <v>1.4956529603413355</v>
      </c>
    </row>
    <row r="20" spans="1:25" x14ac:dyDescent="0.2">
      <c r="A20" t="s">
        <v>116</v>
      </c>
      <c r="B20" t="s">
        <v>116</v>
      </c>
      <c r="K20" s="58" t="s">
        <v>308</v>
      </c>
    </row>
    <row r="21" spans="1:25" x14ac:dyDescent="0.2">
      <c r="H21" s="31"/>
      <c r="T21" t="s">
        <v>387</v>
      </c>
      <c r="W21" s="16">
        <v>3.37</v>
      </c>
      <c r="Y21" t="s">
        <v>14</v>
      </c>
    </row>
    <row r="22" spans="1:25" x14ac:dyDescent="0.2">
      <c r="T22" t="s">
        <v>387</v>
      </c>
      <c r="W22">
        <v>2.54</v>
      </c>
      <c r="Y22" t="s">
        <v>59</v>
      </c>
    </row>
    <row r="23" spans="1:25" x14ac:dyDescent="0.2">
      <c r="A23" t="s">
        <v>152</v>
      </c>
      <c r="B23" t="s">
        <v>152</v>
      </c>
      <c r="W23" s="42">
        <f>AVERAGE(W21:W22)</f>
        <v>2.9550000000000001</v>
      </c>
      <c r="X23" s="2">
        <f>STDEV(W21:W22)/SQRT(2)</f>
        <v>0.41500000000000115</v>
      </c>
    </row>
    <row r="24" spans="1:25" x14ac:dyDescent="0.2">
      <c r="A24" t="s">
        <v>315</v>
      </c>
      <c r="B24" t="s">
        <v>315</v>
      </c>
    </row>
    <row r="25" spans="1:25" x14ac:dyDescent="0.2">
      <c r="A25" t="s">
        <v>316</v>
      </c>
      <c r="B25" t="s">
        <v>316</v>
      </c>
    </row>
    <row r="26" spans="1:25" x14ac:dyDescent="0.2">
      <c r="A26" s="2" t="s">
        <v>133</v>
      </c>
      <c r="B26" t="s">
        <v>133</v>
      </c>
      <c r="H26" s="5">
        <v>0.16</v>
      </c>
      <c r="J26" s="11" t="s">
        <v>287</v>
      </c>
    </row>
    <row r="27" spans="1:25" x14ac:dyDescent="0.2">
      <c r="B27" t="s">
        <v>133</v>
      </c>
      <c r="H27" s="55">
        <v>0.48610000000000009</v>
      </c>
      <c r="J27" s="11" t="s">
        <v>307</v>
      </c>
    </row>
    <row r="28" spans="1:25" x14ac:dyDescent="0.2">
      <c r="B28" t="s">
        <v>133</v>
      </c>
      <c r="H28">
        <f>0.04*0.41</f>
        <v>1.6399999999999998E-2</v>
      </c>
      <c r="J28" t="s">
        <v>349</v>
      </c>
    </row>
    <row r="29" spans="1:25" x14ac:dyDescent="0.2">
      <c r="H29" s="57">
        <f>AVERAGE(H27:H28,H26)</f>
        <v>0.22083333333333335</v>
      </c>
      <c r="I29" s="31">
        <f>STDEV(H26:H28)/SQRT(3)</f>
        <v>0.13896047799444436</v>
      </c>
    </row>
    <row r="30" spans="1:25" x14ac:dyDescent="0.2">
      <c r="I30" s="2">
        <f>STDEV(H28,H26)/SQRT(2)</f>
        <v>7.1800000000000003E-2</v>
      </c>
    </row>
    <row r="32" spans="1:25" x14ac:dyDescent="0.2">
      <c r="A32" t="s">
        <v>350</v>
      </c>
      <c r="B32" t="s">
        <v>350</v>
      </c>
      <c r="H32">
        <v>0.26500000000000001</v>
      </c>
      <c r="J32" s="11" t="s">
        <v>307</v>
      </c>
    </row>
    <row r="33" spans="1:23" x14ac:dyDescent="0.2">
      <c r="H33">
        <f>0.3*0.67</f>
        <v>0.20100000000000001</v>
      </c>
      <c r="J33" t="s">
        <v>349</v>
      </c>
    </row>
    <row r="34" spans="1:23" x14ac:dyDescent="0.2">
      <c r="I34" s="2">
        <f>STDEV(H32:H33)/SQRT(2)</f>
        <v>3.2000000000000063E-2</v>
      </c>
    </row>
    <row r="36" spans="1:23" x14ac:dyDescent="0.2">
      <c r="A36" t="s">
        <v>366</v>
      </c>
      <c r="B36" t="s">
        <v>351</v>
      </c>
      <c r="J36" t="s">
        <v>334</v>
      </c>
    </row>
    <row r="37" spans="1:23" x14ac:dyDescent="0.2">
      <c r="B37" t="s">
        <v>351</v>
      </c>
      <c r="J37" t="s">
        <v>340</v>
      </c>
      <c r="S37" s="11"/>
      <c r="T37" s="11"/>
      <c r="U37" s="5"/>
      <c r="V37" s="5"/>
      <c r="W37" s="11"/>
    </row>
    <row r="38" spans="1:23" x14ac:dyDescent="0.2">
      <c r="B38" t="s">
        <v>351</v>
      </c>
      <c r="H38">
        <v>1.3000000000000001E-2</v>
      </c>
      <c r="J38" t="s">
        <v>307</v>
      </c>
      <c r="S38" s="11"/>
      <c r="T38" s="11"/>
      <c r="U38" s="11"/>
      <c r="V38" s="11"/>
      <c r="W38" s="11"/>
    </row>
    <row r="39" spans="1:23" x14ac:dyDescent="0.2">
      <c r="B39" t="s">
        <v>351</v>
      </c>
      <c r="J39" t="s">
        <v>352</v>
      </c>
      <c r="S39" s="11"/>
      <c r="T39" s="11"/>
      <c r="U39" s="11"/>
      <c r="V39" s="11"/>
      <c r="W39" s="11"/>
    </row>
    <row r="40" spans="1:23" x14ac:dyDescent="0.2">
      <c r="B40" t="s">
        <v>351</v>
      </c>
      <c r="J40" t="s">
        <v>328</v>
      </c>
      <c r="S40" s="11"/>
      <c r="T40" s="11"/>
      <c r="U40" s="11"/>
      <c r="V40" s="11"/>
      <c r="W40" s="11"/>
    </row>
    <row r="41" spans="1:23" x14ac:dyDescent="0.2">
      <c r="B41" t="s">
        <v>353</v>
      </c>
      <c r="J41" t="s">
        <v>325</v>
      </c>
      <c r="S41" s="25"/>
      <c r="T41" s="25"/>
      <c r="U41" s="24"/>
      <c r="V41" s="5"/>
      <c r="W41" s="24"/>
    </row>
    <row r="42" spans="1:23" x14ac:dyDescent="0.2">
      <c r="B42" t="s">
        <v>353</v>
      </c>
      <c r="H42">
        <v>2.2200000000000001E-2</v>
      </c>
      <c r="J42" t="s">
        <v>307</v>
      </c>
    </row>
    <row r="43" spans="1:23" x14ac:dyDescent="0.2">
      <c r="B43" t="s">
        <v>354</v>
      </c>
      <c r="J43" t="s">
        <v>303</v>
      </c>
    </row>
    <row r="44" spans="1:23" x14ac:dyDescent="0.2">
      <c r="B44" t="s">
        <v>355</v>
      </c>
      <c r="H44">
        <v>2.7799999999999998E-2</v>
      </c>
      <c r="J44" t="s">
        <v>307</v>
      </c>
    </row>
    <row r="45" spans="1:23" x14ac:dyDescent="0.2">
      <c r="B45" t="s">
        <v>356</v>
      </c>
      <c r="J45" t="s">
        <v>357</v>
      </c>
    </row>
    <row r="46" spans="1:23" x14ac:dyDescent="0.2">
      <c r="B46" t="s">
        <v>358</v>
      </c>
      <c r="J46" t="s">
        <v>328</v>
      </c>
    </row>
    <row r="47" spans="1:23" x14ac:dyDescent="0.2">
      <c r="B47" t="s">
        <v>358</v>
      </c>
      <c r="J47" t="s">
        <v>334</v>
      </c>
    </row>
    <row r="48" spans="1:23" x14ac:dyDescent="0.2">
      <c r="B48" t="s">
        <v>358</v>
      </c>
      <c r="J48" t="s">
        <v>338</v>
      </c>
    </row>
    <row r="49" spans="1:10" x14ac:dyDescent="0.2">
      <c r="B49" t="s">
        <v>358</v>
      </c>
      <c r="J49" t="s">
        <v>325</v>
      </c>
    </row>
    <row r="50" spans="1:10" x14ac:dyDescent="0.2">
      <c r="B50" t="s">
        <v>358</v>
      </c>
      <c r="H50">
        <v>0.01</v>
      </c>
      <c r="J50" t="s">
        <v>287</v>
      </c>
    </row>
    <row r="51" spans="1:10" x14ac:dyDescent="0.2">
      <c r="B51" t="s">
        <v>358</v>
      </c>
      <c r="H51">
        <v>6.0000000000000001E-3</v>
      </c>
      <c r="J51" t="s">
        <v>307</v>
      </c>
    </row>
    <row r="52" spans="1:10" x14ac:dyDescent="0.2">
      <c r="B52" t="s">
        <v>358</v>
      </c>
      <c r="J52" t="s">
        <v>318</v>
      </c>
    </row>
    <row r="53" spans="1:10" x14ac:dyDescent="0.2">
      <c r="B53" t="s">
        <v>358</v>
      </c>
      <c r="J53" t="s">
        <v>328</v>
      </c>
    </row>
    <row r="54" spans="1:10" x14ac:dyDescent="0.2">
      <c r="B54" t="s">
        <v>359</v>
      </c>
      <c r="J54" t="s">
        <v>325</v>
      </c>
    </row>
    <row r="55" spans="1:10" x14ac:dyDescent="0.2">
      <c r="B55" t="s">
        <v>359</v>
      </c>
      <c r="H55">
        <v>0.03</v>
      </c>
      <c r="J55" t="s">
        <v>287</v>
      </c>
    </row>
    <row r="56" spans="1:10" x14ac:dyDescent="0.2">
      <c r="B56" t="s">
        <v>359</v>
      </c>
      <c r="H56">
        <v>1.26E-2</v>
      </c>
      <c r="J56" t="s">
        <v>307</v>
      </c>
    </row>
    <row r="57" spans="1:10" x14ac:dyDescent="0.2">
      <c r="H57" s="2">
        <f>AVERAGE(H36:H56)</f>
        <v>1.7371428571428572E-2</v>
      </c>
      <c r="I57" s="2">
        <f>STDEV(H38:H56)/SQRT(7)</f>
        <v>3.5087451484835433E-3</v>
      </c>
    </row>
    <row r="59" spans="1:10" x14ac:dyDescent="0.2">
      <c r="A59" s="2" t="s">
        <v>22</v>
      </c>
      <c r="B59" t="s">
        <v>22</v>
      </c>
      <c r="C59">
        <v>0.33</v>
      </c>
      <c r="E59">
        <f>C59*0.527</f>
        <v>0.17391000000000001</v>
      </c>
      <c r="H59">
        <f>E59*0.44</f>
        <v>7.6520400000000002E-2</v>
      </c>
      <c r="J59" s="11" t="s">
        <v>318</v>
      </c>
    </row>
    <row r="60" spans="1:10" x14ac:dyDescent="0.2">
      <c r="B60" t="s">
        <v>22</v>
      </c>
      <c r="C60">
        <v>0.15</v>
      </c>
      <c r="E60">
        <f>C60*0.527</f>
        <v>7.9049999999999995E-2</v>
      </c>
      <c r="H60">
        <f>E60*0.44</f>
        <v>3.4782E-2</v>
      </c>
      <c r="J60" t="s">
        <v>360</v>
      </c>
    </row>
    <row r="61" spans="1:10" x14ac:dyDescent="0.2">
      <c r="H61" s="2">
        <f>AVERAGE(H59:H60)</f>
        <v>5.5651199999999998E-2</v>
      </c>
      <c r="I61" s="2">
        <f>STDEV(H59:H60)/SQRT(2)</f>
        <v>2.0869200000000011E-2</v>
      </c>
    </row>
    <row r="63" spans="1:10" x14ac:dyDescent="0.2">
      <c r="A63" s="27" t="s">
        <v>317</v>
      </c>
      <c r="B63" s="5" t="s">
        <v>317</v>
      </c>
      <c r="C63" s="5">
        <v>0.66</v>
      </c>
      <c r="J63" s="5" t="s">
        <v>303</v>
      </c>
    </row>
    <row r="64" spans="1:10" x14ac:dyDescent="0.2">
      <c r="B64" s="11" t="s">
        <v>317</v>
      </c>
      <c r="C64" s="24">
        <v>1.3</v>
      </c>
      <c r="J64" s="11" t="s">
        <v>318</v>
      </c>
    </row>
    <row r="65" spans="1:10" x14ac:dyDescent="0.2">
      <c r="C65">
        <f>AVERAGE(C63:C64)</f>
        <v>0.98</v>
      </c>
      <c r="F65">
        <f>STDEV(C63:C64)/SQRT(2)</f>
        <v>0.3200000000000004</v>
      </c>
      <c r="I65" s="2">
        <f>F65*0.33*0.25</f>
        <v>2.6400000000000035E-2</v>
      </c>
    </row>
    <row r="67" spans="1:10" x14ac:dyDescent="0.2">
      <c r="A67" s="27" t="s">
        <v>321</v>
      </c>
      <c r="B67" s="5" t="s">
        <v>321</v>
      </c>
      <c r="C67" s="24">
        <v>0.1</v>
      </c>
      <c r="D67" s="24"/>
      <c r="E67" s="24"/>
      <c r="J67" s="11" t="s">
        <v>318</v>
      </c>
    </row>
    <row r="68" spans="1:10" x14ac:dyDescent="0.2">
      <c r="B68" s="5" t="s">
        <v>321</v>
      </c>
      <c r="C68" s="13">
        <v>0.05</v>
      </c>
      <c r="D68" s="51"/>
      <c r="E68" s="51"/>
      <c r="J68" s="5" t="s">
        <v>291</v>
      </c>
    </row>
    <row r="69" spans="1:10" x14ac:dyDescent="0.2">
      <c r="C69">
        <f>AVERAGE(C67:C68)</f>
        <v>7.5000000000000011E-2</v>
      </c>
      <c r="D69">
        <f>STDEV(C67:C68)/SQRT(2)</f>
        <v>2.4999999999999994E-2</v>
      </c>
      <c r="I69" s="2">
        <f>D69*0.381*0.61</f>
        <v>5.8102499999999994E-3</v>
      </c>
    </row>
    <row r="70" spans="1:10" x14ac:dyDescent="0.2">
      <c r="B70" s="22"/>
      <c r="C70" s="11"/>
      <c r="D70" s="11"/>
      <c r="E70" s="11"/>
      <c r="F70" s="11"/>
      <c r="G70" s="11"/>
    </row>
    <row r="71" spans="1:10" x14ac:dyDescent="0.2">
      <c r="A71" s="27" t="s">
        <v>365</v>
      </c>
      <c r="B71" s="11" t="s">
        <v>322</v>
      </c>
      <c r="D71" s="11"/>
      <c r="E71" s="11"/>
      <c r="G71" s="11"/>
      <c r="H71" s="11">
        <v>0.16840000000000002</v>
      </c>
      <c r="J71" s="11" t="s">
        <v>307</v>
      </c>
    </row>
    <row r="72" spans="1:10" x14ac:dyDescent="0.2">
      <c r="B72" t="s">
        <v>323</v>
      </c>
      <c r="H72">
        <v>0.15</v>
      </c>
      <c r="J72" t="s">
        <v>287</v>
      </c>
    </row>
    <row r="73" spans="1:10" x14ac:dyDescent="0.2">
      <c r="B73" t="s">
        <v>323</v>
      </c>
      <c r="H73">
        <v>0.1</v>
      </c>
      <c r="J73" t="s">
        <v>292</v>
      </c>
    </row>
    <row r="74" spans="1:10" x14ac:dyDescent="0.2">
      <c r="B74" t="s">
        <v>324</v>
      </c>
      <c r="J74" t="s">
        <v>325</v>
      </c>
    </row>
    <row r="75" spans="1:10" x14ac:dyDescent="0.2">
      <c r="B75" t="s">
        <v>326</v>
      </c>
      <c r="H75">
        <v>0.01</v>
      </c>
      <c r="J75" t="s">
        <v>327</v>
      </c>
    </row>
    <row r="76" spans="1:10" x14ac:dyDescent="0.2">
      <c r="B76" t="s">
        <v>329</v>
      </c>
      <c r="J76" t="s">
        <v>328</v>
      </c>
    </row>
    <row r="77" spans="1:10" x14ac:dyDescent="0.2">
      <c r="B77" t="s">
        <v>329</v>
      </c>
      <c r="H77">
        <v>7.0000000000000007E-2</v>
      </c>
      <c r="J77" t="s">
        <v>327</v>
      </c>
    </row>
    <row r="78" spans="1:10" x14ac:dyDescent="0.2">
      <c r="B78" t="s">
        <v>329</v>
      </c>
      <c r="H78">
        <v>0.08</v>
      </c>
      <c r="J78" t="s">
        <v>303</v>
      </c>
    </row>
    <row r="79" spans="1:10" x14ac:dyDescent="0.2">
      <c r="B79" t="s">
        <v>330</v>
      </c>
      <c r="J79" t="s">
        <v>328</v>
      </c>
    </row>
    <row r="80" spans="1:10" x14ac:dyDescent="0.2">
      <c r="B80" t="s">
        <v>330</v>
      </c>
      <c r="J80" t="s">
        <v>325</v>
      </c>
    </row>
    <row r="81" spans="1:10" x14ac:dyDescent="0.2">
      <c r="B81" t="s">
        <v>331</v>
      </c>
      <c r="J81" t="s">
        <v>325</v>
      </c>
    </row>
    <row r="82" spans="1:10" x14ac:dyDescent="0.2">
      <c r="B82" t="s">
        <v>332</v>
      </c>
      <c r="H82">
        <v>0.11</v>
      </c>
      <c r="J82" t="s">
        <v>327</v>
      </c>
    </row>
    <row r="83" spans="1:10" x14ac:dyDescent="0.2">
      <c r="B83" t="s">
        <v>333</v>
      </c>
      <c r="J83" t="s">
        <v>334</v>
      </c>
    </row>
    <row r="84" spans="1:10" x14ac:dyDescent="0.2">
      <c r="B84" t="s">
        <v>333</v>
      </c>
      <c r="J84" t="s">
        <v>325</v>
      </c>
    </row>
    <row r="85" spans="1:10" x14ac:dyDescent="0.2">
      <c r="B85" t="s">
        <v>335</v>
      </c>
      <c r="H85">
        <v>0.08</v>
      </c>
      <c r="J85" t="s">
        <v>327</v>
      </c>
    </row>
    <row r="86" spans="1:10" x14ac:dyDescent="0.2">
      <c r="B86" t="s">
        <v>336</v>
      </c>
      <c r="H86">
        <v>0</v>
      </c>
      <c r="J86" t="s">
        <v>327</v>
      </c>
    </row>
    <row r="87" spans="1:10" x14ac:dyDescent="0.2">
      <c r="H87" s="2">
        <f>AVERAGE(H71:H86)</f>
        <v>8.5377777777777775E-2</v>
      </c>
      <c r="I87" s="2">
        <f>STDEV(H71:H86)/SQRT(9)</f>
        <v>1.869130648915707E-2</v>
      </c>
    </row>
    <row r="89" spans="1:10" x14ac:dyDescent="0.2">
      <c r="A89" s="27" t="s">
        <v>364</v>
      </c>
      <c r="B89" s="5" t="s">
        <v>337</v>
      </c>
      <c r="C89" s="5">
        <v>0.44</v>
      </c>
      <c r="E89" s="7">
        <f>C89-G89</f>
        <v>0.12</v>
      </c>
      <c r="G89" s="5">
        <v>0.32</v>
      </c>
      <c r="H89" s="7">
        <f>E89*0.44</f>
        <v>5.28E-2</v>
      </c>
      <c r="J89" s="5" t="s">
        <v>338</v>
      </c>
    </row>
    <row r="90" spans="1:10" x14ac:dyDescent="0.2">
      <c r="B90" s="11" t="s">
        <v>337</v>
      </c>
      <c r="C90" s="11"/>
      <c r="E90" s="11"/>
      <c r="G90" s="11"/>
      <c r="H90" s="11"/>
      <c r="J90" s="11" t="s">
        <v>325</v>
      </c>
    </row>
    <row r="91" spans="1:10" x14ac:dyDescent="0.2">
      <c r="B91" s="11" t="s">
        <v>339</v>
      </c>
      <c r="C91" s="11"/>
      <c r="E91" s="11"/>
      <c r="G91" s="11"/>
      <c r="H91" s="11"/>
      <c r="J91" s="11" t="s">
        <v>325</v>
      </c>
    </row>
    <row r="92" spans="1:10" x14ac:dyDescent="0.2">
      <c r="B92" s="5" t="s">
        <v>339</v>
      </c>
      <c r="C92" s="11"/>
      <c r="E92" s="11"/>
      <c r="G92" s="11"/>
      <c r="H92" s="11"/>
      <c r="J92" s="5" t="s">
        <v>340</v>
      </c>
    </row>
    <row r="93" spans="1:10" x14ac:dyDescent="0.2">
      <c r="B93" s="5" t="s">
        <v>339</v>
      </c>
      <c r="C93" s="24">
        <v>1.4</v>
      </c>
      <c r="E93" s="24">
        <f>C93-G93</f>
        <v>0.29999999999999982</v>
      </c>
      <c r="G93" s="24">
        <v>1.1000000000000001</v>
      </c>
      <c r="H93" s="24">
        <f>E93*0.44</f>
        <v>0.13199999999999992</v>
      </c>
      <c r="J93" s="11" t="s">
        <v>318</v>
      </c>
    </row>
    <row r="94" spans="1:10" x14ac:dyDescent="0.2">
      <c r="H94" s="42">
        <f>AVERAGE(H89,H93)</f>
        <v>9.2399999999999954E-2</v>
      </c>
      <c r="I94" s="2">
        <f>STDEV(H89:H93)/SQRT(2)</f>
        <v>3.9599999999999982E-2</v>
      </c>
    </row>
    <row r="96" spans="1:10" x14ac:dyDescent="0.2">
      <c r="A96" s="27" t="s">
        <v>367</v>
      </c>
      <c r="B96" s="11" t="s">
        <v>347</v>
      </c>
      <c r="H96" s="54">
        <v>0.43099999999999999</v>
      </c>
    </row>
    <row r="97" spans="1:14" x14ac:dyDescent="0.2">
      <c r="B97" s="5" t="s">
        <v>343</v>
      </c>
      <c r="H97" s="5">
        <v>0.43</v>
      </c>
      <c r="J97" s="11" t="s">
        <v>287</v>
      </c>
    </row>
    <row r="98" spans="1:14" x14ac:dyDescent="0.2">
      <c r="B98" s="5"/>
      <c r="H98" s="11"/>
      <c r="J98" s="11"/>
    </row>
    <row r="99" spans="1:14" x14ac:dyDescent="0.2">
      <c r="B99" s="21" t="s">
        <v>344</v>
      </c>
      <c r="H99" s="12">
        <v>0.501</v>
      </c>
      <c r="J99" s="11" t="s">
        <v>14</v>
      </c>
    </row>
    <row r="100" spans="1:14" x14ac:dyDescent="0.2">
      <c r="B100" s="5" t="s">
        <v>345</v>
      </c>
      <c r="H100" s="5">
        <v>0.03</v>
      </c>
      <c r="J100" s="11" t="s">
        <v>287</v>
      </c>
    </row>
    <row r="101" spans="1:14" x14ac:dyDescent="0.2">
      <c r="B101" s="5"/>
      <c r="H101" s="25"/>
      <c r="J101" s="11"/>
    </row>
    <row r="102" spans="1:14" x14ac:dyDescent="0.2">
      <c r="B102" s="5" t="s">
        <v>346</v>
      </c>
      <c r="H102" s="5">
        <v>0.26</v>
      </c>
      <c r="J102" s="11" t="s">
        <v>287</v>
      </c>
    </row>
    <row r="103" spans="1:14" x14ac:dyDescent="0.2">
      <c r="H103" s="47">
        <f>AVERAGE(H96:H102)</f>
        <v>0.33040000000000003</v>
      </c>
      <c r="I103" s="2">
        <f>STDEV(H96:H102)/SQRT(5)</f>
        <v>8.4953281278594472E-2</v>
      </c>
    </row>
    <row r="105" spans="1:14" x14ac:dyDescent="0.2">
      <c r="A105" s="27" t="s">
        <v>368</v>
      </c>
      <c r="B105" s="5" t="s">
        <v>368</v>
      </c>
      <c r="C105" s="7"/>
      <c r="D105" s="7"/>
      <c r="E105" s="7"/>
      <c r="F105" s="7"/>
      <c r="G105" s="7"/>
      <c r="H105" s="11"/>
      <c r="I105" s="7"/>
      <c r="J105" s="5" t="s">
        <v>327</v>
      </c>
      <c r="K105" s="11"/>
      <c r="L105" s="53"/>
      <c r="M105" s="5"/>
      <c r="N105" s="11"/>
    </row>
    <row r="106" spans="1:14" x14ac:dyDescent="0.2">
      <c r="B106" s="5" t="s">
        <v>368</v>
      </c>
      <c r="C106" s="5"/>
      <c r="D106" s="5"/>
      <c r="E106" s="5"/>
      <c r="F106" s="5"/>
      <c r="G106" s="5"/>
      <c r="H106" s="5">
        <v>0.03</v>
      </c>
      <c r="I106" s="11"/>
      <c r="J106" s="11" t="s">
        <v>287</v>
      </c>
      <c r="K106" s="5"/>
      <c r="L106" s="5"/>
      <c r="M106" s="5"/>
      <c r="N106" s="5"/>
    </row>
    <row r="107" spans="1:14" x14ac:dyDescent="0.2">
      <c r="B107" s="11" t="s">
        <v>368</v>
      </c>
      <c r="C107" s="51"/>
      <c r="D107" s="51"/>
      <c r="E107" s="51"/>
      <c r="F107" s="51"/>
      <c r="G107" s="13"/>
      <c r="H107" s="13">
        <v>0.11850000000000001</v>
      </c>
      <c r="I107" s="13"/>
      <c r="J107" s="11" t="s">
        <v>307</v>
      </c>
      <c r="K107" s="13"/>
      <c r="L107" s="52"/>
      <c r="M107" s="5"/>
      <c r="N107" s="11"/>
    </row>
    <row r="108" spans="1:14" x14ac:dyDescent="0.2">
      <c r="B108" s="5" t="s">
        <v>368</v>
      </c>
      <c r="C108" s="7"/>
      <c r="D108" s="7"/>
      <c r="E108" s="11"/>
      <c r="F108" s="11"/>
      <c r="G108" s="5"/>
      <c r="H108" s="11"/>
      <c r="I108" s="11"/>
      <c r="J108" s="5" t="s">
        <v>303</v>
      </c>
      <c r="K108" s="11"/>
      <c r="L108" s="5"/>
      <c r="M108" s="11"/>
      <c r="N108" s="11"/>
    </row>
    <row r="109" spans="1:14" x14ac:dyDescent="0.2">
      <c r="B109" s="5" t="s">
        <v>368</v>
      </c>
      <c r="C109" s="5"/>
      <c r="D109" s="5"/>
      <c r="E109" s="11"/>
      <c r="F109" s="11"/>
      <c r="G109" s="5"/>
      <c r="H109" s="11"/>
      <c r="I109" s="11"/>
      <c r="J109" s="11" t="s">
        <v>292</v>
      </c>
      <c r="K109" s="11"/>
      <c r="L109" s="11"/>
      <c r="M109" s="11"/>
      <c r="N109" s="11"/>
    </row>
    <row r="110" spans="1:14" x14ac:dyDescent="0.2">
      <c r="H110" s="2">
        <f>AVERAGE(H106:H107)</f>
        <v>7.425000000000001E-2</v>
      </c>
      <c r="I110" s="2">
        <f>STDEV(H106:H107)/SQRT(2)</f>
        <v>4.4249999999999998E-2</v>
      </c>
    </row>
    <row r="112" spans="1:14" x14ac:dyDescent="0.2">
      <c r="A112" s="2" t="s">
        <v>124</v>
      </c>
      <c r="B112" t="s">
        <v>369</v>
      </c>
      <c r="J112" t="s">
        <v>338</v>
      </c>
    </row>
    <row r="113" spans="1:14" x14ac:dyDescent="0.2">
      <c r="A113" s="2"/>
      <c r="B113" t="s">
        <v>369</v>
      </c>
      <c r="J113" t="s">
        <v>325</v>
      </c>
    </row>
    <row r="114" spans="1:14" x14ac:dyDescent="0.2">
      <c r="A114" s="2"/>
      <c r="B114" t="s">
        <v>369</v>
      </c>
      <c r="J114" t="s">
        <v>327</v>
      </c>
    </row>
    <row r="115" spans="1:14" x14ac:dyDescent="0.2">
      <c r="A115" s="2"/>
      <c r="B115" t="s">
        <v>369</v>
      </c>
      <c r="H115">
        <v>0.54</v>
      </c>
      <c r="J115" t="s">
        <v>287</v>
      </c>
    </row>
    <row r="116" spans="1:14" x14ac:dyDescent="0.2">
      <c r="A116" s="2"/>
      <c r="B116" t="s">
        <v>369</v>
      </c>
      <c r="J116" t="s">
        <v>305</v>
      </c>
    </row>
    <row r="117" spans="1:14" x14ac:dyDescent="0.2">
      <c r="A117" s="2"/>
      <c r="B117" t="s">
        <v>369</v>
      </c>
      <c r="H117">
        <v>1.2951999999999999</v>
      </c>
      <c r="J117" t="s">
        <v>307</v>
      </c>
    </row>
    <row r="118" spans="1:14" x14ac:dyDescent="0.2">
      <c r="A118" s="2"/>
      <c r="B118" t="s">
        <v>369</v>
      </c>
      <c r="J118" t="s">
        <v>14</v>
      </c>
    </row>
    <row r="119" spans="1:14" x14ac:dyDescent="0.2">
      <c r="A119" s="2"/>
      <c r="B119" t="s">
        <v>369</v>
      </c>
      <c r="J119" t="s">
        <v>328</v>
      </c>
    </row>
    <row r="120" spans="1:14" x14ac:dyDescent="0.2">
      <c r="A120" s="2"/>
      <c r="H120" s="2">
        <f>AVERAGE(H115:H117)</f>
        <v>0.91759999999999997</v>
      </c>
      <c r="I120" s="2">
        <f>STDEV(H115:H117)/SQRT(2)</f>
        <v>0.37759999999999994</v>
      </c>
    </row>
    <row r="121" spans="1:14" x14ac:dyDescent="0.2">
      <c r="A121" s="2"/>
    </row>
    <row r="122" spans="1:14" x14ac:dyDescent="0.2">
      <c r="A122" s="2" t="s">
        <v>379</v>
      </c>
      <c r="B122" s="11" t="s">
        <v>372</v>
      </c>
      <c r="C122" s="11"/>
      <c r="D122" s="11"/>
      <c r="E122" s="11"/>
      <c r="F122" s="11"/>
      <c r="G122" s="11"/>
      <c r="H122" s="11"/>
      <c r="I122" s="11"/>
      <c r="J122" s="11" t="s">
        <v>325</v>
      </c>
      <c r="K122" s="11"/>
      <c r="L122" s="11"/>
      <c r="M122" s="11"/>
      <c r="N122" s="11"/>
    </row>
    <row r="123" spans="1:14" x14ac:dyDescent="0.2">
      <c r="A123" s="2"/>
      <c r="B123" s="11" t="s">
        <v>372</v>
      </c>
      <c r="D123" s="51"/>
      <c r="E123" s="51"/>
      <c r="F123" s="51"/>
      <c r="G123" s="13"/>
      <c r="H123" s="13">
        <v>0.14011100000000001</v>
      </c>
      <c r="I123" s="13"/>
      <c r="J123" s="11" t="s">
        <v>307</v>
      </c>
      <c r="K123" s="13"/>
      <c r="L123" s="52"/>
      <c r="M123" s="5"/>
      <c r="N123" s="11"/>
    </row>
    <row r="124" spans="1:14" x14ac:dyDescent="0.2">
      <c r="A124" s="2"/>
      <c r="B124" s="11" t="s">
        <v>372</v>
      </c>
      <c r="D124" s="24"/>
      <c r="E124" s="24"/>
      <c r="F124" s="24"/>
      <c r="G124" s="24"/>
      <c r="H124" s="25"/>
      <c r="I124" s="24"/>
      <c r="J124" s="11" t="s">
        <v>318</v>
      </c>
      <c r="K124" s="25"/>
      <c r="L124" s="24"/>
      <c r="M124" s="5"/>
      <c r="N124" s="24"/>
    </row>
    <row r="125" spans="1:14" x14ac:dyDescent="0.2">
      <c r="A125" s="2"/>
      <c r="B125" s="5" t="s">
        <v>373</v>
      </c>
      <c r="D125" s="22"/>
      <c r="E125" s="11"/>
      <c r="F125" s="11"/>
      <c r="G125" s="12"/>
      <c r="H125" s="12"/>
      <c r="I125" s="50"/>
      <c r="J125" s="11" t="s">
        <v>14</v>
      </c>
      <c r="K125" s="12"/>
      <c r="L125" s="22"/>
      <c r="M125" s="5"/>
      <c r="N125" s="5"/>
    </row>
    <row r="126" spans="1:14" x14ac:dyDescent="0.2">
      <c r="A126" s="2"/>
      <c r="B126" s="11" t="s">
        <v>374</v>
      </c>
      <c r="D126" s="11"/>
      <c r="E126" s="11"/>
      <c r="F126" s="11"/>
      <c r="G126" s="11"/>
      <c r="H126" s="11"/>
      <c r="I126" s="11"/>
      <c r="J126" s="11" t="s">
        <v>325</v>
      </c>
      <c r="K126" s="11"/>
      <c r="L126" s="11"/>
      <c r="M126" s="11"/>
      <c r="N126" s="11"/>
    </row>
    <row r="127" spans="1:14" x14ac:dyDescent="0.2">
      <c r="A127" s="2"/>
      <c r="B127" s="11" t="s">
        <v>375</v>
      </c>
      <c r="D127" s="11"/>
      <c r="E127" s="11"/>
      <c r="F127" s="11"/>
      <c r="G127" s="11"/>
      <c r="H127" s="11"/>
      <c r="I127" s="11"/>
      <c r="J127" s="11" t="s">
        <v>325</v>
      </c>
      <c r="K127" s="11"/>
      <c r="L127" s="11"/>
      <c r="M127" s="11"/>
      <c r="N127" s="11"/>
    </row>
    <row r="128" spans="1:14" x14ac:dyDescent="0.2">
      <c r="A128" s="2"/>
      <c r="B128" s="5" t="s">
        <v>375</v>
      </c>
      <c r="D128" s="5"/>
      <c r="E128" s="5"/>
      <c r="F128" s="5"/>
      <c r="G128" s="11"/>
      <c r="H128" s="11"/>
      <c r="I128" s="11"/>
      <c r="J128" s="11" t="s">
        <v>376</v>
      </c>
      <c r="K128" s="11"/>
      <c r="L128" s="11"/>
      <c r="M128" s="11"/>
      <c r="N128" s="11"/>
    </row>
    <row r="129" spans="1:14" x14ac:dyDescent="0.2">
      <c r="A129" s="2"/>
      <c r="B129" s="21" t="s">
        <v>375</v>
      </c>
      <c r="D129" s="22"/>
      <c r="E129" s="11"/>
      <c r="F129" s="11"/>
      <c r="G129" s="12"/>
      <c r="H129" s="12">
        <v>0.11600000000000001</v>
      </c>
      <c r="I129" s="50"/>
      <c r="J129" s="11" t="s">
        <v>14</v>
      </c>
      <c r="K129" s="12"/>
      <c r="L129" s="22"/>
      <c r="M129" s="5"/>
      <c r="N129" s="5"/>
    </row>
    <row r="130" spans="1:14" x14ac:dyDescent="0.2">
      <c r="A130" s="2"/>
      <c r="B130" s="21" t="s">
        <v>375</v>
      </c>
      <c r="C130" s="11"/>
      <c r="D130" s="51"/>
      <c r="E130" s="51"/>
      <c r="F130" s="11"/>
      <c r="G130" s="13"/>
      <c r="H130" s="11"/>
      <c r="I130" s="11"/>
      <c r="J130" s="5" t="s">
        <v>291</v>
      </c>
      <c r="K130" s="11"/>
      <c r="L130" s="52"/>
      <c r="M130" s="52"/>
      <c r="N130" s="51"/>
    </row>
    <row r="131" spans="1:14" x14ac:dyDescent="0.2">
      <c r="A131" s="2"/>
      <c r="B131" s="21" t="s">
        <v>375</v>
      </c>
      <c r="C131" s="11"/>
      <c r="D131" s="11"/>
      <c r="E131" s="22"/>
      <c r="F131" s="22"/>
      <c r="G131" s="11"/>
      <c r="H131" s="11"/>
      <c r="I131" s="11"/>
      <c r="J131" s="11" t="s">
        <v>328</v>
      </c>
      <c r="K131" s="11"/>
      <c r="L131" s="11"/>
      <c r="M131" s="11"/>
      <c r="N131" s="11"/>
    </row>
    <row r="132" spans="1:14" x14ac:dyDescent="0.2">
      <c r="A132" s="2"/>
      <c r="H132" s="60">
        <f>AVERAGE(H123:H129)</f>
        <v>0.12805550000000002</v>
      </c>
      <c r="I132" s="2">
        <f>STDEV(H123:H129)/SQRT(2)</f>
        <v>1.2055500000000002E-2</v>
      </c>
    </row>
    <row r="133" spans="1:14" x14ac:dyDescent="0.2">
      <c r="A133" s="2"/>
      <c r="H133" s="56"/>
    </row>
    <row r="134" spans="1:14" x14ac:dyDescent="0.2">
      <c r="A134" s="2" t="s">
        <v>134</v>
      </c>
      <c r="B134" t="s">
        <v>377</v>
      </c>
      <c r="J134" t="s">
        <v>334</v>
      </c>
    </row>
    <row r="135" spans="1:14" x14ac:dyDescent="0.2">
      <c r="A135" s="2"/>
      <c r="B135" t="s">
        <v>377</v>
      </c>
      <c r="J135" t="s">
        <v>338</v>
      </c>
    </row>
    <row r="136" spans="1:14" x14ac:dyDescent="0.2">
      <c r="A136" s="2"/>
      <c r="B136" t="s">
        <v>377</v>
      </c>
      <c r="J136" t="s">
        <v>325</v>
      </c>
    </row>
    <row r="137" spans="1:14" x14ac:dyDescent="0.2">
      <c r="A137" s="2"/>
      <c r="B137" t="s">
        <v>377</v>
      </c>
      <c r="H137">
        <v>5.0000000000000001E-3</v>
      </c>
      <c r="J137" t="s">
        <v>287</v>
      </c>
    </row>
    <row r="138" spans="1:14" x14ac:dyDescent="0.2">
      <c r="A138" s="2"/>
      <c r="B138" t="s">
        <v>377</v>
      </c>
      <c r="H138">
        <v>9.9027999999999998E-3</v>
      </c>
      <c r="J138" t="s">
        <v>307</v>
      </c>
    </row>
    <row r="139" spans="1:14" x14ac:dyDescent="0.2">
      <c r="A139" s="2"/>
      <c r="B139" t="s">
        <v>377</v>
      </c>
      <c r="J139" t="s">
        <v>378</v>
      </c>
    </row>
    <row r="140" spans="1:14" x14ac:dyDescent="0.2">
      <c r="A140" s="2"/>
      <c r="B140" t="s">
        <v>377</v>
      </c>
      <c r="J140" t="s">
        <v>328</v>
      </c>
    </row>
    <row r="141" spans="1:14" x14ac:dyDescent="0.2">
      <c r="B141" t="s">
        <v>377</v>
      </c>
      <c r="J141" t="s">
        <v>328</v>
      </c>
    </row>
    <row r="142" spans="1:14" x14ac:dyDescent="0.2">
      <c r="H142" s="2">
        <f>AVERAGE(H137:H138)</f>
        <v>7.4514000000000004E-3</v>
      </c>
      <c r="I142" s="2">
        <f>STDEV(H137:H138)/SQRT(2)</f>
        <v>2.4513999999999985E-3</v>
      </c>
    </row>
    <row r="144" spans="1:14" x14ac:dyDescent="0.2">
      <c r="A144" s="2" t="s">
        <v>380</v>
      </c>
      <c r="B144" t="s">
        <v>380</v>
      </c>
      <c r="C144">
        <v>0.3</v>
      </c>
      <c r="D144">
        <f>C144-G144</f>
        <v>9.9999999999999978E-2</v>
      </c>
      <c r="G144">
        <v>0.2</v>
      </c>
      <c r="H144">
        <f>D144*(1-0.91)</f>
        <v>8.9999999999999941E-3</v>
      </c>
    </row>
    <row r="145" spans="1:14" x14ac:dyDescent="0.2">
      <c r="B145" t="s">
        <v>381</v>
      </c>
      <c r="C145">
        <v>0.3</v>
      </c>
      <c r="H145" s="59">
        <f>C145*0.61</f>
        <v>0.183</v>
      </c>
      <c r="J145" t="s">
        <v>382</v>
      </c>
    </row>
    <row r="146" spans="1:14" x14ac:dyDescent="0.2">
      <c r="H146" s="2">
        <f>AVERAGE(H144:H145)</f>
        <v>9.6000000000000002E-2</v>
      </c>
      <c r="I146" s="2">
        <f>STDEV(H144:H145)/SQRT(2)</f>
        <v>8.699999999999998E-2</v>
      </c>
    </row>
    <row r="149" spans="1:14" x14ac:dyDescent="0.2">
      <c r="A149" s="27" t="s">
        <v>383</v>
      </c>
      <c r="B149" s="11" t="s">
        <v>383</v>
      </c>
      <c r="C149" s="11"/>
      <c r="D149" s="11"/>
      <c r="E149" s="11"/>
      <c r="F149" s="11"/>
      <c r="G149" s="11"/>
      <c r="H149" s="11"/>
      <c r="I149" s="11"/>
      <c r="J149" s="11" t="s">
        <v>325</v>
      </c>
      <c r="K149" s="5"/>
      <c r="L149" s="5"/>
      <c r="M149" s="5"/>
      <c r="N149" s="11"/>
    </row>
    <row r="150" spans="1:14" x14ac:dyDescent="0.2">
      <c r="B150" s="5" t="s">
        <v>383</v>
      </c>
      <c r="C150" s="5"/>
      <c r="D150" s="5"/>
      <c r="E150" s="5"/>
      <c r="F150" s="5"/>
      <c r="G150" s="5"/>
      <c r="H150" s="5">
        <v>0.13</v>
      </c>
      <c r="I150" s="11"/>
      <c r="J150" s="11" t="s">
        <v>287</v>
      </c>
      <c r="K150" s="13"/>
      <c r="L150" s="52"/>
      <c r="M150" s="5"/>
      <c r="N150" s="5"/>
    </row>
    <row r="151" spans="1:14" x14ac:dyDescent="0.2">
      <c r="B151" s="11" t="s">
        <v>383</v>
      </c>
      <c r="C151" s="51"/>
      <c r="D151" s="51"/>
      <c r="E151" s="51"/>
      <c r="F151" s="51"/>
      <c r="G151" s="13"/>
      <c r="H151" s="13">
        <v>1.0075000000000001</v>
      </c>
      <c r="I151" s="13"/>
      <c r="J151" s="11" t="s">
        <v>307</v>
      </c>
      <c r="K151" s="12"/>
      <c r="L151" s="22"/>
      <c r="M151" s="5"/>
      <c r="N151" s="11"/>
    </row>
    <row r="152" spans="1:14" x14ac:dyDescent="0.2">
      <c r="B152" s="21" t="s">
        <v>383</v>
      </c>
      <c r="C152" s="22"/>
      <c r="D152" s="22"/>
      <c r="E152" s="11"/>
      <c r="F152" s="11"/>
      <c r="G152" s="12"/>
      <c r="H152" s="12"/>
      <c r="I152" s="50"/>
      <c r="J152" s="11" t="s">
        <v>14</v>
      </c>
      <c r="K152" s="11"/>
      <c r="L152" s="5"/>
      <c r="M152" s="11"/>
      <c r="N152" s="5"/>
    </row>
    <row r="153" spans="1:14" x14ac:dyDescent="0.2">
      <c r="B153" s="5" t="s">
        <v>383</v>
      </c>
      <c r="C153" s="7"/>
      <c r="D153" s="7"/>
      <c r="E153" s="11"/>
      <c r="F153" s="11"/>
      <c r="G153" s="5"/>
      <c r="H153" s="11"/>
      <c r="I153" s="11"/>
      <c r="J153" s="5" t="s">
        <v>303</v>
      </c>
      <c r="K153" s="11"/>
      <c r="L153" s="5"/>
      <c r="M153" s="5"/>
      <c r="N153" s="11"/>
    </row>
    <row r="154" spans="1:14" x14ac:dyDescent="0.2">
      <c r="B154" s="5" t="s">
        <v>383</v>
      </c>
      <c r="C154" s="5"/>
      <c r="D154" s="5"/>
      <c r="E154" s="11"/>
      <c r="F154" s="11"/>
      <c r="G154" s="5"/>
      <c r="H154" s="11"/>
      <c r="I154" s="11"/>
      <c r="J154" s="11" t="s">
        <v>384</v>
      </c>
      <c r="N154" s="11"/>
    </row>
    <row r="155" spans="1:14" x14ac:dyDescent="0.2">
      <c r="H155" s="2">
        <f>AVERAGE(H150:H151)</f>
        <v>0.56875000000000009</v>
      </c>
      <c r="I155" s="2">
        <f>STDEV(H150:H151)/SQRT(2)</f>
        <v>0.43874999999999992</v>
      </c>
    </row>
    <row r="157" spans="1:14" x14ac:dyDescent="0.2">
      <c r="A157" s="2" t="s">
        <v>385</v>
      </c>
      <c r="B157" t="s">
        <v>385</v>
      </c>
      <c r="C157">
        <v>6.7000000000000002E-3</v>
      </c>
      <c r="E157">
        <f>0.0067*0.6</f>
        <v>4.0200000000000001E-3</v>
      </c>
      <c r="H157">
        <f>E157*(1-0.2348)</f>
        <v>3.0761040000000001E-3</v>
      </c>
      <c r="J157" t="s">
        <v>371</v>
      </c>
    </row>
    <row r="158" spans="1:14" x14ac:dyDescent="0.2">
      <c r="B158" t="s">
        <v>385</v>
      </c>
      <c r="H158">
        <v>5.7999999999999996E-3</v>
      </c>
      <c r="J158" s="11" t="s">
        <v>307</v>
      </c>
    </row>
    <row r="159" spans="1:14" x14ac:dyDescent="0.2">
      <c r="H159" s="2">
        <f>AVERAGE(H157:H158)</f>
        <v>4.4380519999999996E-3</v>
      </c>
      <c r="I159" s="2">
        <f>STDEV(H157:H158)/SQRT(2)</f>
        <v>1.3619479999999995E-3</v>
      </c>
    </row>
    <row r="160" spans="1:14" x14ac:dyDescent="0.2">
      <c r="A160" s="2" t="s">
        <v>386</v>
      </c>
      <c r="B160" t="s">
        <v>386</v>
      </c>
    </row>
    <row r="161" spans="1:10" x14ac:dyDescent="0.2">
      <c r="B161" t="s">
        <v>386</v>
      </c>
      <c r="H161" s="5">
        <v>0.71</v>
      </c>
      <c r="J161" s="11" t="s">
        <v>287</v>
      </c>
    </row>
    <row r="162" spans="1:10" x14ac:dyDescent="0.2">
      <c r="H162" s="13">
        <v>0.64359999999999995</v>
      </c>
      <c r="J162" s="11" t="s">
        <v>307</v>
      </c>
    </row>
    <row r="163" spans="1:10" x14ac:dyDescent="0.2">
      <c r="H163" s="2">
        <f>AVERAGE(H161:H162)</f>
        <v>0.67679999999999996</v>
      </c>
      <c r="I163" s="2">
        <f>STDEV(H161:H162)/SQRT(2)</f>
        <v>3.32E-2</v>
      </c>
    </row>
    <row r="165" spans="1:10" x14ac:dyDescent="0.2">
      <c r="A165" s="2" t="s">
        <v>102</v>
      </c>
      <c r="B165" t="s">
        <v>102</v>
      </c>
      <c r="E165">
        <v>1.1000000000000001</v>
      </c>
      <c r="F165">
        <v>0.05</v>
      </c>
      <c r="H165" s="2">
        <f>E165*(1-0.63)</f>
        <v>0.40700000000000003</v>
      </c>
      <c r="I165" s="2">
        <f>F165*(1-0.63)</f>
        <v>1.8499999999999999E-2</v>
      </c>
      <c r="J165" t="s">
        <v>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30" zoomScaleNormal="130" workbookViewId="0">
      <selection activeCell="A13" sqref="A13:XFD13"/>
    </sheetView>
  </sheetViews>
  <sheetFormatPr baseColWidth="10" defaultRowHeight="16" x14ac:dyDescent="0.2"/>
  <cols>
    <col min="1" max="1" width="26.6640625" bestFit="1" customWidth="1"/>
    <col min="2" max="2" width="17" bestFit="1" customWidth="1"/>
    <col min="3" max="3" width="12.1640625" bestFit="1" customWidth="1"/>
    <col min="4" max="4" width="69.6640625" bestFit="1" customWidth="1"/>
    <col min="5" max="5" width="47.5" bestFit="1" customWidth="1"/>
  </cols>
  <sheetData>
    <row r="1" spans="1:5" x14ac:dyDescent="0.2">
      <c r="A1" s="28" t="s">
        <v>108</v>
      </c>
    </row>
    <row r="2" spans="1:5" x14ac:dyDescent="0.2">
      <c r="A2" s="2" t="s">
        <v>109</v>
      </c>
      <c r="B2" s="2" t="s">
        <v>253</v>
      </c>
      <c r="C2" s="2" t="s">
        <v>110</v>
      </c>
      <c r="D2" s="2" t="s">
        <v>111</v>
      </c>
      <c r="E2" s="2" t="s">
        <v>112</v>
      </c>
    </row>
    <row r="3" spans="1:5" x14ac:dyDescent="0.2">
      <c r="A3" s="2" t="s">
        <v>113</v>
      </c>
    </row>
    <row r="4" spans="1:5" x14ac:dyDescent="0.2">
      <c r="A4" s="5" t="s">
        <v>2</v>
      </c>
      <c r="B4" t="s">
        <v>51</v>
      </c>
      <c r="C4" s="5" t="s">
        <v>163</v>
      </c>
      <c r="D4" s="5" t="s">
        <v>103</v>
      </c>
      <c r="E4" s="5" t="s">
        <v>4</v>
      </c>
    </row>
    <row r="5" spans="1:5" x14ac:dyDescent="0.2">
      <c r="A5" s="3" t="s">
        <v>105</v>
      </c>
      <c r="B5" t="s">
        <v>51</v>
      </c>
      <c r="D5" s="5" t="s">
        <v>104</v>
      </c>
      <c r="E5" t="s">
        <v>75</v>
      </c>
    </row>
    <row r="6" spans="1:5" x14ac:dyDescent="0.2">
      <c r="A6" s="3" t="s">
        <v>101</v>
      </c>
      <c r="B6" t="s">
        <v>51</v>
      </c>
      <c r="D6" s="5" t="s">
        <v>104</v>
      </c>
      <c r="E6" s="5" t="s">
        <v>75</v>
      </c>
    </row>
    <row r="7" spans="1:5" x14ac:dyDescent="0.2">
      <c r="A7" s="10" t="s">
        <v>15</v>
      </c>
      <c r="B7" t="s">
        <v>51</v>
      </c>
      <c r="C7" s="5" t="s">
        <v>162</v>
      </c>
      <c r="D7" s="5" t="s">
        <v>103</v>
      </c>
      <c r="E7" s="5" t="s">
        <v>16</v>
      </c>
    </row>
    <row r="8" spans="1:5" x14ac:dyDescent="0.2">
      <c r="A8" s="10" t="s">
        <v>21</v>
      </c>
      <c r="B8" t="s">
        <v>51</v>
      </c>
      <c r="C8" s="6" t="s">
        <v>164</v>
      </c>
      <c r="D8" s="5" t="s">
        <v>100</v>
      </c>
      <c r="E8" s="5" t="s">
        <v>11</v>
      </c>
    </row>
    <row r="9" spans="1:5" x14ac:dyDescent="0.2">
      <c r="A9" s="3" t="s">
        <v>102</v>
      </c>
      <c r="B9" t="s">
        <v>51</v>
      </c>
      <c r="C9" s="5"/>
      <c r="D9" s="5" t="s">
        <v>104</v>
      </c>
      <c r="E9" s="5" t="s">
        <v>75</v>
      </c>
    </row>
    <row r="10" spans="1:5" x14ac:dyDescent="0.2">
      <c r="A10" s="5"/>
      <c r="B10" s="5"/>
      <c r="C10" s="5"/>
      <c r="D10" s="5"/>
      <c r="E10" s="5"/>
    </row>
    <row r="11" spans="1:5" x14ac:dyDescent="0.2">
      <c r="A11" s="2" t="s">
        <v>114</v>
      </c>
    </row>
    <row r="12" spans="1:5" x14ac:dyDescent="0.2">
      <c r="A12" s="3" t="s">
        <v>55</v>
      </c>
      <c r="B12" t="s">
        <v>51</v>
      </c>
      <c r="C12" t="s">
        <v>161</v>
      </c>
      <c r="D12" t="s">
        <v>254</v>
      </c>
      <c r="E12" t="s">
        <v>20</v>
      </c>
    </row>
    <row r="13" spans="1:5" x14ac:dyDescent="0.2">
      <c r="A13" t="s">
        <v>60</v>
      </c>
      <c r="B13" t="s">
        <v>51</v>
      </c>
      <c r="C13" s="5" t="s">
        <v>160</v>
      </c>
      <c r="D13" s="5" t="s">
        <v>255</v>
      </c>
      <c r="E13" s="5" t="s">
        <v>11</v>
      </c>
    </row>
    <row r="14" spans="1:5" x14ac:dyDescent="0.2">
      <c r="A14" s="4" t="s">
        <v>26</v>
      </c>
      <c r="B14" t="s">
        <v>51</v>
      </c>
      <c r="C14" s="9" t="s">
        <v>166</v>
      </c>
      <c r="D14" s="4" t="s">
        <v>257</v>
      </c>
      <c r="E14" s="4" t="s">
        <v>4</v>
      </c>
    </row>
    <row r="15" spans="1:5" x14ac:dyDescent="0.2">
      <c r="A15" t="s">
        <v>158</v>
      </c>
      <c r="B15" t="s">
        <v>51</v>
      </c>
      <c r="C15" t="s">
        <v>169</v>
      </c>
      <c r="D15" t="s">
        <v>256</v>
      </c>
      <c r="E15" t="s">
        <v>11</v>
      </c>
    </row>
    <row r="16" spans="1:5" x14ac:dyDescent="0.2">
      <c r="A16" s="3" t="s">
        <v>159</v>
      </c>
      <c r="B16" t="s">
        <v>51</v>
      </c>
      <c r="C16" t="s">
        <v>167</v>
      </c>
      <c r="D16" t="s">
        <v>52</v>
      </c>
      <c r="E16" t="s">
        <v>11</v>
      </c>
    </row>
    <row r="17" spans="1:5" x14ac:dyDescent="0.2">
      <c r="A17" s="3" t="s">
        <v>17</v>
      </c>
      <c r="B17" t="s">
        <v>18</v>
      </c>
      <c r="C17" t="s">
        <v>250</v>
      </c>
      <c r="D17" t="s">
        <v>249</v>
      </c>
      <c r="E17" t="s">
        <v>11</v>
      </c>
    </row>
    <row r="18" spans="1:5" x14ac:dyDescent="0.2">
      <c r="A18" s="3" t="s">
        <v>12</v>
      </c>
      <c r="B18" t="s">
        <v>36</v>
      </c>
      <c r="C18" s="10" t="s">
        <v>165</v>
      </c>
      <c r="D18" t="s">
        <v>248</v>
      </c>
      <c r="E18" t="s">
        <v>14</v>
      </c>
    </row>
    <row r="19" spans="1:5" x14ac:dyDescent="0.2">
      <c r="A19" s="3" t="s">
        <v>22</v>
      </c>
      <c r="B19" t="s">
        <v>36</v>
      </c>
      <c r="C19" s="8" t="s">
        <v>251</v>
      </c>
      <c r="D19" t="s">
        <v>168</v>
      </c>
      <c r="E19" t="s">
        <v>14</v>
      </c>
    </row>
    <row r="20" spans="1:5" x14ac:dyDescent="0.2">
      <c r="A20" s="3" t="s">
        <v>159</v>
      </c>
      <c r="B20" t="s">
        <v>49</v>
      </c>
      <c r="C20" t="s">
        <v>252</v>
      </c>
      <c r="D20" t="s">
        <v>50</v>
      </c>
      <c r="E20" t="s">
        <v>14</v>
      </c>
    </row>
    <row r="21" spans="1:5" x14ac:dyDescent="0.2">
      <c r="C21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A17" sqref="A17"/>
    </sheetView>
  </sheetViews>
  <sheetFormatPr baseColWidth="10" defaultRowHeight="16" x14ac:dyDescent="0.2"/>
  <cols>
    <col min="1" max="1" width="31.83203125" bestFit="1" customWidth="1"/>
    <col min="2" max="2" width="24" customWidth="1"/>
    <col min="3" max="3" width="11.1640625" customWidth="1"/>
    <col min="4" max="4" width="69.6640625" bestFit="1" customWidth="1"/>
    <col min="5" max="5" width="53.6640625" customWidth="1"/>
    <col min="6" max="6" width="24.1640625" bestFit="1" customWidth="1"/>
  </cols>
  <sheetData>
    <row r="1" spans="1:6" x14ac:dyDescent="0.2">
      <c r="A1" s="1" t="s">
        <v>147</v>
      </c>
    </row>
    <row r="2" spans="1:6" x14ac:dyDescent="0.2">
      <c r="A2" s="2" t="s">
        <v>0</v>
      </c>
      <c r="B2" s="2" t="s">
        <v>1</v>
      </c>
      <c r="C2" s="2" t="s">
        <v>31</v>
      </c>
      <c r="D2" s="2" t="s">
        <v>111</v>
      </c>
      <c r="E2" s="2" t="s">
        <v>112</v>
      </c>
    </row>
    <row r="3" spans="1:6" x14ac:dyDescent="0.2">
      <c r="A3" s="27" t="s">
        <v>99</v>
      </c>
      <c r="C3" s="5"/>
      <c r="D3" s="5"/>
      <c r="E3" s="5"/>
      <c r="F3" s="5"/>
    </row>
    <row r="4" spans="1:6" x14ac:dyDescent="0.2">
      <c r="A4" s="5" t="s">
        <v>8</v>
      </c>
      <c r="B4" s="5" t="s">
        <v>3</v>
      </c>
      <c r="C4" s="5">
        <v>0.83</v>
      </c>
      <c r="D4" s="5" t="s">
        <v>27</v>
      </c>
      <c r="E4" s="5" t="s">
        <v>4</v>
      </c>
    </row>
    <row r="5" spans="1:6" x14ac:dyDescent="0.2">
      <c r="A5" s="5" t="s">
        <v>5</v>
      </c>
      <c r="B5" s="5" t="s">
        <v>3</v>
      </c>
      <c r="C5" s="5">
        <v>0.73899999999999999</v>
      </c>
      <c r="D5" s="5" t="s">
        <v>47</v>
      </c>
      <c r="E5" s="5" t="s">
        <v>4</v>
      </c>
    </row>
    <row r="6" spans="1:6" x14ac:dyDescent="0.2">
      <c r="A6" s="5" t="s">
        <v>6</v>
      </c>
      <c r="B6" s="5" t="s">
        <v>3</v>
      </c>
      <c r="C6" s="5">
        <v>0.86</v>
      </c>
      <c r="D6" s="5" t="s">
        <v>47</v>
      </c>
      <c r="E6" s="5" t="s">
        <v>4</v>
      </c>
    </row>
    <row r="7" spans="1:6" x14ac:dyDescent="0.2">
      <c r="A7" s="10" t="s">
        <v>9</v>
      </c>
      <c r="B7" s="5" t="s">
        <v>3</v>
      </c>
      <c r="C7" s="5">
        <v>0.83799999999999997</v>
      </c>
      <c r="D7" s="5" t="s">
        <v>47</v>
      </c>
      <c r="E7" s="5" t="s">
        <v>4</v>
      </c>
    </row>
    <row r="8" spans="1:6" x14ac:dyDescent="0.2">
      <c r="A8" s="5" t="s">
        <v>7</v>
      </c>
      <c r="B8" s="5" t="s">
        <v>3</v>
      </c>
      <c r="C8" s="5">
        <v>0.89400000000000002</v>
      </c>
      <c r="D8" s="5" t="s">
        <v>47</v>
      </c>
      <c r="E8" s="5" t="s">
        <v>4</v>
      </c>
    </row>
    <row r="9" spans="1:6" x14ac:dyDescent="0.2">
      <c r="A9" t="s">
        <v>24</v>
      </c>
      <c r="B9" t="s">
        <v>10</v>
      </c>
      <c r="C9" s="5">
        <v>0.125</v>
      </c>
      <c r="D9" t="s">
        <v>106</v>
      </c>
      <c r="E9" t="s">
        <v>11</v>
      </c>
    </row>
    <row r="10" spans="1:6" x14ac:dyDescent="0.2">
      <c r="A10" s="10" t="s">
        <v>19</v>
      </c>
      <c r="B10" s="5" t="s">
        <v>3</v>
      </c>
      <c r="C10" s="5">
        <v>0.56499999999999995</v>
      </c>
      <c r="D10" s="5" t="s">
        <v>103</v>
      </c>
      <c r="E10" s="5" t="s">
        <v>20</v>
      </c>
    </row>
    <row r="11" spans="1:6" x14ac:dyDescent="0.2">
      <c r="A11" s="5" t="s">
        <v>22</v>
      </c>
      <c r="B11" s="5" t="s">
        <v>13</v>
      </c>
      <c r="C11" s="5">
        <v>8.1799999999999998E-2</v>
      </c>
      <c r="D11" s="5" t="s">
        <v>38</v>
      </c>
      <c r="E11" s="5" t="s">
        <v>23</v>
      </c>
    </row>
    <row r="12" spans="1:6" x14ac:dyDescent="0.2">
      <c r="A12" t="s">
        <v>25</v>
      </c>
      <c r="B12" t="s">
        <v>10</v>
      </c>
      <c r="C12" s="7">
        <v>0.23171155604768656</v>
      </c>
      <c r="D12" t="s">
        <v>30</v>
      </c>
      <c r="E12" t="s">
        <v>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80DC-0B70-4644-99A8-B2DCBDA5F231}">
  <dimension ref="A1:E9"/>
  <sheetViews>
    <sheetView workbookViewId="0">
      <selection activeCell="E10" sqref="E10"/>
    </sheetView>
  </sheetViews>
  <sheetFormatPr baseColWidth="10" defaultRowHeight="16" x14ac:dyDescent="0.2"/>
  <cols>
    <col min="5" max="5" width="11.5" bestFit="1" customWidth="1"/>
  </cols>
  <sheetData>
    <row r="1" spans="1:5" x14ac:dyDescent="0.2">
      <c r="D1" t="s">
        <v>18</v>
      </c>
    </row>
    <row r="2" spans="1:5" s="11" customFormat="1" x14ac:dyDescent="0.2">
      <c r="A2" s="11" t="s">
        <v>278</v>
      </c>
      <c r="B2" s="11" t="s">
        <v>279</v>
      </c>
      <c r="C2" s="11" t="s">
        <v>280</v>
      </c>
      <c r="D2" s="48"/>
      <c r="E2" s="11" t="s">
        <v>281</v>
      </c>
    </row>
    <row r="3" spans="1:5" s="11" customFormat="1" x14ac:dyDescent="0.2">
      <c r="A3" s="11" t="s">
        <v>278</v>
      </c>
      <c r="B3" s="11" t="s">
        <v>279</v>
      </c>
      <c r="C3" s="11" t="s">
        <v>282</v>
      </c>
      <c r="D3" s="48">
        <v>8.9795E-2</v>
      </c>
      <c r="E3" s="11" t="s">
        <v>281</v>
      </c>
    </row>
    <row r="4" spans="1:5" s="11" customFormat="1" x14ac:dyDescent="0.2">
      <c r="A4" s="11" t="s">
        <v>278</v>
      </c>
      <c r="B4" s="49" t="s">
        <v>279</v>
      </c>
      <c r="C4" s="49" t="s">
        <v>283</v>
      </c>
      <c r="D4" s="11">
        <v>2.8500000000000001E-2</v>
      </c>
      <c r="E4" s="11" t="s">
        <v>284</v>
      </c>
    </row>
    <row r="5" spans="1:5" s="11" customFormat="1" x14ac:dyDescent="0.2">
      <c r="A5" s="11" t="s">
        <v>278</v>
      </c>
      <c r="B5" s="49" t="s">
        <v>279</v>
      </c>
      <c r="C5" s="49" t="s">
        <v>285</v>
      </c>
      <c r="D5" s="11">
        <v>5.4699999999999999E-2</v>
      </c>
      <c r="E5" s="11" t="s">
        <v>284</v>
      </c>
    </row>
    <row r="6" spans="1:5" s="11" customFormat="1" x14ac:dyDescent="0.2">
      <c r="A6" s="11" t="s">
        <v>278</v>
      </c>
      <c r="B6" s="11" t="s">
        <v>279</v>
      </c>
      <c r="C6" s="11" t="s">
        <v>286</v>
      </c>
      <c r="D6" s="11">
        <v>2.86E-2</v>
      </c>
      <c r="E6" s="11" t="s">
        <v>287</v>
      </c>
    </row>
    <row r="7" spans="1:5" s="11" customFormat="1" x14ac:dyDescent="0.2">
      <c r="A7" s="11" t="s">
        <v>278</v>
      </c>
      <c r="B7" s="11" t="s">
        <v>279</v>
      </c>
      <c r="C7" s="11" t="s">
        <v>288</v>
      </c>
      <c r="D7" s="48"/>
      <c r="E7" s="11" t="s">
        <v>281</v>
      </c>
    </row>
    <row r="8" spans="1:5" s="11" customFormat="1" x14ac:dyDescent="0.2">
      <c r="A8" s="11" t="s">
        <v>278</v>
      </c>
      <c r="B8" s="11" t="s">
        <v>279</v>
      </c>
      <c r="C8" s="11" t="s">
        <v>288</v>
      </c>
      <c r="D8" s="11">
        <v>2.6000000000000002E-2</v>
      </c>
      <c r="E8" s="11" t="s">
        <v>287</v>
      </c>
    </row>
    <row r="9" spans="1:5" x14ac:dyDescent="0.2">
      <c r="D9" s="47">
        <f>AVERAGE(D2:D8)</f>
        <v>4.5519000000000004E-2</v>
      </c>
      <c r="E9" s="2">
        <f>STDEV(D3:D8)/SQRT(5)</f>
        <v>1.2250602474980559E-2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>
      <selection activeCell="A15" sqref="A15:C18"/>
    </sheetView>
  </sheetViews>
  <sheetFormatPr baseColWidth="10" defaultRowHeight="16" x14ac:dyDescent="0.2"/>
  <cols>
    <col min="2" max="2" width="16" bestFit="1" customWidth="1"/>
  </cols>
  <sheetData>
    <row r="1" spans="1:3" x14ac:dyDescent="0.2">
      <c r="A1" t="s">
        <v>53</v>
      </c>
    </row>
    <row r="2" spans="1:3" x14ac:dyDescent="0.2">
      <c r="A2" s="14">
        <v>7.0000000000000007E-2</v>
      </c>
    </row>
    <row r="3" spans="1:3" x14ac:dyDescent="0.2">
      <c r="A3" s="14">
        <v>0.112</v>
      </c>
    </row>
    <row r="4" spans="1:3" x14ac:dyDescent="0.2">
      <c r="A4" s="12">
        <v>4.3999999999999997E-2</v>
      </c>
    </row>
    <row r="5" spans="1:3" x14ac:dyDescent="0.2">
      <c r="A5" s="13">
        <v>0.03</v>
      </c>
    </row>
    <row r="6" spans="1:3" x14ac:dyDescent="0.2">
      <c r="A6" s="5">
        <v>0.05</v>
      </c>
    </row>
    <row r="7" spans="1:3" x14ac:dyDescent="0.2">
      <c r="A7" s="5">
        <v>0.02</v>
      </c>
    </row>
    <row r="8" spans="1:3" x14ac:dyDescent="0.2">
      <c r="A8" s="11">
        <v>4.4200000000000003E-2</v>
      </c>
    </row>
    <row r="9" spans="1:3" x14ac:dyDescent="0.2">
      <c r="A9" s="5">
        <v>1.2999999999999999E-2</v>
      </c>
    </row>
    <row r="10" spans="1:3" x14ac:dyDescent="0.2">
      <c r="A10" s="12">
        <v>7.0000000000000007E-2</v>
      </c>
    </row>
    <row r="11" spans="1:3" x14ac:dyDescent="0.2">
      <c r="A11" s="15">
        <f>AVERAGE(A2:A9)</f>
        <v>4.7900000000000005E-2</v>
      </c>
    </row>
    <row r="13" spans="1:3" x14ac:dyDescent="0.2">
      <c r="A13" s="16"/>
    </row>
    <row r="14" spans="1:3" x14ac:dyDescent="0.2">
      <c r="A14" s="17" t="s">
        <v>56</v>
      </c>
    </row>
    <row r="15" spans="1:3" x14ac:dyDescent="0.2">
      <c r="A15" s="5">
        <v>13.98</v>
      </c>
      <c r="B15" s="5" t="s">
        <v>57</v>
      </c>
      <c r="C15" s="5" t="s">
        <v>14</v>
      </c>
    </row>
    <row r="16" spans="1:3" x14ac:dyDescent="0.2">
      <c r="A16" s="5">
        <v>17.54</v>
      </c>
      <c r="B16" s="5" t="s">
        <v>58</v>
      </c>
      <c r="C16" s="5" t="s">
        <v>14</v>
      </c>
    </row>
    <row r="17" spans="1:3" x14ac:dyDescent="0.2">
      <c r="A17" s="5">
        <v>12.5</v>
      </c>
      <c r="B17" s="5" t="s">
        <v>12</v>
      </c>
      <c r="C17" s="5" t="s">
        <v>59</v>
      </c>
    </row>
    <row r="18" spans="1:3" x14ac:dyDescent="0.2">
      <c r="A18" s="18">
        <f>AVERAGE(A15:A17)</f>
        <v>14.673333333333332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3"/>
  <sheetViews>
    <sheetView workbookViewId="0">
      <selection activeCell="H37" sqref="H37"/>
    </sheetView>
  </sheetViews>
  <sheetFormatPr baseColWidth="10" defaultRowHeight="16" x14ac:dyDescent="0.2"/>
  <sheetData>
    <row r="1" spans="1:5" x14ac:dyDescent="0.2">
      <c r="A1" s="19" t="s">
        <v>61</v>
      </c>
      <c r="B1" s="19" t="s">
        <v>62</v>
      </c>
      <c r="C1" s="20" t="s">
        <v>63</v>
      </c>
      <c r="D1" s="20" t="s">
        <v>51</v>
      </c>
      <c r="E1" s="19" t="s">
        <v>64</v>
      </c>
    </row>
    <row r="2" spans="1:5" x14ac:dyDescent="0.2">
      <c r="A2" s="5" t="s">
        <v>65</v>
      </c>
      <c r="B2" s="5" t="s">
        <v>66</v>
      </c>
      <c r="C2" s="5">
        <v>2.5099999999999998</v>
      </c>
      <c r="D2" s="5">
        <v>0.26</v>
      </c>
      <c r="E2" s="7">
        <f t="shared" ref="E2:E16" si="0">IFERROR(D2/C2, "NA")</f>
        <v>0.10358565737051795</v>
      </c>
    </row>
    <row r="3" spans="1:5" x14ac:dyDescent="0.2">
      <c r="A3" s="11" t="s">
        <v>65</v>
      </c>
      <c r="B3" s="11" t="s">
        <v>67</v>
      </c>
      <c r="C3" s="11"/>
      <c r="D3" s="11"/>
      <c r="E3" s="7" t="str">
        <f t="shared" si="0"/>
        <v>NA</v>
      </c>
    </row>
    <row r="4" spans="1:5" x14ac:dyDescent="0.2">
      <c r="A4" s="21" t="s">
        <v>65</v>
      </c>
      <c r="B4" s="5" t="s">
        <v>67</v>
      </c>
      <c r="C4" s="12">
        <v>0.84499999999999997</v>
      </c>
      <c r="D4" s="12">
        <v>8.2000000000000003E-2</v>
      </c>
      <c r="E4" s="7">
        <f t="shared" si="0"/>
        <v>9.70414201183432E-2</v>
      </c>
    </row>
    <row r="5" spans="1:5" x14ac:dyDescent="0.2">
      <c r="A5" s="21" t="s">
        <v>65</v>
      </c>
      <c r="B5" s="5" t="s">
        <v>67</v>
      </c>
      <c r="C5" s="22">
        <f>AVERAGE(C3:C4)</f>
        <v>0.84499999999999997</v>
      </c>
      <c r="D5" s="22">
        <f>AVERAGE(D3:D4)</f>
        <v>8.2000000000000003E-2</v>
      </c>
      <c r="E5" s="7">
        <f t="shared" si="0"/>
        <v>9.70414201183432E-2</v>
      </c>
    </row>
    <row r="6" spans="1:5" x14ac:dyDescent="0.2">
      <c r="A6" s="21" t="s">
        <v>65</v>
      </c>
      <c r="B6" s="21" t="s">
        <v>68</v>
      </c>
      <c r="C6" s="12"/>
      <c r="D6" s="12"/>
      <c r="E6" s="7" t="str">
        <f t="shared" si="0"/>
        <v>NA</v>
      </c>
    </row>
    <row r="7" spans="1:5" x14ac:dyDescent="0.2">
      <c r="A7" s="5" t="s">
        <v>65</v>
      </c>
      <c r="B7" s="5" t="s">
        <v>69</v>
      </c>
      <c r="C7" s="5">
        <v>1.73</v>
      </c>
      <c r="D7" s="5">
        <v>0.7</v>
      </c>
      <c r="E7" s="7">
        <f t="shared" si="0"/>
        <v>0.40462427745664736</v>
      </c>
    </row>
    <row r="8" spans="1:5" x14ac:dyDescent="0.2">
      <c r="A8" s="21" t="s">
        <v>65</v>
      </c>
      <c r="B8" s="21" t="s">
        <v>70</v>
      </c>
      <c r="C8" s="12"/>
      <c r="D8" s="12"/>
      <c r="E8" s="7" t="str">
        <f t="shared" si="0"/>
        <v>NA</v>
      </c>
    </row>
    <row r="9" spans="1:5" x14ac:dyDescent="0.2">
      <c r="A9" s="11" t="s">
        <v>65</v>
      </c>
      <c r="B9" s="5" t="s">
        <v>71</v>
      </c>
      <c r="C9" s="11"/>
      <c r="D9" s="11"/>
      <c r="E9" s="7" t="str">
        <f t="shared" si="0"/>
        <v>NA</v>
      </c>
    </row>
    <row r="10" spans="1:5" x14ac:dyDescent="0.2">
      <c r="A10" s="5" t="s">
        <v>65</v>
      </c>
      <c r="B10" s="5" t="s">
        <v>71</v>
      </c>
      <c r="C10" s="5">
        <v>1.1200000000000001</v>
      </c>
      <c r="D10" s="5">
        <v>0.3</v>
      </c>
      <c r="E10" s="7">
        <f t="shared" si="0"/>
        <v>0.26785714285714285</v>
      </c>
    </row>
    <row r="11" spans="1:5" x14ac:dyDescent="0.2">
      <c r="A11" s="11" t="s">
        <v>65</v>
      </c>
      <c r="B11" s="11" t="s">
        <v>72</v>
      </c>
      <c r="C11" s="11"/>
      <c r="D11" s="11"/>
      <c r="E11" s="7" t="str">
        <f t="shared" si="0"/>
        <v>NA</v>
      </c>
    </row>
    <row r="12" spans="1:5" x14ac:dyDescent="0.2">
      <c r="A12" s="11" t="s">
        <v>65</v>
      </c>
      <c r="B12" s="5" t="s">
        <v>72</v>
      </c>
      <c r="C12" s="11"/>
      <c r="D12" s="11"/>
      <c r="E12" s="7" t="str">
        <f t="shared" si="0"/>
        <v>NA</v>
      </c>
    </row>
    <row r="13" spans="1:5" x14ac:dyDescent="0.2">
      <c r="A13" s="11" t="s">
        <v>65</v>
      </c>
      <c r="B13" s="11" t="s">
        <v>72</v>
      </c>
      <c r="C13" s="11"/>
      <c r="D13" s="11"/>
      <c r="E13" s="7" t="str">
        <f t="shared" si="0"/>
        <v>NA</v>
      </c>
    </row>
    <row r="14" spans="1:5" x14ac:dyDescent="0.2">
      <c r="A14" s="21" t="s">
        <v>65</v>
      </c>
      <c r="B14" s="21" t="s">
        <v>73</v>
      </c>
      <c r="C14" s="12"/>
      <c r="D14" s="12"/>
      <c r="E14" s="7" t="str">
        <f t="shared" si="0"/>
        <v>NA</v>
      </c>
    </row>
    <row r="15" spans="1:5" x14ac:dyDescent="0.2">
      <c r="A15" s="21" t="s">
        <v>65</v>
      </c>
      <c r="B15" s="21" t="s">
        <v>73</v>
      </c>
      <c r="C15" s="12">
        <v>0.6</v>
      </c>
      <c r="D15" s="12">
        <v>0.14000000000000001</v>
      </c>
      <c r="E15" s="7">
        <f t="shared" si="0"/>
        <v>0.23333333333333336</v>
      </c>
    </row>
    <row r="16" spans="1:5" x14ac:dyDescent="0.2">
      <c r="A16" s="23" t="s">
        <v>65</v>
      </c>
      <c r="B16" s="23" t="s">
        <v>73</v>
      </c>
      <c r="C16" s="11"/>
      <c r="D16" s="11"/>
      <c r="E16" s="7" t="str">
        <f t="shared" si="0"/>
        <v>NA</v>
      </c>
    </row>
    <row r="17" spans="1:5" x14ac:dyDescent="0.2">
      <c r="A17" s="5" t="s">
        <v>65</v>
      </c>
      <c r="B17" s="5" t="s">
        <v>74</v>
      </c>
      <c r="C17" s="24">
        <v>1.3</v>
      </c>
      <c r="D17" s="25"/>
      <c r="E17" s="7" t="s">
        <v>75</v>
      </c>
    </row>
    <row r="18" spans="1:5" x14ac:dyDescent="0.2">
      <c r="A18" s="11" t="s">
        <v>65</v>
      </c>
      <c r="B18" s="11" t="s">
        <v>76</v>
      </c>
      <c r="C18" s="11"/>
      <c r="D18" s="11"/>
      <c r="E18" s="7" t="str">
        <f>IFERROR(D18/C18, "NA")</f>
        <v>NA</v>
      </c>
    </row>
    <row r="19" spans="1:5" x14ac:dyDescent="0.2">
      <c r="A19" s="11" t="s">
        <v>65</v>
      </c>
      <c r="B19" s="11" t="s">
        <v>77</v>
      </c>
      <c r="C19" s="11">
        <v>37.6</v>
      </c>
      <c r="D19" s="11"/>
      <c r="E19" s="7" t="s">
        <v>75</v>
      </c>
    </row>
    <row r="20" spans="1:5" x14ac:dyDescent="0.2">
      <c r="A20" s="5" t="s">
        <v>65</v>
      </c>
      <c r="B20" s="5" t="s">
        <v>78</v>
      </c>
      <c r="C20" s="24">
        <v>2.8</v>
      </c>
      <c r="D20" s="25"/>
      <c r="E20" s="7" t="s">
        <v>75</v>
      </c>
    </row>
    <row r="21" spans="1:5" x14ac:dyDescent="0.2">
      <c r="A21" s="5" t="s">
        <v>65</v>
      </c>
      <c r="B21" s="5" t="s">
        <v>78</v>
      </c>
      <c r="C21" s="5">
        <v>2</v>
      </c>
      <c r="D21" s="5">
        <v>0.7</v>
      </c>
      <c r="E21" s="7">
        <f>IFERROR(D21/C21, "NA")</f>
        <v>0.35</v>
      </c>
    </row>
    <row r="22" spans="1:5" x14ac:dyDescent="0.2">
      <c r="A22" s="5" t="s">
        <v>65</v>
      </c>
      <c r="B22" s="5" t="s">
        <v>79</v>
      </c>
      <c r="C22" s="5">
        <v>0.62</v>
      </c>
      <c r="D22" s="11"/>
      <c r="E22" s="7" t="s">
        <v>75</v>
      </c>
    </row>
    <row r="23" spans="1:5" x14ac:dyDescent="0.2">
      <c r="A23" s="5" t="s">
        <v>65</v>
      </c>
      <c r="B23" s="5" t="s">
        <v>80</v>
      </c>
      <c r="C23" s="5">
        <v>0.26</v>
      </c>
      <c r="D23" s="11"/>
      <c r="E23" s="7" t="s">
        <v>75</v>
      </c>
    </row>
    <row r="24" spans="1:5" x14ac:dyDescent="0.2">
      <c r="A24" s="11" t="s">
        <v>65</v>
      </c>
      <c r="B24" s="11" t="s">
        <v>81</v>
      </c>
      <c r="C24" s="11"/>
      <c r="D24" s="11"/>
      <c r="E24" s="7" t="str">
        <f>IFERROR(D24/C24, "NA")</f>
        <v>NA</v>
      </c>
    </row>
    <row r="25" spans="1:5" x14ac:dyDescent="0.2">
      <c r="A25" s="5" t="s">
        <v>65</v>
      </c>
      <c r="B25" s="5" t="s">
        <v>81</v>
      </c>
      <c r="C25" s="5">
        <v>10.24</v>
      </c>
      <c r="D25" s="5">
        <v>1.1000000000000001</v>
      </c>
      <c r="E25" s="7">
        <f>IFERROR(D25/C25, "NA")</f>
        <v>0.107421875</v>
      </c>
    </row>
    <row r="26" spans="1:5" x14ac:dyDescent="0.2">
      <c r="A26" s="11" t="s">
        <v>65</v>
      </c>
      <c r="B26" s="11" t="s">
        <v>81</v>
      </c>
      <c r="C26" s="13">
        <v>5.5839999999999996</v>
      </c>
      <c r="D26" s="13">
        <v>5.3905000000000003</v>
      </c>
      <c r="E26" s="7" t="s">
        <v>75</v>
      </c>
    </row>
    <row r="27" spans="1:5" x14ac:dyDescent="0.2">
      <c r="A27" s="21" t="s">
        <v>65</v>
      </c>
      <c r="B27" s="21" t="s">
        <v>81</v>
      </c>
      <c r="C27" s="12">
        <v>12.35</v>
      </c>
      <c r="D27" s="12">
        <v>2.06</v>
      </c>
      <c r="E27" s="7">
        <f>IFERROR(D27/C27, "NA")</f>
        <v>0.16680161943319838</v>
      </c>
    </row>
    <row r="28" spans="1:5" x14ac:dyDescent="0.2">
      <c r="A28" s="5" t="s">
        <v>65</v>
      </c>
      <c r="B28" s="5" t="s">
        <v>81</v>
      </c>
      <c r="C28" s="24">
        <v>19</v>
      </c>
      <c r="D28" s="25"/>
      <c r="E28" s="7" t="s">
        <v>75</v>
      </c>
    </row>
    <row r="29" spans="1:5" x14ac:dyDescent="0.2">
      <c r="A29" s="11" t="s">
        <v>65</v>
      </c>
      <c r="B29" s="11" t="s">
        <v>81</v>
      </c>
      <c r="C29" s="11"/>
      <c r="D29" s="11"/>
      <c r="E29" s="7" t="str">
        <f>IFERROR(D29/C29, "NA")</f>
        <v>NA</v>
      </c>
    </row>
    <row r="30" spans="1:5" x14ac:dyDescent="0.2">
      <c r="A30" s="5" t="s">
        <v>65</v>
      </c>
      <c r="B30" s="5" t="s">
        <v>81</v>
      </c>
      <c r="C30" s="5">
        <v>1.5</v>
      </c>
      <c r="D30" s="5">
        <v>0.6</v>
      </c>
      <c r="E30" s="7">
        <f>IFERROR(D30/C30, "NA")</f>
        <v>0.39999999999999997</v>
      </c>
    </row>
    <row r="31" spans="1:5" x14ac:dyDescent="0.2">
      <c r="A31" s="5" t="s">
        <v>65</v>
      </c>
      <c r="B31" s="5" t="s">
        <v>81</v>
      </c>
      <c r="C31" s="5">
        <f>AVERAGE(C24:C30)</f>
        <v>9.7347999999999999</v>
      </c>
      <c r="D31" s="5">
        <f>AVERAGE(D24:D30)</f>
        <v>2.2876250000000002</v>
      </c>
      <c r="E31" s="7">
        <f>IFERROR(D31/C31, "NA")</f>
        <v>0.23499455561490737</v>
      </c>
    </row>
    <row r="32" spans="1:5" x14ac:dyDescent="0.2">
      <c r="A32" s="11" t="s">
        <v>65</v>
      </c>
      <c r="B32" s="11" t="s">
        <v>82</v>
      </c>
      <c r="C32" s="11"/>
      <c r="D32" s="11"/>
      <c r="E32" s="7" t="str">
        <f>IFERROR(D32/C32, "NA")</f>
        <v>NA</v>
      </c>
    </row>
    <row r="33" spans="1:5" x14ac:dyDescent="0.2">
      <c r="A33" s="11" t="s">
        <v>65</v>
      </c>
      <c r="B33" s="11" t="s">
        <v>83</v>
      </c>
      <c r="C33" s="13">
        <v>1.8039999999999998</v>
      </c>
      <c r="D33" s="13">
        <v>1.7835999999999999</v>
      </c>
      <c r="E33" s="7" t="s">
        <v>75</v>
      </c>
    </row>
    <row r="34" spans="1:5" x14ac:dyDescent="0.2">
      <c r="A34" s="11" t="s">
        <v>65</v>
      </c>
      <c r="B34" s="11" t="s">
        <v>84</v>
      </c>
      <c r="C34" s="11"/>
      <c r="D34" s="11"/>
      <c r="E34" s="7" t="str">
        <f>IFERROR(D34/C34, "NA")</f>
        <v>NA</v>
      </c>
    </row>
    <row r="35" spans="1:5" x14ac:dyDescent="0.2">
      <c r="A35" s="21" t="s">
        <v>65</v>
      </c>
      <c r="B35" s="21" t="s">
        <v>85</v>
      </c>
      <c r="C35" s="12"/>
      <c r="D35" s="12"/>
      <c r="E35" s="7" t="str">
        <f>IFERROR(D35/C35, "NA")</f>
        <v>NA</v>
      </c>
    </row>
    <row r="36" spans="1:5" x14ac:dyDescent="0.2">
      <c r="A36" s="11" t="s">
        <v>65</v>
      </c>
      <c r="B36" s="21" t="s">
        <v>85</v>
      </c>
      <c r="C36" s="11"/>
      <c r="D36" s="11"/>
      <c r="E36" s="7" t="str">
        <f>IFERROR(D36/C36, "NA")</f>
        <v>NA</v>
      </c>
    </row>
    <row r="37" spans="1:5" x14ac:dyDescent="0.2">
      <c r="A37" s="11" t="s">
        <v>65</v>
      </c>
      <c r="B37" s="11" t="s">
        <v>86</v>
      </c>
      <c r="C37" s="11"/>
      <c r="D37" s="11"/>
      <c r="E37" s="7" t="str">
        <f>IFERROR(D37/C37, "NA")</f>
        <v>NA</v>
      </c>
    </row>
    <row r="38" spans="1:5" x14ac:dyDescent="0.2">
      <c r="A38" s="5" t="s">
        <v>65</v>
      </c>
      <c r="B38" s="5" t="s">
        <v>86</v>
      </c>
      <c r="C38" s="5">
        <v>1.7</v>
      </c>
      <c r="D38" s="5">
        <v>0.8</v>
      </c>
      <c r="E38" s="7">
        <f>IFERROR(D38/C38, "NA")</f>
        <v>0.4705882352941177</v>
      </c>
    </row>
    <row r="39" spans="1:5" x14ac:dyDescent="0.2">
      <c r="A39" s="11" t="s">
        <v>65</v>
      </c>
      <c r="B39" s="11" t="s">
        <v>87</v>
      </c>
      <c r="C39" s="11">
        <v>0.65</v>
      </c>
      <c r="D39" s="11"/>
      <c r="E39" s="7" t="s">
        <v>75</v>
      </c>
    </row>
    <row r="40" spans="1:5" x14ac:dyDescent="0.2">
      <c r="A40" s="11" t="s">
        <v>65</v>
      </c>
      <c r="B40" s="11" t="s">
        <v>88</v>
      </c>
      <c r="C40" s="11"/>
      <c r="D40" s="11"/>
      <c r="E40" s="7" t="str">
        <f>IFERROR(D40/C40, "NA")</f>
        <v>NA</v>
      </c>
    </row>
    <row r="41" spans="1:5" x14ac:dyDescent="0.2">
      <c r="A41" s="5" t="s">
        <v>65</v>
      </c>
      <c r="B41" s="5" t="s">
        <v>88</v>
      </c>
      <c r="C41" s="5">
        <v>3.27</v>
      </c>
      <c r="D41" s="5">
        <v>0.6</v>
      </c>
      <c r="E41" s="7">
        <f>IFERROR(D41/C41, "NA")</f>
        <v>0.18348623853211007</v>
      </c>
    </row>
    <row r="42" spans="1:5" x14ac:dyDescent="0.2">
      <c r="A42" s="5" t="s">
        <v>65</v>
      </c>
      <c r="B42" s="5" t="s">
        <v>88</v>
      </c>
      <c r="C42" s="5">
        <v>0.16</v>
      </c>
      <c r="D42" s="5">
        <v>0.4</v>
      </c>
      <c r="E42" s="7" t="s">
        <v>75</v>
      </c>
    </row>
    <row r="43" spans="1:5" x14ac:dyDescent="0.2">
      <c r="A43" s="23" t="s">
        <v>65</v>
      </c>
      <c r="B43" s="23" t="s">
        <v>88</v>
      </c>
      <c r="C43" s="5"/>
      <c r="D43" s="11"/>
      <c r="E43" s="7" t="str">
        <f>IFERROR(D43/C43, "NA")</f>
        <v>NA</v>
      </c>
    </row>
    <row r="44" spans="1:5" x14ac:dyDescent="0.2">
      <c r="A44" s="11" t="s">
        <v>65</v>
      </c>
      <c r="B44" s="11" t="s">
        <v>89</v>
      </c>
      <c r="C44" s="11"/>
      <c r="D44" s="11"/>
      <c r="E44" s="7" t="str">
        <f>IFERROR(D44/C44, "NA")</f>
        <v>NA</v>
      </c>
    </row>
    <row r="45" spans="1:5" x14ac:dyDescent="0.2">
      <c r="A45" s="5" t="s">
        <v>65</v>
      </c>
      <c r="B45" s="5" t="s">
        <v>90</v>
      </c>
      <c r="C45" s="5">
        <v>6.29</v>
      </c>
      <c r="D45" s="5">
        <v>0.8</v>
      </c>
      <c r="E45" s="7">
        <f>IFERROR(D45/C45, "NA")</f>
        <v>0.12718600953895073</v>
      </c>
    </row>
    <row r="46" spans="1:5" x14ac:dyDescent="0.2">
      <c r="A46" s="5" t="s">
        <v>65</v>
      </c>
      <c r="B46" s="5" t="s">
        <v>91</v>
      </c>
      <c r="C46" s="5">
        <v>0.16</v>
      </c>
      <c r="D46" s="5">
        <v>0.4</v>
      </c>
      <c r="E46" s="7" t="s">
        <v>75</v>
      </c>
    </row>
    <row r="47" spans="1:5" x14ac:dyDescent="0.2">
      <c r="A47" s="11" t="s">
        <v>65</v>
      </c>
      <c r="B47" s="11" t="s">
        <v>92</v>
      </c>
      <c r="C47" s="13">
        <v>2.4737</v>
      </c>
      <c r="D47" s="13">
        <v>2.3692000000000002</v>
      </c>
      <c r="E47" s="7" t="s">
        <v>75</v>
      </c>
    </row>
    <row r="48" spans="1:5" x14ac:dyDescent="0.2">
      <c r="A48" s="5" t="s">
        <v>65</v>
      </c>
      <c r="B48" s="5" t="s">
        <v>93</v>
      </c>
      <c r="C48" s="24">
        <v>2.5</v>
      </c>
      <c r="D48" s="25"/>
      <c r="E48" s="7" t="s">
        <v>75</v>
      </c>
    </row>
    <row r="49" spans="1:5" x14ac:dyDescent="0.2">
      <c r="A49" s="21" t="s">
        <v>65</v>
      </c>
      <c r="B49" s="21" t="s">
        <v>94</v>
      </c>
      <c r="C49" s="12"/>
      <c r="D49" s="12">
        <v>0.25900000000000001</v>
      </c>
      <c r="E49" s="7" t="str">
        <f>IFERROR(D49/C49, "NA")</f>
        <v>NA</v>
      </c>
    </row>
    <row r="50" spans="1:5" x14ac:dyDescent="0.2">
      <c r="A50" s="5" t="s">
        <v>65</v>
      </c>
      <c r="B50" s="5" t="s">
        <v>95</v>
      </c>
      <c r="C50" s="24">
        <v>1</v>
      </c>
      <c r="D50" s="25"/>
      <c r="E50" s="7" t="s">
        <v>75</v>
      </c>
    </row>
    <row r="51" spans="1:5" x14ac:dyDescent="0.2">
      <c r="A51" s="23" t="s">
        <v>65</v>
      </c>
      <c r="B51" s="26" t="s">
        <v>96</v>
      </c>
      <c r="C51" s="5"/>
      <c r="D51" s="11"/>
      <c r="E51" s="7" t="str">
        <f>IFERROR(D51/C51, "NA")</f>
        <v>NA</v>
      </c>
    </row>
    <row r="52" spans="1:5" x14ac:dyDescent="0.2">
      <c r="A52" s="5" t="s">
        <v>65</v>
      </c>
      <c r="B52" s="5" t="s">
        <v>97</v>
      </c>
      <c r="C52" s="5">
        <v>5.8</v>
      </c>
      <c r="D52" s="11"/>
      <c r="E52" s="7" t="s">
        <v>75</v>
      </c>
    </row>
    <row r="53" spans="1:5" x14ac:dyDescent="0.2">
      <c r="A53" s="11" t="s">
        <v>65</v>
      </c>
      <c r="B53" s="11" t="s">
        <v>98</v>
      </c>
      <c r="C53" s="11"/>
      <c r="D53" s="11"/>
      <c r="E53" s="7" t="str">
        <f>IFERROR(D53/C53, "NA")</f>
        <v>NA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59FCB-AD14-2142-A00D-36EA84776EDA}">
  <dimension ref="A1:H61"/>
  <sheetViews>
    <sheetView topLeftCell="A24" workbookViewId="0">
      <selection activeCell="H60" sqref="H60"/>
    </sheetView>
  </sheetViews>
  <sheetFormatPr baseColWidth="10" defaultRowHeight="16" x14ac:dyDescent="0.2"/>
  <cols>
    <col min="4" max="4" width="21.1640625" bestFit="1" customWidth="1"/>
  </cols>
  <sheetData>
    <row r="1" spans="1:7" s="39" customFormat="1" ht="15" x14ac:dyDescent="0.2">
      <c r="A1" s="19" t="s">
        <v>240</v>
      </c>
      <c r="B1" s="19" t="s">
        <v>61</v>
      </c>
      <c r="C1" s="19" t="s">
        <v>62</v>
      </c>
      <c r="D1" s="19"/>
      <c r="E1" s="20" t="s">
        <v>63</v>
      </c>
      <c r="F1" s="20" t="s">
        <v>51</v>
      </c>
    </row>
    <row r="2" spans="1:7" x14ac:dyDescent="0.2">
      <c r="A2" s="21" t="s">
        <v>170</v>
      </c>
      <c r="B2" s="21" t="s">
        <v>171</v>
      </c>
      <c r="C2" s="21" t="s">
        <v>172</v>
      </c>
      <c r="D2" s="21" t="s">
        <v>173</v>
      </c>
      <c r="E2" s="12">
        <v>8.6999999999999994E-2</v>
      </c>
      <c r="F2" s="12">
        <v>8.0000000000000002E-3</v>
      </c>
      <c r="G2" s="5">
        <f>F2/E2</f>
        <v>9.195402298850576E-2</v>
      </c>
    </row>
    <row r="3" spans="1:7" x14ac:dyDescent="0.2">
      <c r="A3" s="11" t="s">
        <v>170</v>
      </c>
      <c r="B3" s="11" t="s">
        <v>171</v>
      </c>
      <c r="C3" s="11" t="s">
        <v>174</v>
      </c>
      <c r="D3" s="11" t="s">
        <v>175</v>
      </c>
      <c r="E3" s="11"/>
      <c r="F3" s="11"/>
      <c r="G3" s="5"/>
    </row>
    <row r="4" spans="1:7" x14ac:dyDescent="0.2">
      <c r="A4" s="11" t="s">
        <v>170</v>
      </c>
      <c r="B4" s="11" t="s">
        <v>171</v>
      </c>
      <c r="C4" s="11" t="s">
        <v>176</v>
      </c>
      <c r="D4" s="11" t="s">
        <v>177</v>
      </c>
      <c r="E4" s="13">
        <v>8.8000000000000009E-2</v>
      </c>
      <c r="F4" s="13">
        <v>6.7333333333333328E-2</v>
      </c>
      <c r="G4" s="5">
        <f>F4/E4</f>
        <v>0.76515151515151503</v>
      </c>
    </row>
    <row r="5" spans="1:7" x14ac:dyDescent="0.2">
      <c r="A5" s="11" t="s">
        <v>170</v>
      </c>
      <c r="B5" s="11" t="s">
        <v>171</v>
      </c>
      <c r="C5" s="11" t="s">
        <v>178</v>
      </c>
      <c r="D5" s="11" t="s">
        <v>179</v>
      </c>
      <c r="E5" s="13">
        <v>0.10275000000000001</v>
      </c>
      <c r="F5" s="13">
        <v>7.5500000000000012E-2</v>
      </c>
      <c r="G5" s="5">
        <f>F5/E5</f>
        <v>0.73479318734793198</v>
      </c>
    </row>
    <row r="6" spans="1:7" x14ac:dyDescent="0.2">
      <c r="A6" s="11" t="s">
        <v>170</v>
      </c>
      <c r="B6" s="11" t="s">
        <v>171</v>
      </c>
      <c r="C6" s="11" t="s">
        <v>180</v>
      </c>
      <c r="D6" s="11" t="s">
        <v>181</v>
      </c>
      <c r="E6" s="11"/>
      <c r="F6" s="11"/>
      <c r="G6" s="5"/>
    </row>
    <row r="7" spans="1:7" x14ac:dyDescent="0.2">
      <c r="A7" s="5" t="s">
        <v>170</v>
      </c>
      <c r="B7" s="5" t="s">
        <v>171</v>
      </c>
      <c r="C7" s="5" t="s">
        <v>182</v>
      </c>
      <c r="D7" s="5" t="s">
        <v>183</v>
      </c>
      <c r="E7" s="11"/>
      <c r="F7" s="11"/>
      <c r="G7" s="5"/>
    </row>
    <row r="8" spans="1:7" x14ac:dyDescent="0.2">
      <c r="A8" s="11" t="s">
        <v>170</v>
      </c>
      <c r="B8" s="11" t="s">
        <v>171</v>
      </c>
      <c r="C8" s="11" t="s">
        <v>184</v>
      </c>
      <c r="D8" s="11" t="s">
        <v>185</v>
      </c>
      <c r="E8" s="11"/>
      <c r="F8" s="11"/>
      <c r="G8" s="5"/>
    </row>
    <row r="9" spans="1:7" x14ac:dyDescent="0.2">
      <c r="A9" s="5" t="s">
        <v>170</v>
      </c>
      <c r="B9" s="11" t="s">
        <v>171</v>
      </c>
      <c r="C9" s="11" t="s">
        <v>184</v>
      </c>
      <c r="D9" s="11" t="s">
        <v>185</v>
      </c>
      <c r="E9" s="11">
        <v>0.124</v>
      </c>
      <c r="F9" s="11"/>
      <c r="G9" s="5"/>
    </row>
    <row r="10" spans="1:7" x14ac:dyDescent="0.2">
      <c r="A10" s="11" t="s">
        <v>170</v>
      </c>
      <c r="B10" s="5" t="s">
        <v>171</v>
      </c>
      <c r="C10" s="5" t="s">
        <v>184</v>
      </c>
      <c r="D10" s="5" t="s">
        <v>185</v>
      </c>
      <c r="E10" s="11"/>
      <c r="F10" s="11"/>
      <c r="G10" s="5"/>
    </row>
    <row r="11" spans="1:7" x14ac:dyDescent="0.2">
      <c r="A11" s="11" t="s">
        <v>170</v>
      </c>
      <c r="B11" s="5" t="s">
        <v>171</v>
      </c>
      <c r="C11" s="5" t="s">
        <v>186</v>
      </c>
      <c r="D11" s="5" t="s">
        <v>187</v>
      </c>
      <c r="E11" s="11"/>
      <c r="F11" s="11"/>
      <c r="G11" s="5"/>
    </row>
    <row r="12" spans="1:7" x14ac:dyDescent="0.2">
      <c r="A12" s="11" t="s">
        <v>170</v>
      </c>
      <c r="B12" s="11" t="s">
        <v>171</v>
      </c>
      <c r="C12" s="11" t="s">
        <v>186</v>
      </c>
      <c r="D12" s="11" t="s">
        <v>187</v>
      </c>
      <c r="E12" s="11"/>
      <c r="F12" s="11"/>
      <c r="G12" s="5"/>
    </row>
    <row r="13" spans="1:7" x14ac:dyDescent="0.2">
      <c r="A13" s="5" t="s">
        <v>170</v>
      </c>
      <c r="B13" s="5" t="s">
        <v>171</v>
      </c>
      <c r="C13" s="5" t="s">
        <v>186</v>
      </c>
      <c r="D13" s="5" t="s">
        <v>187</v>
      </c>
      <c r="E13" s="11"/>
      <c r="F13" s="11"/>
      <c r="G13" s="5"/>
    </row>
    <row r="14" spans="1:7" x14ac:dyDescent="0.2">
      <c r="A14" s="5" t="s">
        <v>170</v>
      </c>
      <c r="B14" s="11" t="s">
        <v>171</v>
      </c>
      <c r="C14" s="11" t="s">
        <v>186</v>
      </c>
      <c r="D14" s="11" t="s">
        <v>187</v>
      </c>
      <c r="E14" s="13"/>
      <c r="F14" s="13"/>
      <c r="G14" s="5"/>
    </row>
    <row r="15" spans="1:7" x14ac:dyDescent="0.2">
      <c r="A15" s="11" t="s">
        <v>170</v>
      </c>
      <c r="B15" s="11" t="s">
        <v>171</v>
      </c>
      <c r="C15" s="11" t="s">
        <v>188</v>
      </c>
      <c r="D15" s="11" t="s">
        <v>189</v>
      </c>
      <c r="E15" s="11"/>
      <c r="F15" s="11"/>
      <c r="G15" s="5"/>
    </row>
    <row r="16" spans="1:7" x14ac:dyDescent="0.2">
      <c r="A16" s="11" t="s">
        <v>170</v>
      </c>
      <c r="B16" s="11" t="s">
        <v>171</v>
      </c>
      <c r="C16" s="11" t="s">
        <v>190</v>
      </c>
      <c r="D16" s="11" t="s">
        <v>191</v>
      </c>
      <c r="E16" s="11"/>
      <c r="F16" s="11"/>
      <c r="G16" s="5"/>
    </row>
    <row r="17" spans="1:7" x14ac:dyDescent="0.2">
      <c r="A17" s="11" t="s">
        <v>170</v>
      </c>
      <c r="B17" s="11" t="s">
        <v>171</v>
      </c>
      <c r="C17" s="11" t="s">
        <v>190</v>
      </c>
      <c r="D17" s="11" t="s">
        <v>191</v>
      </c>
      <c r="E17" s="13">
        <v>5.7500000000000002E-2</v>
      </c>
      <c r="F17" s="13">
        <v>5.5499999999999994E-2</v>
      </c>
      <c r="G17" s="5">
        <f>F17/E17</f>
        <v>0.96521739130434769</v>
      </c>
    </row>
    <row r="18" spans="1:7" x14ac:dyDescent="0.2">
      <c r="A18" s="11" t="s">
        <v>170</v>
      </c>
      <c r="B18" s="11" t="s">
        <v>171</v>
      </c>
      <c r="C18" s="11" t="s">
        <v>192</v>
      </c>
      <c r="D18" s="11" t="s">
        <v>193</v>
      </c>
      <c r="E18" s="11"/>
      <c r="F18" s="11"/>
      <c r="G18" s="5"/>
    </row>
    <row r="19" spans="1:7" x14ac:dyDescent="0.2">
      <c r="A19" s="5" t="s">
        <v>170</v>
      </c>
      <c r="B19" s="5" t="s">
        <v>171</v>
      </c>
      <c r="C19" s="5" t="s">
        <v>192</v>
      </c>
      <c r="D19" s="5" t="s">
        <v>193</v>
      </c>
      <c r="E19" s="13">
        <v>0.06</v>
      </c>
      <c r="F19" s="11"/>
      <c r="G19" s="5"/>
    </row>
    <row r="20" spans="1:7" x14ac:dyDescent="0.2">
      <c r="A20" s="11" t="s">
        <v>170</v>
      </c>
      <c r="B20" s="11" t="s">
        <v>171</v>
      </c>
      <c r="C20" s="11" t="s">
        <v>194</v>
      </c>
      <c r="D20" s="11" t="s">
        <v>195</v>
      </c>
      <c r="E20" s="11"/>
      <c r="F20" s="11"/>
      <c r="G20" s="5"/>
    </row>
    <row r="21" spans="1:7" x14ac:dyDescent="0.2">
      <c r="A21" s="11" t="s">
        <v>170</v>
      </c>
      <c r="B21" s="11" t="s">
        <v>171</v>
      </c>
      <c r="C21" s="11" t="s">
        <v>194</v>
      </c>
      <c r="D21" s="11" t="s">
        <v>195</v>
      </c>
      <c r="E21" s="13">
        <v>6.6600000000000006E-2</v>
      </c>
      <c r="F21" s="13">
        <v>5.3400000000000003E-2</v>
      </c>
      <c r="G21" s="5">
        <f>F21/E21</f>
        <v>0.80180180180180172</v>
      </c>
    </row>
    <row r="22" spans="1:7" x14ac:dyDescent="0.2">
      <c r="A22" s="11" t="s">
        <v>170</v>
      </c>
      <c r="B22" s="11" t="s">
        <v>171</v>
      </c>
      <c r="C22" s="11" t="s">
        <v>196</v>
      </c>
      <c r="D22" s="11" t="s">
        <v>197</v>
      </c>
      <c r="E22" s="13">
        <v>0.10580000000000001</v>
      </c>
      <c r="F22" s="13">
        <v>7.9000000000000001E-2</v>
      </c>
      <c r="G22" s="5">
        <f>F22/E22</f>
        <v>0.74669187145557658</v>
      </c>
    </row>
    <row r="23" spans="1:7" x14ac:dyDescent="0.2">
      <c r="A23" s="11" t="s">
        <v>170</v>
      </c>
      <c r="B23" s="11" t="s">
        <v>171</v>
      </c>
      <c r="C23" s="11" t="s">
        <v>198</v>
      </c>
      <c r="D23" s="11" t="s">
        <v>199</v>
      </c>
      <c r="E23" s="11"/>
      <c r="F23" s="11"/>
      <c r="G23" s="5"/>
    </row>
    <row r="24" spans="1:7" x14ac:dyDescent="0.2">
      <c r="A24" s="5" t="s">
        <v>170</v>
      </c>
      <c r="B24" s="5" t="s">
        <v>171</v>
      </c>
      <c r="C24" s="5" t="s">
        <v>200</v>
      </c>
      <c r="D24" s="5" t="s">
        <v>201</v>
      </c>
      <c r="E24" s="7">
        <v>0.19</v>
      </c>
      <c r="F24" s="11"/>
      <c r="G24" s="5"/>
    </row>
    <row r="25" spans="1:7" x14ac:dyDescent="0.2">
      <c r="A25" s="11" t="s">
        <v>170</v>
      </c>
      <c r="B25" s="11" t="s">
        <v>171</v>
      </c>
      <c r="C25" s="11" t="s">
        <v>202</v>
      </c>
      <c r="D25" s="11" t="s">
        <v>203</v>
      </c>
      <c r="E25" s="13">
        <v>4.2399999999999993E-2</v>
      </c>
      <c r="F25" s="13">
        <v>4.0222222222222222E-2</v>
      </c>
      <c r="G25" s="5">
        <f>F25/E25</f>
        <v>0.94863731656184502</v>
      </c>
    </row>
    <row r="26" spans="1:7" x14ac:dyDescent="0.2">
      <c r="A26" s="5" t="s">
        <v>170</v>
      </c>
      <c r="B26" s="5" t="s">
        <v>171</v>
      </c>
      <c r="C26" s="5" t="s">
        <v>204</v>
      </c>
      <c r="D26" s="5" t="s">
        <v>205</v>
      </c>
      <c r="E26" s="5">
        <v>0.09</v>
      </c>
      <c r="F26" s="11"/>
      <c r="G26" s="5"/>
    </row>
    <row r="27" spans="1:7" x14ac:dyDescent="0.2">
      <c r="A27" s="11" t="s">
        <v>170</v>
      </c>
      <c r="B27" s="11" t="s">
        <v>171</v>
      </c>
      <c r="C27" s="11" t="s">
        <v>206</v>
      </c>
      <c r="D27" s="11" t="s">
        <v>207</v>
      </c>
      <c r="E27" s="11"/>
      <c r="F27" s="11"/>
      <c r="G27" s="5"/>
    </row>
    <row r="28" spans="1:7" x14ac:dyDescent="0.2">
      <c r="A28" s="11" t="s">
        <v>170</v>
      </c>
      <c r="B28" s="11" t="s">
        <v>171</v>
      </c>
      <c r="C28" s="11" t="s">
        <v>206</v>
      </c>
      <c r="D28" s="11" t="s">
        <v>207</v>
      </c>
      <c r="E28" s="13">
        <v>8.9999999999999993E-3</v>
      </c>
      <c r="F28" s="13">
        <v>8.8888888888888893E-4</v>
      </c>
      <c r="G28" s="5">
        <f>F28/E28</f>
        <v>9.876543209876544E-2</v>
      </c>
    </row>
    <row r="29" spans="1:7" x14ac:dyDescent="0.2">
      <c r="A29" s="11" t="s">
        <v>170</v>
      </c>
      <c r="B29" s="11" t="s">
        <v>171</v>
      </c>
      <c r="C29" s="11" t="s">
        <v>208</v>
      </c>
      <c r="D29" s="11" t="s">
        <v>209</v>
      </c>
      <c r="E29" s="11"/>
      <c r="F29" s="11"/>
      <c r="G29" s="5"/>
    </row>
    <row r="30" spans="1:7" x14ac:dyDescent="0.2">
      <c r="A30" s="5" t="s">
        <v>170</v>
      </c>
      <c r="B30" s="5" t="s">
        <v>171</v>
      </c>
      <c r="C30" s="5" t="s">
        <v>208</v>
      </c>
      <c r="D30" s="5" t="s">
        <v>209</v>
      </c>
      <c r="E30" s="7">
        <v>0.08</v>
      </c>
      <c r="F30" s="11"/>
      <c r="G30" s="5"/>
    </row>
    <row r="31" spans="1:7" x14ac:dyDescent="0.2">
      <c r="A31" s="5" t="s">
        <v>170</v>
      </c>
      <c r="B31" s="5" t="s">
        <v>171</v>
      </c>
      <c r="C31" s="5" t="s">
        <v>208</v>
      </c>
      <c r="D31" s="5" t="s">
        <v>209</v>
      </c>
      <c r="E31" s="5">
        <v>0.13</v>
      </c>
      <c r="F31" s="11"/>
      <c r="G31" s="5"/>
    </row>
    <row r="32" spans="1:7" x14ac:dyDescent="0.2">
      <c r="A32" s="11" t="s">
        <v>170</v>
      </c>
      <c r="B32" s="11" t="s">
        <v>171</v>
      </c>
      <c r="C32" s="11" t="s">
        <v>210</v>
      </c>
      <c r="D32" s="11" t="s">
        <v>211</v>
      </c>
      <c r="E32" s="11"/>
      <c r="F32" s="11"/>
      <c r="G32" s="5"/>
    </row>
    <row r="33" spans="1:7" x14ac:dyDescent="0.2">
      <c r="A33" s="11" t="s">
        <v>170</v>
      </c>
      <c r="B33" s="11" t="s">
        <v>171</v>
      </c>
      <c r="C33" s="11" t="s">
        <v>212</v>
      </c>
      <c r="D33" s="11" t="s">
        <v>213</v>
      </c>
      <c r="E33" s="11"/>
      <c r="F33" s="11"/>
      <c r="G33" s="5"/>
    </row>
    <row r="34" spans="1:7" x14ac:dyDescent="0.2">
      <c r="A34" s="5" t="s">
        <v>170</v>
      </c>
      <c r="B34" s="5" t="s">
        <v>171</v>
      </c>
      <c r="C34" s="5" t="s">
        <v>212</v>
      </c>
      <c r="D34" s="5" t="s">
        <v>213</v>
      </c>
      <c r="E34" s="13">
        <v>0.03</v>
      </c>
      <c r="F34" s="11"/>
      <c r="G34" s="5"/>
    </row>
    <row r="35" spans="1:7" x14ac:dyDescent="0.2">
      <c r="A35" s="11" t="s">
        <v>170</v>
      </c>
      <c r="B35" s="11" t="s">
        <v>171</v>
      </c>
      <c r="C35" s="11" t="s">
        <v>214</v>
      </c>
      <c r="D35" s="11" t="s">
        <v>215</v>
      </c>
      <c r="E35" s="11"/>
      <c r="F35" s="11"/>
      <c r="G35" s="5"/>
    </row>
    <row r="36" spans="1:7" x14ac:dyDescent="0.2">
      <c r="A36" s="11" t="s">
        <v>170</v>
      </c>
      <c r="B36" s="5" t="s">
        <v>171</v>
      </c>
      <c r="C36" s="5" t="s">
        <v>214</v>
      </c>
      <c r="D36" s="5" t="s">
        <v>215</v>
      </c>
      <c r="E36" s="11"/>
      <c r="F36" s="11"/>
      <c r="G36" s="5"/>
    </row>
    <row r="37" spans="1:7" x14ac:dyDescent="0.2">
      <c r="A37" s="5" t="s">
        <v>170</v>
      </c>
      <c r="B37" s="5" t="s">
        <v>171</v>
      </c>
      <c r="C37" s="5" t="s">
        <v>214</v>
      </c>
      <c r="D37" s="5" t="s">
        <v>215</v>
      </c>
      <c r="E37" s="5">
        <v>0.12</v>
      </c>
      <c r="F37" s="11"/>
      <c r="G37" s="5"/>
    </row>
    <row r="38" spans="1:7" x14ac:dyDescent="0.2">
      <c r="A38" s="11" t="s">
        <v>170</v>
      </c>
      <c r="B38" s="11" t="s">
        <v>171</v>
      </c>
      <c r="C38" s="11" t="s">
        <v>216</v>
      </c>
      <c r="D38" s="11" t="s">
        <v>217</v>
      </c>
      <c r="E38" s="11"/>
      <c r="F38" s="11"/>
      <c r="G38" s="5"/>
    </row>
    <row r="39" spans="1:7" x14ac:dyDescent="0.2">
      <c r="A39" s="11" t="s">
        <v>170</v>
      </c>
      <c r="B39" s="11" t="s">
        <v>171</v>
      </c>
      <c r="C39" s="11" t="s">
        <v>216</v>
      </c>
      <c r="D39" s="11" t="s">
        <v>217</v>
      </c>
      <c r="E39" s="13">
        <v>6.3400000000000012E-2</v>
      </c>
      <c r="F39" s="13">
        <v>5.6499999999999995E-2</v>
      </c>
      <c r="G39" s="5">
        <f>F39/E39</f>
        <v>0.89116719242902187</v>
      </c>
    </row>
    <row r="40" spans="1:7" x14ac:dyDescent="0.2">
      <c r="A40" s="11" t="s">
        <v>170</v>
      </c>
      <c r="B40" s="11" t="s">
        <v>171</v>
      </c>
      <c r="C40" s="11" t="s">
        <v>216</v>
      </c>
      <c r="D40" s="11" t="s">
        <v>217</v>
      </c>
      <c r="E40" s="11"/>
      <c r="F40" s="11"/>
      <c r="G40" s="5"/>
    </row>
    <row r="41" spans="1:7" x14ac:dyDescent="0.2">
      <c r="A41" s="11" t="s">
        <v>170</v>
      </c>
      <c r="B41" s="11" t="s">
        <v>171</v>
      </c>
      <c r="C41" s="11" t="s">
        <v>218</v>
      </c>
      <c r="D41" s="11" t="s">
        <v>219</v>
      </c>
      <c r="E41" s="13">
        <v>4.8399999999999999E-2</v>
      </c>
      <c r="F41" s="13">
        <v>3.2600000000000004E-2</v>
      </c>
      <c r="G41" s="5">
        <f>F41/E41</f>
        <v>0.67355371900826455</v>
      </c>
    </row>
    <row r="42" spans="1:7" x14ac:dyDescent="0.2">
      <c r="A42" s="5" t="s">
        <v>170</v>
      </c>
      <c r="B42" s="5" t="s">
        <v>171</v>
      </c>
      <c r="C42" s="5" t="s">
        <v>220</v>
      </c>
      <c r="D42" s="5" t="s">
        <v>221</v>
      </c>
      <c r="E42" s="5">
        <v>0.09</v>
      </c>
      <c r="F42" s="5">
        <v>0.01</v>
      </c>
      <c r="G42" s="5">
        <f>F42/E42</f>
        <v>0.11111111111111112</v>
      </c>
    </row>
    <row r="43" spans="1:7" x14ac:dyDescent="0.2">
      <c r="A43" s="11" t="s">
        <v>170</v>
      </c>
      <c r="B43" s="11" t="s">
        <v>171</v>
      </c>
      <c r="C43" s="11" t="s">
        <v>222</v>
      </c>
      <c r="D43" s="11" t="s">
        <v>223</v>
      </c>
      <c r="E43" s="11"/>
      <c r="F43" s="11"/>
      <c r="G43" s="5"/>
    </row>
    <row r="44" spans="1:7" x14ac:dyDescent="0.2">
      <c r="A44" s="5" t="s">
        <v>170</v>
      </c>
      <c r="B44" s="5" t="s">
        <v>171</v>
      </c>
      <c r="C44" s="5" t="s">
        <v>222</v>
      </c>
      <c r="D44" s="5" t="s">
        <v>223</v>
      </c>
      <c r="E44" s="7">
        <v>0.14000000000000001</v>
      </c>
      <c r="F44" s="11"/>
      <c r="G44" s="5"/>
    </row>
    <row r="45" spans="1:7" x14ac:dyDescent="0.2">
      <c r="A45" s="21" t="s">
        <v>170</v>
      </c>
      <c r="B45" s="21" t="s">
        <v>171</v>
      </c>
      <c r="C45" s="21" t="s">
        <v>222</v>
      </c>
      <c r="D45" s="21" t="s">
        <v>223</v>
      </c>
      <c r="E45" s="11">
        <v>0.12</v>
      </c>
      <c r="F45" s="11"/>
      <c r="G45" s="5"/>
    </row>
    <row r="46" spans="1:7" x14ac:dyDescent="0.2">
      <c r="A46" s="11" t="s">
        <v>170</v>
      </c>
      <c r="B46" s="11" t="s">
        <v>171</v>
      </c>
      <c r="C46" s="11" t="s">
        <v>224</v>
      </c>
      <c r="D46" s="11" t="s">
        <v>225</v>
      </c>
      <c r="E46" s="11"/>
      <c r="F46" s="11"/>
      <c r="G46" s="5"/>
    </row>
    <row r="47" spans="1:7" x14ac:dyDescent="0.2">
      <c r="A47" s="11" t="s">
        <v>170</v>
      </c>
      <c r="B47" s="11" t="s">
        <v>171</v>
      </c>
      <c r="C47" s="11" t="s">
        <v>224</v>
      </c>
      <c r="D47" s="11" t="s">
        <v>225</v>
      </c>
      <c r="E47" s="13">
        <v>5.4700000000000006E-2</v>
      </c>
      <c r="F47" s="13">
        <v>5.2777777777777778E-2</v>
      </c>
      <c r="G47" s="5">
        <f>F47/E47</f>
        <v>0.96485882591915484</v>
      </c>
    </row>
    <row r="48" spans="1:7" x14ac:dyDescent="0.2">
      <c r="A48" s="11" t="s">
        <v>170</v>
      </c>
      <c r="B48" s="11" t="s">
        <v>171</v>
      </c>
      <c r="C48" s="21" t="s">
        <v>92</v>
      </c>
      <c r="D48" s="21" t="s">
        <v>226</v>
      </c>
      <c r="E48" s="13">
        <v>9.3777777777777779E-2</v>
      </c>
      <c r="F48" s="13">
        <v>7.3888888888888893E-2</v>
      </c>
      <c r="G48" s="5">
        <f>F48/E48</f>
        <v>0.78791469194312802</v>
      </c>
    </row>
    <row r="49" spans="1:8" x14ac:dyDescent="0.2">
      <c r="A49" s="21" t="s">
        <v>170</v>
      </c>
      <c r="B49" s="21" t="s">
        <v>171</v>
      </c>
      <c r="C49" s="21" t="s">
        <v>93</v>
      </c>
      <c r="D49" s="21" t="s">
        <v>227</v>
      </c>
      <c r="E49" s="12">
        <v>3.5999999999999997E-2</v>
      </c>
      <c r="F49" s="12">
        <v>7.0000000000000001E-3</v>
      </c>
      <c r="G49" s="5">
        <f>F49/E49</f>
        <v>0.19444444444444448</v>
      </c>
    </row>
    <row r="50" spans="1:8" x14ac:dyDescent="0.2">
      <c r="A50" s="5" t="s">
        <v>170</v>
      </c>
      <c r="B50" s="5" t="s">
        <v>171</v>
      </c>
      <c r="C50" s="5" t="s">
        <v>94</v>
      </c>
      <c r="D50" s="5" t="s">
        <v>228</v>
      </c>
      <c r="E50" s="11"/>
      <c r="F50" s="11"/>
      <c r="G50" s="5"/>
    </row>
    <row r="51" spans="1:8" x14ac:dyDescent="0.2">
      <c r="A51" s="5" t="s">
        <v>170</v>
      </c>
      <c r="B51" s="5" t="s">
        <v>171</v>
      </c>
      <c r="C51" s="5" t="s">
        <v>95</v>
      </c>
      <c r="D51" s="5" t="s">
        <v>229</v>
      </c>
      <c r="E51" s="5">
        <v>0.1</v>
      </c>
      <c r="F51" s="11"/>
      <c r="G51" s="5"/>
    </row>
    <row r="52" spans="1:8" x14ac:dyDescent="0.2">
      <c r="A52" s="11" t="s">
        <v>170</v>
      </c>
      <c r="B52" s="38" t="s">
        <v>171</v>
      </c>
      <c r="C52" s="11" t="s">
        <v>96</v>
      </c>
      <c r="D52" s="11" t="str">
        <f>CONCATENATE(B52,".",C52)</f>
        <v>Miconia.sp.5</v>
      </c>
      <c r="E52" s="11"/>
      <c r="F52" s="11"/>
      <c r="G52" s="5"/>
    </row>
    <row r="53" spans="1:8" x14ac:dyDescent="0.2">
      <c r="A53" s="5" t="s">
        <v>170</v>
      </c>
      <c r="B53" s="5" t="s">
        <v>171</v>
      </c>
      <c r="C53" s="5" t="s">
        <v>230</v>
      </c>
      <c r="D53" s="5" t="s">
        <v>231</v>
      </c>
      <c r="E53" s="5">
        <v>0.19600000000000001</v>
      </c>
      <c r="F53" s="11"/>
      <c r="G53" s="5"/>
    </row>
    <row r="54" spans="1:8" x14ac:dyDescent="0.2">
      <c r="A54" s="11" t="s">
        <v>170</v>
      </c>
      <c r="B54" s="11" t="s">
        <v>171</v>
      </c>
      <c r="C54" s="11" t="s">
        <v>232</v>
      </c>
      <c r="D54" s="11" t="s">
        <v>233</v>
      </c>
      <c r="E54" s="13">
        <v>1.8200000000000001E-2</v>
      </c>
      <c r="F54" s="13">
        <v>1.6680000000000004E-2</v>
      </c>
      <c r="G54" s="5">
        <f>F54/E54</f>
        <v>0.91648351648351667</v>
      </c>
    </row>
    <row r="55" spans="1:8" x14ac:dyDescent="0.2">
      <c r="A55" s="11" t="s">
        <v>170</v>
      </c>
      <c r="B55" s="11" t="s">
        <v>171</v>
      </c>
      <c r="C55" s="11" t="s">
        <v>234</v>
      </c>
      <c r="D55" s="11" t="s">
        <v>235</v>
      </c>
      <c r="E55" s="11"/>
      <c r="F55" s="11"/>
      <c r="G55" s="5"/>
    </row>
    <row r="56" spans="1:8" x14ac:dyDescent="0.2">
      <c r="A56" s="11" t="s">
        <v>170</v>
      </c>
      <c r="B56" s="11" t="s">
        <v>171</v>
      </c>
      <c r="C56" s="11" t="s">
        <v>236</v>
      </c>
      <c r="D56" s="11" t="s">
        <v>237</v>
      </c>
      <c r="E56" s="11"/>
      <c r="F56" s="11"/>
      <c r="G56" s="5"/>
    </row>
    <row r="57" spans="1:8" x14ac:dyDescent="0.2">
      <c r="A57" s="11" t="s">
        <v>170</v>
      </c>
      <c r="B57" s="11" t="s">
        <v>171</v>
      </c>
      <c r="C57" s="11" t="s">
        <v>236</v>
      </c>
      <c r="D57" s="11" t="s">
        <v>237</v>
      </c>
      <c r="E57" s="13">
        <v>0.11349999999999998</v>
      </c>
      <c r="F57" s="13">
        <v>0.10700000000000001</v>
      </c>
      <c r="G57" s="5">
        <f>F57/E57</f>
        <v>0.94273127753303998</v>
      </c>
    </row>
    <row r="58" spans="1:8" x14ac:dyDescent="0.2">
      <c r="A58" s="11" t="s">
        <v>170</v>
      </c>
      <c r="B58" s="11" t="s">
        <v>171</v>
      </c>
      <c r="C58" s="11" t="s">
        <v>238</v>
      </c>
      <c r="D58" s="11" t="s">
        <v>239</v>
      </c>
      <c r="E58" s="13">
        <v>6.2700000000000006E-2</v>
      </c>
      <c r="F58" s="13">
        <v>5.5500000000000008E-2</v>
      </c>
      <c r="G58" s="5">
        <f>F58/E58</f>
        <v>0.8851674641148326</v>
      </c>
    </row>
    <row r="59" spans="1:8" x14ac:dyDescent="0.2">
      <c r="A59" s="5"/>
      <c r="B59" s="5"/>
      <c r="C59" s="5"/>
      <c r="D59" s="5"/>
      <c r="E59" s="24"/>
      <c r="F59" s="25"/>
      <c r="G59" s="27">
        <f>AVERAGE(G2:G58)</f>
        <v>0.67767322245275308</v>
      </c>
      <c r="H59">
        <f>STDEV(G2:G58)/SQRT(17)</f>
        <v>7.9762033141093411E-2</v>
      </c>
    </row>
    <row r="60" spans="1:8" x14ac:dyDescent="0.2">
      <c r="A60" s="5"/>
      <c r="B60" s="5"/>
      <c r="C60" s="5"/>
      <c r="D60" s="5"/>
      <c r="E60" s="11"/>
      <c r="F60" s="11"/>
      <c r="G60" s="11"/>
    </row>
    <row r="61" spans="1:8" x14ac:dyDescent="0.2">
      <c r="A61" s="5"/>
      <c r="B61" s="5"/>
      <c r="C61" s="5"/>
      <c r="D61" s="5"/>
      <c r="E61" s="13"/>
      <c r="F61" s="11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983D-A961-1C4F-B100-9B7F2499F783}">
  <dimension ref="A1:N5"/>
  <sheetViews>
    <sheetView workbookViewId="0">
      <selection activeCell="E5" sqref="E5"/>
    </sheetView>
  </sheetViews>
  <sheetFormatPr baseColWidth="10" defaultRowHeight="16" x14ac:dyDescent="0.2"/>
  <sheetData>
    <row r="1" spans="1:14" s="44" customFormat="1" ht="12" x14ac:dyDescent="0.15">
      <c r="D1" s="45" t="s">
        <v>36</v>
      </c>
      <c r="E1" s="44" t="s">
        <v>261</v>
      </c>
      <c r="G1" s="46"/>
      <c r="H1" s="46" t="s">
        <v>262</v>
      </c>
      <c r="I1" s="46" t="s">
        <v>263</v>
      </c>
      <c r="J1" s="46" t="s">
        <v>264</v>
      </c>
      <c r="K1" s="46" t="s">
        <v>265</v>
      </c>
      <c r="L1" s="46" t="s">
        <v>266</v>
      </c>
      <c r="M1" s="46" t="s">
        <v>267</v>
      </c>
      <c r="N1" s="44" t="s">
        <v>268</v>
      </c>
    </row>
    <row r="2" spans="1:14" s="40" customFormat="1" ht="12" x14ac:dyDescent="0.15">
      <c r="A2" s="40" t="s">
        <v>170</v>
      </c>
      <c r="B2" s="40" t="s">
        <v>171</v>
      </c>
      <c r="C2" s="40" t="s">
        <v>172</v>
      </c>
      <c r="D2" s="43">
        <v>0.67400000000000004</v>
      </c>
      <c r="E2" s="40" t="s">
        <v>258</v>
      </c>
    </row>
    <row r="3" spans="1:14" s="40" customFormat="1" ht="12" x14ac:dyDescent="0.15">
      <c r="A3" s="40" t="s">
        <v>170</v>
      </c>
      <c r="B3" s="40" t="s">
        <v>171</v>
      </c>
      <c r="C3" s="40" t="s">
        <v>92</v>
      </c>
      <c r="D3" s="43">
        <v>0.81399999999999995</v>
      </c>
      <c r="E3" s="40" t="s">
        <v>259</v>
      </c>
    </row>
    <row r="4" spans="1:14" s="40" customFormat="1" ht="12" x14ac:dyDescent="0.15">
      <c r="A4" s="40" t="s">
        <v>170</v>
      </c>
      <c r="B4" s="40" t="s">
        <v>171</v>
      </c>
      <c r="C4" s="40" t="s">
        <v>93</v>
      </c>
      <c r="D4" s="43"/>
      <c r="E4" s="40" t="s">
        <v>260</v>
      </c>
    </row>
    <row r="5" spans="1:14" x14ac:dyDescent="0.2">
      <c r="D5" s="47">
        <f>AVERAGE(D2:D3)</f>
        <v>0.74399999999999999</v>
      </c>
      <c r="E5" s="2">
        <f>STDEV(D2:D3)/SQRT(2)</f>
        <v>6.9999999999999937E-2</v>
      </c>
    </row>
  </sheetData>
  <dataValidations count="7">
    <dataValidation type="list" allowBlank="1" showErrorMessage="1" sqref="WUV1:WUV4 IJ1:IJ4 SF1:SF4 ACB1:ACB4 ALX1:ALX4 AVT1:AVT4 BFP1:BFP4 BPL1:BPL4 BZH1:BZH4 CJD1:CJD4 CSZ1:CSZ4 DCV1:DCV4 DMR1:DMR4 DWN1:DWN4 EGJ1:EGJ4 EQF1:EQF4 FAB1:FAB4 FJX1:FJX4 FTT1:FTT4 GDP1:GDP4 GNL1:GNL4 GXH1:GXH4 HHD1:HHD4 HQZ1:HQZ4 IAV1:IAV4 IKR1:IKR4 IUN1:IUN4 JEJ1:JEJ4 JOF1:JOF4 JYB1:JYB4 KHX1:KHX4 KRT1:KRT4 LBP1:LBP4 LLL1:LLL4 LVH1:LVH4 MFD1:MFD4 MOZ1:MOZ4 MYV1:MYV4 NIR1:NIR4 NSN1:NSN4 OCJ1:OCJ4 OMF1:OMF4 OWB1:OWB4 PFX1:PFX4 PPT1:PPT4 PZP1:PZP4 QJL1:QJL4 QTH1:QTH4 RDD1:RDD4 RMZ1:RMZ4 RWV1:RWV4 SGR1:SGR4 SQN1:SQN4 TAJ1:TAJ4 TKF1:TKF4 TUB1:TUB4 UDX1:UDX4 UNT1:UNT4 UXP1:UXP4 VHL1:VHL4 VRH1:VRH4 WBD1:WBD4 WKZ1:WKZ4" xr:uid="{F1CD8AEC-3478-1F42-9858-79299B20D630}">
      <formula1>$K$2:$K$4</formula1>
      <formula2>0</formula2>
    </dataValidation>
    <dataValidation type="list" allowBlank="1" showErrorMessage="1" sqref="WUU1:WUU4 II1:II4 SE1:SE4 ACA1:ACA4 ALW1:ALW4 AVS1:AVS4 BFO1:BFO4 BPK1:BPK4 BZG1:BZG4 CJC1:CJC4 CSY1:CSY4 DCU1:DCU4 DMQ1:DMQ4 DWM1:DWM4 EGI1:EGI4 EQE1:EQE4 FAA1:FAA4 FJW1:FJW4 FTS1:FTS4 GDO1:GDO4 GNK1:GNK4 GXG1:GXG4 HHC1:HHC4 HQY1:HQY4 IAU1:IAU4 IKQ1:IKQ4 IUM1:IUM4 JEI1:JEI4 JOE1:JOE4 JYA1:JYA4 KHW1:KHW4 KRS1:KRS4 LBO1:LBO4 LLK1:LLK4 LVG1:LVG4 MFC1:MFC4 MOY1:MOY4 MYU1:MYU4 NIQ1:NIQ4 NSM1:NSM4 OCI1:OCI4 OME1:OME4 OWA1:OWA4 PFW1:PFW4 PPS1:PPS4 PZO1:PZO4 QJK1:QJK4 QTG1:QTG4 RDC1:RDC4 RMY1:RMY4 RWU1:RWU4 SGQ1:SGQ4 SQM1:SQM4 TAI1:TAI4 TKE1:TKE4 TUA1:TUA4 UDW1:UDW4 UNS1:UNS4 UXO1:UXO4 VHK1:VHK4 VRG1:VRG4 WBC1:WBC4 WKY1:WKY4" xr:uid="{92C8B5CA-2303-BF41-B34A-0C5B26D32329}">
      <formula1>$J$2:$J$9</formula1>
      <formula2>0</formula2>
    </dataValidation>
    <dataValidation type="list" allowBlank="1" showErrorMessage="1" sqref="WUT1:WUT4 IH1:IH4 SD1:SD4 ABZ1:ABZ4 ALV1:ALV4 AVR1:AVR4 BFN1:BFN4 BPJ1:BPJ4 BZF1:BZF4 CJB1:CJB4 CSX1:CSX4 DCT1:DCT4 DMP1:DMP4 DWL1:DWL4 EGH1:EGH4 EQD1:EQD4 EZZ1:EZZ4 FJV1:FJV4 FTR1:FTR4 GDN1:GDN4 GNJ1:GNJ4 GXF1:GXF4 HHB1:HHB4 HQX1:HQX4 IAT1:IAT4 IKP1:IKP4 IUL1:IUL4 JEH1:JEH4 JOD1:JOD4 JXZ1:JXZ4 KHV1:KHV4 KRR1:KRR4 LBN1:LBN4 LLJ1:LLJ4 LVF1:LVF4 MFB1:MFB4 MOX1:MOX4 MYT1:MYT4 NIP1:NIP4 NSL1:NSL4 OCH1:OCH4 OMD1:OMD4 OVZ1:OVZ4 PFV1:PFV4 PPR1:PPR4 PZN1:PZN4 QJJ1:QJJ4 QTF1:QTF4 RDB1:RDB4 RMX1:RMX4 RWT1:RWT4 SGP1:SGP4 SQL1:SQL4 TAH1:TAH4 TKD1:TKD4 TTZ1:TTZ4 UDV1:UDV4 UNR1:UNR4 UXN1:UXN4 VHJ1:VHJ4 VRF1:VRF4 WBB1:WBB4 WKX1:WKX4" xr:uid="{9C1AF9F1-D0DB-684F-88BC-7E593EA17390}">
      <formula1>$I$2:$I$9</formula1>
      <formula2>0</formula2>
    </dataValidation>
    <dataValidation type="list" allowBlank="1" showErrorMessage="1" sqref="WUS1:WUS4 IG1:IG4 SC1:SC4 ABY1:ABY4 ALU1:ALU4 AVQ1:AVQ4 BFM1:BFM4 BPI1:BPI4 BZE1:BZE4 CJA1:CJA4 CSW1:CSW4 DCS1:DCS4 DMO1:DMO4 DWK1:DWK4 EGG1:EGG4 EQC1:EQC4 EZY1:EZY4 FJU1:FJU4 FTQ1:FTQ4 GDM1:GDM4 GNI1:GNI4 GXE1:GXE4 HHA1:HHA4 HQW1:HQW4 IAS1:IAS4 IKO1:IKO4 IUK1:IUK4 JEG1:JEG4 JOC1:JOC4 JXY1:JXY4 KHU1:KHU4 KRQ1:KRQ4 LBM1:LBM4 LLI1:LLI4 LVE1:LVE4 MFA1:MFA4 MOW1:MOW4 MYS1:MYS4 NIO1:NIO4 NSK1:NSK4 OCG1:OCG4 OMC1:OMC4 OVY1:OVY4 PFU1:PFU4 PPQ1:PPQ4 PZM1:PZM4 QJI1:QJI4 QTE1:QTE4 RDA1:RDA4 RMW1:RMW4 RWS1:RWS4 SGO1:SGO4 SQK1:SQK4 TAG1:TAG4 TKC1:TKC4 TTY1:TTY4 UDU1:UDU4 UNQ1:UNQ4 UXM1:UXM4 VHI1:VHI4 VRE1:VRE4 WBA1:WBA4 WKW1:WKW4" xr:uid="{58EE719A-392C-9845-B05B-90E4A5ADF29B}">
      <formula1>$H$2:$H$5</formula1>
      <formula2>0</formula2>
    </dataValidation>
    <dataValidation type="list" allowBlank="1" showErrorMessage="1" sqref="WUR1:WUR4 IF1:IF4 SB1:SB4 ABX1:ABX4 ALT1:ALT4 AVP1:AVP4 BFL1:BFL4 BPH1:BPH4 BZD1:BZD4 CIZ1:CIZ4 CSV1:CSV4 DCR1:DCR4 DMN1:DMN4 DWJ1:DWJ4 EGF1:EGF4 EQB1:EQB4 EZX1:EZX4 FJT1:FJT4 FTP1:FTP4 GDL1:GDL4 GNH1:GNH4 GXD1:GXD4 HGZ1:HGZ4 HQV1:HQV4 IAR1:IAR4 IKN1:IKN4 IUJ1:IUJ4 JEF1:JEF4 JOB1:JOB4 JXX1:JXX4 KHT1:KHT4 KRP1:KRP4 LBL1:LBL4 LLH1:LLH4 LVD1:LVD4 MEZ1:MEZ4 MOV1:MOV4 MYR1:MYR4 NIN1:NIN4 NSJ1:NSJ4 OCF1:OCF4 OMB1:OMB4 OVX1:OVX4 PFT1:PFT4 PPP1:PPP4 PZL1:PZL4 QJH1:QJH4 QTD1:QTD4 RCZ1:RCZ4 RMV1:RMV4 RWR1:RWR4 SGN1:SGN4 SQJ1:SQJ4 TAF1:TAF4 TKB1:TKB4 TTX1:TTX4 UDT1:UDT4 UNP1:UNP4 UXL1:UXL4 VHH1:VHH4 VRD1:VRD4 WAZ1:WAZ4 WKV1:WKV4" xr:uid="{9B22B680-8A1B-7643-82C1-5728349FE893}">
      <formula1>$N$2:$N$7</formula1>
      <formula2>0</formula2>
    </dataValidation>
    <dataValidation type="list" allowBlank="1" showErrorMessage="1" sqref="WUP1:WUP4 ID1:ID4 RZ1:RZ4 ABV1:ABV4 ALR1:ALR4 AVN1:AVN4 BFJ1:BFJ4 BPF1:BPF4 BZB1:BZB4 CIX1:CIX4 CST1:CST4 DCP1:DCP4 DML1:DML4 DWH1:DWH4 EGD1:EGD4 EPZ1:EPZ4 EZV1:EZV4 FJR1:FJR4 FTN1:FTN4 GDJ1:GDJ4 GNF1:GNF4 GXB1:GXB4 HGX1:HGX4 HQT1:HQT4 IAP1:IAP4 IKL1:IKL4 IUH1:IUH4 JED1:JED4 JNZ1:JNZ4 JXV1:JXV4 KHR1:KHR4 KRN1:KRN4 LBJ1:LBJ4 LLF1:LLF4 LVB1:LVB4 MEX1:MEX4 MOT1:MOT4 MYP1:MYP4 NIL1:NIL4 NSH1:NSH4 OCD1:OCD4 OLZ1:OLZ4 OVV1:OVV4 PFR1:PFR4 PPN1:PPN4 PZJ1:PZJ4 QJF1:QJF4 QTB1:QTB4 RCX1:RCX4 RMT1:RMT4 RWP1:RWP4 SGL1:SGL4 SQH1:SQH4 TAD1:TAD4 TJZ1:TJZ4 TTV1:TTV4 UDR1:UDR4 UNN1:UNN4 UXJ1:UXJ4 VHF1:VHF4 VRB1:VRB4 WAX1:WAX4 WKT1:WKT4" xr:uid="{D1DB53CF-A5B4-EE45-AF61-6A4F71E7643F}">
      <formula1>$M$2:$M$10</formula1>
      <formula2>0</formula2>
    </dataValidation>
    <dataValidation type="list" allowBlank="1" showErrorMessage="1" sqref="WUO1:WUO4 IC1:IC4 RY1:RY4 ABU1:ABU4 ALQ1:ALQ4 AVM1:AVM4 BFI1:BFI4 BPE1:BPE4 BZA1:BZA4 CIW1:CIW4 CSS1:CSS4 DCO1:DCO4 DMK1:DMK4 DWG1:DWG4 EGC1:EGC4 EPY1:EPY4 EZU1:EZU4 FJQ1:FJQ4 FTM1:FTM4 GDI1:GDI4 GNE1:GNE4 GXA1:GXA4 HGW1:HGW4 HQS1:HQS4 IAO1:IAO4 IKK1:IKK4 IUG1:IUG4 JEC1:JEC4 JNY1:JNY4 JXU1:JXU4 KHQ1:KHQ4 KRM1:KRM4 LBI1:LBI4 LLE1:LLE4 LVA1:LVA4 MEW1:MEW4 MOS1:MOS4 MYO1:MYO4 NIK1:NIK4 NSG1:NSG4 OCC1:OCC4 OLY1:OLY4 OVU1:OVU4 PFQ1:PFQ4 PPM1:PPM4 PZI1:PZI4 QJE1:QJE4 QTA1:QTA4 RCW1:RCW4 RMS1:RMS4 RWO1:RWO4 SGK1:SGK4 SQG1:SQG4 TAC1:TAC4 TJY1:TJY4 TTU1:TTU4 UDQ1:UDQ4 UNM1:UNM4 UXI1:UXI4 VHE1:VHE4 VRA1:VRA4 WAW1:WAW4 WKS1:WKS4" xr:uid="{88CFB038-4A1B-6042-A6C5-467EB2158F3C}">
      <formula1>$L$2:$L$4</formula1>
      <formula2>0</formula2>
    </dataValidation>
  </dataValidation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85444-22D3-D64D-BE79-E4BBBF5569C3}">
  <dimension ref="A1:E9"/>
  <sheetViews>
    <sheetView workbookViewId="0">
      <selection activeCell="E10" sqref="E10"/>
    </sheetView>
  </sheetViews>
  <sheetFormatPr baseColWidth="10" defaultRowHeight="16" x14ac:dyDescent="0.2"/>
  <sheetData>
    <row r="1" spans="1:5" x14ac:dyDescent="0.2">
      <c r="D1" t="s">
        <v>36</v>
      </c>
    </row>
    <row r="2" spans="1:5" x14ac:dyDescent="0.2">
      <c r="A2" s="40" t="s">
        <v>269</v>
      </c>
      <c r="B2" s="40" t="s">
        <v>270</v>
      </c>
      <c r="C2" s="40" t="s">
        <v>271</v>
      </c>
      <c r="D2" s="43">
        <v>0.11</v>
      </c>
    </row>
    <row r="3" spans="1:5" x14ac:dyDescent="0.2">
      <c r="A3" s="40" t="s">
        <v>269</v>
      </c>
      <c r="B3" s="40" t="s">
        <v>270</v>
      </c>
      <c r="C3" s="40" t="s">
        <v>272</v>
      </c>
      <c r="D3" s="43">
        <v>0.09</v>
      </c>
    </row>
    <row r="4" spans="1:5" x14ac:dyDescent="0.2">
      <c r="A4" s="40" t="s">
        <v>269</v>
      </c>
      <c r="B4" s="40" t="s">
        <v>270</v>
      </c>
      <c r="C4" s="40" t="s">
        <v>273</v>
      </c>
      <c r="D4" s="43">
        <v>0.17899999999999999</v>
      </c>
    </row>
    <row r="5" spans="1:5" x14ac:dyDescent="0.2">
      <c r="A5" s="40" t="s">
        <v>269</v>
      </c>
      <c r="B5" s="40" t="s">
        <v>270</v>
      </c>
      <c r="C5" s="40" t="s">
        <v>274</v>
      </c>
      <c r="D5" s="43">
        <v>0.41699999999999998</v>
      </c>
    </row>
    <row r="6" spans="1:5" x14ac:dyDescent="0.2">
      <c r="A6" s="40" t="s">
        <v>269</v>
      </c>
      <c r="B6" s="40" t="s">
        <v>270</v>
      </c>
      <c r="C6" s="40" t="s">
        <v>275</v>
      </c>
      <c r="D6" s="43">
        <v>0.20100000000000001</v>
      </c>
    </row>
    <row r="7" spans="1:5" x14ac:dyDescent="0.2">
      <c r="A7" s="40" t="s">
        <v>269</v>
      </c>
      <c r="B7" s="40" t="s">
        <v>270</v>
      </c>
      <c r="C7" s="40" t="s">
        <v>276</v>
      </c>
      <c r="D7" s="43"/>
    </row>
    <row r="8" spans="1:5" x14ac:dyDescent="0.2">
      <c r="A8" s="40" t="s">
        <v>269</v>
      </c>
      <c r="B8" s="40" t="s">
        <v>270</v>
      </c>
      <c r="C8" s="40" t="s">
        <v>277</v>
      </c>
      <c r="D8" s="43"/>
    </row>
    <row r="9" spans="1:5" x14ac:dyDescent="0.2">
      <c r="D9" s="47">
        <f>AVERAGE(D2:D6)</f>
        <v>0.19940000000000002</v>
      </c>
      <c r="E9" s="2">
        <f>STDEV(D2:D6)/SQRT(5)</f>
        <v>5.8193298583256108E-2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QTY</vt:lpstr>
      <vt:lpstr>QLY</vt:lpstr>
      <vt:lpstr>NOT USED</vt:lpstr>
      <vt:lpstr>Myrsine PROT</vt:lpstr>
      <vt:lpstr>Hoja2</vt:lpstr>
      <vt:lpstr>Ficus pPDM</vt:lpstr>
      <vt:lpstr>Miconia pPDM</vt:lpstr>
      <vt:lpstr>Miconia NSC</vt:lpstr>
      <vt:lpstr>Nectandra NSC</vt:lpstr>
      <vt:lpstr>Phoradendron pPDM</vt:lpstr>
      <vt:lpstr>Phoradendron Energy</vt:lpstr>
      <vt:lpstr>PDM Variation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 Quintero</cp:lastModifiedBy>
  <dcterms:created xsi:type="dcterms:W3CDTF">2017-06-27T12:38:02Z</dcterms:created>
  <dcterms:modified xsi:type="dcterms:W3CDTF">2019-04-04T15:22:30Z</dcterms:modified>
</cp:coreProperties>
</file>