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hidePivotFieldList="1" autoCompressPictures="0"/>
  <bookViews>
    <workbookView xWindow="0" yWindow="0" windowWidth="28280" windowHeight="16140" tabRatio="500" firstSheet="1" activeTab="5"/>
  </bookViews>
  <sheets>
    <sheet name="T. leucomelas" sheetId="1" r:id="rId1"/>
    <sheet name="R. dicolorus" sheetId="2" r:id="rId2"/>
    <sheet name="R. toco" sheetId="3" r:id="rId3"/>
    <sheet name="Redes Unesp" sheetId="5" r:id="rId4"/>
    <sheet name="ALL" sheetId="7" r:id="rId5"/>
    <sheet name="FINAL" sheetId="10" r:id="rId6"/>
    <sheet name="Metadata" sheetId="8" r:id="rId7"/>
  </sheets>
  <calcPr calcId="140001" concurrentCalc="0"/>
  <pivotCaches>
    <pivotCache cacheId="12" r:id="rId8"/>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L35" i="10" l="1"/>
  <c r="L36" i="10"/>
  <c r="L37" i="10"/>
  <c r="P32" i="10"/>
  <c r="P33" i="10"/>
  <c r="P34" i="10"/>
  <c r="Q35" i="10"/>
  <c r="R35" i="10"/>
  <c r="P35" i="10"/>
  <c r="L28" i="10"/>
  <c r="L29" i="10"/>
  <c r="P25" i="10"/>
  <c r="P26" i="10"/>
  <c r="Q27" i="10"/>
  <c r="R27" i="10"/>
  <c r="P27" i="10"/>
  <c r="L27" i="10"/>
  <c r="L2" i="7"/>
  <c r="K2" i="7"/>
  <c r="J2" i="7"/>
  <c r="H2" i="7"/>
  <c r="G5" i="7"/>
  <c r="J5" i="7"/>
  <c r="H5" i="7"/>
  <c r="L5" i="7"/>
  <c r="G2" i="7"/>
  <c r="G3" i="7"/>
  <c r="J3" i="7"/>
  <c r="H3" i="7"/>
  <c r="G4" i="7"/>
  <c r="H4" i="7"/>
  <c r="G6" i="7"/>
  <c r="H6" i="7"/>
  <c r="G7" i="7"/>
  <c r="H7" i="7"/>
  <c r="E8" i="7"/>
  <c r="G8" i="7"/>
  <c r="H8" i="7"/>
  <c r="H9" i="7"/>
  <c r="F19" i="7"/>
  <c r="G19" i="7"/>
  <c r="J19" i="7"/>
  <c r="E20" i="7"/>
  <c r="F20" i="7"/>
  <c r="G20" i="7"/>
  <c r="J20" i="7"/>
  <c r="E21" i="7"/>
  <c r="G21" i="7"/>
  <c r="J21" i="7"/>
  <c r="E22" i="7"/>
  <c r="F22" i="7"/>
  <c r="G22" i="7"/>
  <c r="J22" i="7"/>
  <c r="G23" i="7"/>
  <c r="J23" i="7"/>
  <c r="E18" i="7"/>
  <c r="F18" i="7"/>
  <c r="G18" i="7"/>
  <c r="J18" i="7"/>
  <c r="K20" i="7"/>
  <c r="H20" i="7"/>
  <c r="L20" i="7"/>
  <c r="G10" i="7"/>
  <c r="J10" i="7"/>
  <c r="K10" i="7"/>
  <c r="G9" i="7"/>
  <c r="J9" i="7"/>
  <c r="G14" i="7"/>
  <c r="G15" i="7"/>
  <c r="D7" i="8"/>
  <c r="D8" i="8"/>
  <c r="D10" i="8"/>
  <c r="D12" i="8"/>
  <c r="D11" i="8"/>
  <c r="D6" i="8"/>
  <c r="C25" i="5"/>
  <c r="C26" i="5"/>
  <c r="C27" i="5"/>
  <c r="C28" i="5"/>
  <c r="C29" i="5"/>
  <c r="H13" i="7"/>
  <c r="F28" i="3"/>
  <c r="J8" i="7"/>
  <c r="K18" i="7"/>
  <c r="H18" i="7"/>
  <c r="L18" i="7"/>
  <c r="J4" i="7"/>
  <c r="J6" i="7"/>
  <c r="J7" i="7"/>
  <c r="G11" i="7"/>
  <c r="H11" i="7"/>
  <c r="J11" i="7"/>
  <c r="H22" i="7"/>
  <c r="H21" i="7"/>
  <c r="H19" i="7"/>
  <c r="H23" i="7"/>
  <c r="L22" i="7"/>
  <c r="K22" i="7"/>
  <c r="L21" i="7"/>
  <c r="K21" i="7"/>
  <c r="L19" i="7"/>
  <c r="K19" i="7"/>
  <c r="G17" i="7"/>
  <c r="H17" i="7"/>
  <c r="J17" i="7"/>
  <c r="L17" i="7"/>
  <c r="K17" i="7"/>
  <c r="F17" i="7"/>
  <c r="G16" i="7"/>
  <c r="H16" i="7"/>
  <c r="J16" i="7"/>
  <c r="L16" i="7"/>
  <c r="K16" i="7"/>
  <c r="F16" i="7"/>
  <c r="H15" i="7"/>
  <c r="J15" i="7"/>
  <c r="L15" i="7"/>
  <c r="K15" i="7"/>
  <c r="F15" i="7"/>
  <c r="H14" i="7"/>
  <c r="J14" i="7"/>
  <c r="L14" i="7"/>
  <c r="K14" i="7"/>
  <c r="F14" i="7"/>
  <c r="J13" i="7"/>
  <c r="L13" i="7"/>
  <c r="K13" i="7"/>
  <c r="F13" i="7"/>
  <c r="H12" i="7"/>
  <c r="J12" i="7"/>
  <c r="L12" i="7"/>
  <c r="K12" i="7"/>
  <c r="F12" i="7"/>
  <c r="L11" i="7"/>
  <c r="K11" i="7"/>
  <c r="F11" i="7"/>
  <c r="L10" i="7"/>
  <c r="F10" i="7"/>
  <c r="L9" i="7"/>
  <c r="K9" i="7"/>
  <c r="F9" i="7"/>
  <c r="L8" i="7"/>
  <c r="K8" i="7"/>
  <c r="L7" i="7"/>
  <c r="K7" i="7"/>
  <c r="L6" i="7"/>
  <c r="K6" i="7"/>
  <c r="K5" i="7"/>
  <c r="L4" i="7"/>
  <c r="K4" i="7"/>
  <c r="L3" i="7"/>
  <c r="K3" i="7"/>
  <c r="L23" i="7"/>
  <c r="K23" i="7"/>
  <c r="J4" i="5"/>
  <c r="G16" i="5"/>
  <c r="G15" i="5"/>
  <c r="G14" i="5"/>
  <c r="G11" i="5"/>
  <c r="G12" i="5"/>
  <c r="G10" i="5"/>
  <c r="G7" i="5"/>
  <c r="G8" i="5"/>
  <c r="G6" i="5"/>
  <c r="H6" i="5"/>
  <c r="H15" i="5"/>
  <c r="J15" i="5"/>
  <c r="K15" i="5"/>
  <c r="H12" i="5"/>
  <c r="J12" i="5"/>
  <c r="H16" i="5"/>
  <c r="H14" i="5"/>
  <c r="K12" i="5"/>
  <c r="H10" i="5"/>
  <c r="J10" i="5"/>
  <c r="K10" i="5"/>
  <c r="H11" i="5"/>
  <c r="J6" i="5"/>
  <c r="K6" i="5"/>
  <c r="H7" i="5"/>
  <c r="J7" i="5"/>
  <c r="K7" i="5"/>
  <c r="K4" i="5"/>
  <c r="E56" i="3"/>
  <c r="F56" i="3"/>
  <c r="H56" i="3"/>
  <c r="I56" i="3"/>
  <c r="E57" i="3"/>
  <c r="H57" i="3"/>
  <c r="I57" i="3"/>
  <c r="E58" i="3"/>
  <c r="H58" i="3"/>
  <c r="I58" i="3"/>
  <c r="E55" i="3"/>
  <c r="F55" i="3"/>
  <c r="H55" i="3"/>
  <c r="I55" i="3"/>
  <c r="D45" i="2"/>
  <c r="G45" i="2"/>
  <c r="H45" i="2"/>
  <c r="E49" i="3"/>
  <c r="H49" i="3"/>
  <c r="E48" i="3"/>
  <c r="E47" i="3"/>
  <c r="I49" i="3"/>
  <c r="H46" i="3"/>
  <c r="B39" i="2"/>
  <c r="D39" i="2"/>
  <c r="E39" i="2"/>
  <c r="G39" i="2"/>
  <c r="H39" i="2"/>
  <c r="D33" i="2"/>
  <c r="G33" i="2"/>
  <c r="H33" i="2"/>
  <c r="J40" i="3"/>
  <c r="E37" i="3"/>
  <c r="E38" i="3"/>
  <c r="E40" i="3"/>
  <c r="F37" i="3"/>
  <c r="F38" i="3"/>
  <c r="F40" i="3"/>
  <c r="G40" i="3"/>
  <c r="H40" i="3"/>
  <c r="I40" i="3"/>
  <c r="F27" i="3"/>
  <c r="F30" i="3"/>
  <c r="E27" i="3"/>
  <c r="E28" i="3"/>
  <c r="E30" i="3"/>
  <c r="G30" i="3"/>
  <c r="H30" i="3"/>
  <c r="J30" i="3"/>
  <c r="I30" i="3"/>
  <c r="J19" i="3"/>
  <c r="E16" i="3"/>
  <c r="E17" i="3"/>
  <c r="E19" i="3"/>
  <c r="F17" i="3"/>
  <c r="F19" i="3"/>
  <c r="G19" i="3"/>
  <c r="H19" i="3"/>
  <c r="I19" i="3"/>
  <c r="H38" i="3"/>
  <c r="H37" i="3"/>
  <c r="I38" i="3"/>
  <c r="I37" i="3"/>
  <c r="D27" i="2"/>
  <c r="G27" i="2"/>
  <c r="H27" i="2"/>
  <c r="D21" i="2"/>
  <c r="G21" i="2"/>
  <c r="H21" i="2"/>
  <c r="H28" i="3"/>
  <c r="I28" i="3"/>
  <c r="H27" i="3"/>
  <c r="I27" i="3"/>
  <c r="H17" i="3"/>
  <c r="I17" i="3"/>
  <c r="D5" i="2"/>
  <c r="G5" i="2"/>
  <c r="H5" i="2"/>
  <c r="H16" i="3"/>
  <c r="I16" i="3"/>
  <c r="D15" i="2"/>
  <c r="H20" i="3"/>
  <c r="D14" i="2"/>
  <c r="G14" i="2"/>
  <c r="H14" i="2"/>
  <c r="E5" i="3"/>
  <c r="F5" i="3"/>
  <c r="H5" i="3"/>
  <c r="I5" i="3"/>
  <c r="F6" i="3"/>
  <c r="E6" i="3"/>
  <c r="H8" i="3"/>
  <c r="G7" i="2"/>
  <c r="G8" i="2"/>
  <c r="D6" i="2"/>
  <c r="G6" i="2"/>
  <c r="E12" i="1"/>
  <c r="G12" i="1"/>
  <c r="H12" i="1"/>
  <c r="E34" i="1"/>
  <c r="G34" i="1"/>
  <c r="E33" i="1"/>
  <c r="G33" i="1"/>
  <c r="E27" i="1"/>
  <c r="G27" i="1"/>
  <c r="E26" i="1"/>
  <c r="G26" i="1"/>
  <c r="E19" i="1"/>
  <c r="G19" i="1"/>
  <c r="G20" i="1"/>
  <c r="E18" i="1"/>
  <c r="G18" i="1"/>
  <c r="E5" i="1"/>
</calcChain>
</file>

<file path=xl/sharedStrings.xml><?xml version="1.0" encoding="utf-8"?>
<sst xmlns="http://schemas.openxmlformats.org/spreadsheetml/2006/main" count="859" uniqueCount="173">
  <si>
    <t>Day</t>
  </si>
  <si>
    <t>Time</t>
  </si>
  <si>
    <t>FRUIT</t>
  </si>
  <si>
    <t>Rubiacea familiy</t>
  </si>
  <si>
    <t>offered (g)</t>
  </si>
  <si>
    <t>left (g)</t>
  </si>
  <si>
    <t>eaten (g)</t>
  </si>
  <si>
    <t>defecated (g)</t>
  </si>
  <si>
    <t>absorbed (g)</t>
  </si>
  <si>
    <t>Trema micranta</t>
  </si>
  <si>
    <t>NA</t>
  </si>
  <si>
    <t>digestion (min)</t>
  </si>
  <si>
    <t>Offered at 9:00am. Video didn't show when defecation took place</t>
  </si>
  <si>
    <t>Conditions</t>
  </si>
  <si>
    <t>Food deprived overnight, no access to water</t>
  </si>
  <si>
    <t>observations</t>
  </si>
  <si>
    <t>Didn't eat</t>
  </si>
  <si>
    <t>Ficus benjamina</t>
  </si>
  <si>
    <t>Food deprived since 17:30, with access to water in the beginnig and deprived at 10:00am</t>
  </si>
  <si>
    <t>The fig fruits do not have seeds as is an exotic species. Was hard to tell if he ate or not. Video camera didn't work the whole time, but any feeding event was recorded. The feces correpond to watersih subtance, probabilbly with some endogenic material or food from previous day</t>
  </si>
  <si>
    <t>Cecropia glaziovii</t>
  </si>
  <si>
    <t>Schinus terebinthifolius</t>
  </si>
  <si>
    <t>Leandra sp.</t>
  </si>
  <si>
    <t>Offered 13 fruits at 10:00am. Didn't eat</t>
  </si>
  <si>
    <t>50 fruits. Didn't eat</t>
  </si>
  <si>
    <t>Didn't starved overnight, bu only for 30 min. No access to water</t>
  </si>
  <si>
    <t>Cutted in 12 small pieces. Didn't eat</t>
  </si>
  <si>
    <t>Cecropia pachystachia</t>
  </si>
  <si>
    <t>Euterpe edulis</t>
  </si>
  <si>
    <t>regurgitated (g)</t>
  </si>
  <si>
    <t>5 fruits offered. Didn't eat</t>
  </si>
  <si>
    <t>absorbed (%)</t>
  </si>
  <si>
    <t>Not reliable, feces were spread, probably he defecated more, and didn't absorbed that much. Camara didn't show when defecation, bad positioned</t>
  </si>
  <si>
    <t>regurgitation (min)</t>
  </si>
  <si>
    <t>Individual</t>
  </si>
  <si>
    <t xml:space="preserve">Food deprived overnight, free access to water. Enclosure with an arara, but access to her own feeder. </t>
  </si>
  <si>
    <t>Manipulated some fruits, but didn't swallow anything</t>
  </si>
  <si>
    <t>*Estimation regurgitated fruit mass of Euterpe = 1.03g. (Mean of 17 regurgitated, total=17.45g)</t>
  </si>
  <si>
    <t>*Estimation fruit mass of Euterpe = 1.42g</t>
  </si>
  <si>
    <t>Food deprived overnight, free access to water. 3 indviduals in the enclosure. Two males that eat with no problem. The female is more submissive, does not eat large fruits since she has a problem. with the beak (squared and smaller). No camera, but me as observer.</t>
  </si>
  <si>
    <t xml:space="preserve">Ate 1st 8 fruits, then 5 fruits. Ingested and regurgitated quantity is estimated wit fruit weights. </t>
  </si>
  <si>
    <t>Ate 1st 9 fruits, then 7 fruits. Ingested and regurgitated quantity is estimated wit fruit weights.</t>
  </si>
  <si>
    <t>60 min</t>
  </si>
  <si>
    <t>180 min</t>
  </si>
  <si>
    <t>115 min</t>
  </si>
  <si>
    <t>Cecropia pachystachya</t>
  </si>
  <si>
    <t>All</t>
  </si>
  <si>
    <t>feeding time (min)</t>
  </si>
  <si>
    <t>Feeding time</t>
  </si>
  <si>
    <t>Ring 079</t>
  </si>
  <si>
    <t>Manipulated some fruits, probably swallowd 1.</t>
  </si>
  <si>
    <t xml:space="preserve">Not observed. But eat around 13 fruits </t>
  </si>
  <si>
    <t>*Estimation fruit mass of Euterpe = 1.55g (30 fruits are 46.53)</t>
  </si>
  <si>
    <t>*Estimation regurgitated fruit mass of Euterpe = 0.96g. (Mean of 15 regurgitated, total=14.35g)</t>
  </si>
  <si>
    <t>8 hard/inmature pieces were given after the previous experiment, didn't eat anything.</t>
  </si>
  <si>
    <t xml:space="preserve">Offered 30fruits for all toucans. He ate 15 fruits.We marked him with white scotch tape in the beak and green ribon in the feet. Didn't seem to bother, didn't try to remove it. </t>
  </si>
  <si>
    <t xml:space="preserve">16 fruits (8 soft/more mature + 8 hard/imature). Only ate the mature ones. In the feaces there were pieces of other fruits ans wood… weight may be overstimated even after cleaning the feaces. </t>
  </si>
  <si>
    <t>Ate some parts of the pulp of some fruits, by manipulating the fruit with the beak. Only ate 1</t>
  </si>
  <si>
    <t>100 min</t>
  </si>
  <si>
    <t>70 min</t>
  </si>
  <si>
    <t>Manipulated one fruit, but didn't eat any.</t>
  </si>
  <si>
    <t>10 sof pieces. Still some feaces with other fruits (where can they come from is food is removed at 15:00 the previous days?). He defecated all around the enclosure so the camera didn't record when. But this time the feces were much more structured (and dry)</t>
  </si>
  <si>
    <t>&gt;17 min</t>
  </si>
  <si>
    <t>Offered 20 fruits for all toucans, he ate 13. We marked him with white scotch tape in the beak</t>
  </si>
  <si>
    <t>*Estimation regurgitated fruit mass of Euterpe = 0.99g. (Mean of 14 regurgitated, total=13.99g)</t>
  </si>
  <si>
    <t xml:space="preserve">Not observed as much, but eat 6 fruits </t>
  </si>
  <si>
    <t>130 min</t>
  </si>
  <si>
    <t>*Estimation fruit mass of Euterpe = 1.57g (20 fruits are 31.4)</t>
  </si>
  <si>
    <t>*Estimation fruit mass of Euterpe = 1.57g (20 fruits are 31.36)</t>
  </si>
  <si>
    <t>Ate 9 fruits. Marked with tape on beak</t>
  </si>
  <si>
    <t>Offered 20 fruits for all toucans, he ate 11.</t>
  </si>
  <si>
    <t xml:space="preserve">Didn't eat </t>
  </si>
  <si>
    <t>*Estimation regurgitated fruit mass of Euterpe = 0.99g. (Mean of 14 regurgitated, total=19.87g)</t>
  </si>
  <si>
    <t>120 min</t>
  </si>
  <si>
    <t>8 soft pieces. Defecated all in the trails. No camera recording</t>
  </si>
  <si>
    <r>
      <rPr>
        <b/>
        <sz val="12"/>
        <color rgb="FFFF0000"/>
        <rFont val="Calibri"/>
        <scheme val="minor"/>
      </rPr>
      <t>Another female</t>
    </r>
    <r>
      <rPr>
        <sz val="12"/>
        <color theme="1"/>
        <rFont val="Calibri"/>
        <family val="2"/>
        <scheme val="minor"/>
      </rPr>
      <t xml:space="preserve"> in an enclosure with gralhas, all access to same food. 5 fruits offered to the toucan, 1 plus the gralhas stole</t>
    </r>
  </si>
  <si>
    <t>105 min</t>
  </si>
  <si>
    <t>Ring 025</t>
  </si>
  <si>
    <t>Menina</t>
  </si>
  <si>
    <t>Offered 10 pieces of cecropia for all toucans, ring 025 and menina ate all but 1. Ring 079 didn't eat</t>
  </si>
  <si>
    <t>*Estimation piece mass = 0.94g (9 pieces are 8.5)</t>
  </si>
  <si>
    <t>Probably retained the fruit for longer in the stomach or couldn't find all the feces because I believe is a very high absorption.</t>
  </si>
  <si>
    <t>Ring 079 &amp; 025</t>
  </si>
  <si>
    <t>Offered 20 fruits for all toucans, ring 025 ate 6, ring 079 ate 11</t>
  </si>
  <si>
    <t>*Estimation fruit mass of Euterpe = 1.47g (20 fruits are 29.39)</t>
  </si>
  <si>
    <t>*Estimation regurgitated fruit mass of Euterpe = 0.95g. (Mean of 20 regurgitated, total=18.92g)</t>
  </si>
  <si>
    <t>Offered cecropia only for her. Probably needs more time to defecate all, or defecated in hidden places I coulnd't find all the feaces</t>
  </si>
  <si>
    <t>Estimation of fruit offered (1.5g for fruit and 0.83 for seed). No camera in the installation</t>
  </si>
  <si>
    <t>duration (min)</t>
  </si>
  <si>
    <t>finish</t>
  </si>
  <si>
    <t>start</t>
  </si>
  <si>
    <t>species</t>
  </si>
  <si>
    <t>fruit</t>
  </si>
  <si>
    <t>day</t>
  </si>
  <si>
    <t>Mist nets for bird capture are set around campus of the university. Birds captured are ringed, measured and then fed with twizers and left in bags for a while until they defecated</t>
  </si>
  <si>
    <t>Turdus amaurochalinus</t>
  </si>
  <si>
    <t>given (g)</t>
  </si>
  <si>
    <t xml:space="preserve">Took a long time to defecate, did it in two intervals. Probably didn't defecated all that was given, but experiment couldn't last any longer because of rain, and because the animal was already in the bag for more than 2 hours. Probably Cecropia is not the best idea to feed the birds, too many seeds, not sure when all defecated. Better fruits with just one seed. </t>
  </si>
  <si>
    <t>Trema micrantha</t>
  </si>
  <si>
    <t>Thraupis sayaca</t>
  </si>
  <si>
    <t>Pitangus sulfuratus</t>
  </si>
  <si>
    <t>5 fruits were given in the begining. He regurgitated one too. 3 more fruits were given at 12:00. Only found 1 seed out of 7 eaten. Feces mixed with many more seeds of figs, and huge seeds too. Didn't observe any seed in the feaces.</t>
  </si>
  <si>
    <t>Frutos Trema</t>
  </si>
  <si>
    <t>Peso</t>
  </si>
  <si>
    <t>Peso fruto</t>
  </si>
  <si>
    <t>Nº frutos</t>
  </si>
  <si>
    <t>Turdus leucomelas</t>
  </si>
  <si>
    <t>Pitangus sulphuratus</t>
  </si>
  <si>
    <t>5 fruits given, no feaces with seeds</t>
  </si>
  <si>
    <t>5 fruits given</t>
  </si>
  <si>
    <t>5 fruits given, but only found 2 seeds in the feaces (considered only 2 fruits given then)</t>
  </si>
  <si>
    <t>5 fruits were given in the beginning. He regurgitated 1 after 1 hour, then I gave 3 fruits more to stimulate the defecation at 10:45. Then at 11:05 we only found 2 seeds, out of 7 total he ate. 3 fruits considered then</t>
  </si>
  <si>
    <t>Probably retained the fruit for a longer time in the stomach orI  couldn't find all the feces because I believe is a very high absorption. Probably the experiment didn't last long enough</t>
  </si>
  <si>
    <t>Media estimada</t>
  </si>
  <si>
    <t>Didn't catch any frugivores</t>
  </si>
  <si>
    <t>6 fruits given but defecated only one seed of trema</t>
  </si>
  <si>
    <t>6 fruits given. Only defecated once, no seeds of Trema</t>
  </si>
  <si>
    <t>5 fruits given. Only defecated once, no seeds of Trema</t>
  </si>
  <si>
    <t>5 fruits given, regurgitated 2. Of three left, only 2 seeds appeared. Considered 3 fruits given</t>
  </si>
  <si>
    <t>"digested" (g)</t>
  </si>
  <si>
    <t>*"digested" (g): the number of seeds that appeared in the feaces. Often less than the number of fruits given.</t>
  </si>
  <si>
    <t>frug_sp</t>
  </si>
  <si>
    <t>plant</t>
  </si>
  <si>
    <t>exp_time</t>
  </si>
  <si>
    <t>offered</t>
  </si>
  <si>
    <t>left/not_swallowed</t>
  </si>
  <si>
    <t>eaten</t>
  </si>
  <si>
    <t>defecated</t>
  </si>
  <si>
    <t>absorbed</t>
  </si>
  <si>
    <t>digestibility</t>
  </si>
  <si>
    <t>r_digestibility</t>
  </si>
  <si>
    <t>regur_time</t>
  </si>
  <si>
    <t>digest_time</t>
  </si>
  <si>
    <t>Ramphastos dicolorus</t>
  </si>
  <si>
    <t>Ramphastos toco</t>
  </si>
  <si>
    <t>seed/regurgitated</t>
  </si>
  <si>
    <t>Frugivore species</t>
  </si>
  <si>
    <t>Plant species interacted</t>
  </si>
  <si>
    <t>Duartion of the feeding trial (min)</t>
  </si>
  <si>
    <t>Weight offered (g)</t>
  </si>
  <si>
    <t>Weight left in the feeder or not swallowed during force feeding, i.e. stayed in the larynx (g)</t>
  </si>
  <si>
    <t>Weight considered to have passed to the digestive system (g)</t>
  </si>
  <si>
    <t>Weight of defecated material (g)</t>
  </si>
  <si>
    <r>
      <rPr>
        <b/>
        <sz val="12"/>
        <color theme="1"/>
        <rFont val="Calibri"/>
        <family val="2"/>
        <scheme val="minor"/>
      </rPr>
      <t>absorbed</t>
    </r>
    <r>
      <rPr>
        <sz val="12"/>
        <color theme="1"/>
        <rFont val="Calibri"/>
        <family val="2"/>
        <scheme val="minor"/>
      </rPr>
      <t>/</t>
    </r>
    <r>
      <rPr>
        <b/>
        <sz val="12"/>
        <color theme="1"/>
        <rFont val="Calibri"/>
        <family val="2"/>
        <scheme val="minor"/>
      </rPr>
      <t>eaten</t>
    </r>
  </si>
  <si>
    <t>Time taken until first feaces appeared</t>
  </si>
  <si>
    <t>Time taken until first seed was regurgitated</t>
  </si>
  <si>
    <t>VARIABLES</t>
  </si>
  <si>
    <t>DESCRIPTION</t>
  </si>
  <si>
    <t>TYPE</t>
  </si>
  <si>
    <t>EXAMPLE</t>
  </si>
  <si>
    <t>character</t>
  </si>
  <si>
    <t>numerical</t>
  </si>
  <si>
    <t>percentual</t>
  </si>
  <si>
    <r>
      <rPr>
        <b/>
        <sz val="12"/>
        <color theme="1"/>
        <rFont val="Calibri"/>
        <family val="2"/>
        <scheme val="minor"/>
      </rPr>
      <t>absorbed</t>
    </r>
    <r>
      <rPr>
        <sz val="12"/>
        <color theme="1"/>
        <rFont val="Calibri"/>
        <family val="2"/>
        <scheme val="minor"/>
      </rPr>
      <t>/(</t>
    </r>
    <r>
      <rPr>
        <b/>
        <sz val="12"/>
        <color theme="1"/>
        <rFont val="Calibri"/>
        <family val="2"/>
        <scheme val="minor"/>
      </rPr>
      <t>eaten</t>
    </r>
    <r>
      <rPr>
        <sz val="12"/>
        <color theme="1"/>
        <rFont val="Calibri"/>
        <family val="2"/>
        <scheme val="minor"/>
      </rPr>
      <t>-</t>
    </r>
    <r>
      <rPr>
        <b/>
        <sz val="12"/>
        <color theme="1"/>
        <rFont val="Calibri"/>
        <family val="2"/>
        <scheme val="minor"/>
      </rPr>
      <t>seed</t>
    </r>
    <r>
      <rPr>
        <sz val="12"/>
        <color theme="1"/>
        <rFont val="Calibri"/>
        <family val="2"/>
        <scheme val="minor"/>
      </rPr>
      <t>) - Realized digestibility (higher, as we are considering only the pulp)</t>
    </r>
  </si>
  <si>
    <t xml:space="preserve"> </t>
  </si>
  <si>
    <t>Weight of seeds eaten, (from literature for all but for Euterpe, which was weighted from regurgitated seeds) (g)</t>
  </si>
  <si>
    <r>
      <rPr>
        <b/>
        <sz val="12"/>
        <color theme="1"/>
        <rFont val="Calibri"/>
        <family val="2"/>
        <scheme val="minor"/>
      </rPr>
      <t>eaten</t>
    </r>
    <r>
      <rPr>
        <sz val="12"/>
        <color theme="1"/>
        <rFont val="Calibri"/>
        <family val="2"/>
        <scheme val="minor"/>
      </rPr>
      <t xml:space="preserve"> - </t>
    </r>
    <r>
      <rPr>
        <b/>
        <sz val="12"/>
        <color theme="1"/>
        <rFont val="Calibri"/>
        <family val="2"/>
        <scheme val="minor"/>
      </rPr>
      <t xml:space="preserve">defecated </t>
    </r>
    <r>
      <rPr>
        <sz val="12"/>
        <color theme="1"/>
        <rFont val="Calibri"/>
        <family val="2"/>
        <scheme val="minor"/>
      </rPr>
      <t>(g)</t>
    </r>
  </si>
  <si>
    <t>frug_familiy</t>
  </si>
  <si>
    <t>Turdidae</t>
  </si>
  <si>
    <t>Ramphastidae</t>
  </si>
  <si>
    <t>Thraupidae</t>
  </si>
  <si>
    <t>Tyrannidae</t>
  </si>
  <si>
    <t>Valores</t>
  </si>
  <si>
    <t>*Seed mass percentage is estimated for Cecropia pachystachya fruits (Seed mass 0.00085g * 4137 seeds= 3.52g of seeds in 10.40g of fruit - 33.75% of seed mass in a fruit)</t>
  </si>
  <si>
    <t>r_digest_mean</t>
  </si>
  <si>
    <t>r_digest_SD</t>
  </si>
  <si>
    <t>SE</t>
  </si>
  <si>
    <t>Fruit energy</t>
  </si>
  <si>
    <t>QLY</t>
  </si>
  <si>
    <t>QLY_SD</t>
  </si>
  <si>
    <t>QLY_SE</t>
  </si>
  <si>
    <t>MEAN</t>
  </si>
  <si>
    <t>SD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</si>
</sst>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sz val="12"/>
      <color rgb="FF000000"/>
      <name val="Calibri"/>
      <family val="2"/>
      <scheme val="minor"/>
    </font>
    <font>
      <sz val="12"/>
      <name val="Calibri"/>
      <scheme val="minor"/>
    </font>
    <font>
      <b/>
      <sz val="12"/>
      <color theme="5"/>
      <name val="Calibri"/>
      <scheme val="minor"/>
    </font>
    <font>
      <b/>
      <sz val="12"/>
      <color rgb="FFFF0000"/>
      <name val="Calibri"/>
      <scheme val="minor"/>
    </font>
    <font>
      <sz val="12"/>
      <color rgb="FF0000FF"/>
      <name val="Calibri"/>
      <scheme val="minor"/>
    </font>
    <font>
      <i/>
      <sz val="12"/>
      <name val="Calibri"/>
      <scheme val="minor"/>
    </font>
    <font>
      <b/>
      <sz val="12"/>
      <color rgb="FF000000"/>
      <name val="Calibri"/>
      <family val="2"/>
      <scheme val="minor"/>
    </font>
  </fonts>
  <fills count="6">
    <fill>
      <patternFill patternType="none"/>
    </fill>
    <fill>
      <patternFill patternType="gray125"/>
    </fill>
    <fill>
      <patternFill patternType="solid">
        <fgColor theme="6"/>
        <bgColor indexed="64"/>
      </patternFill>
    </fill>
    <fill>
      <patternFill patternType="solid">
        <fgColor theme="8"/>
        <bgColor indexed="64"/>
      </patternFill>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right/>
      <top style="thin">
        <color rgb="FFDCE6F1"/>
      </top>
      <bottom style="thin">
        <color rgb="FFDCE6F1"/>
      </bottom>
      <diagonal/>
    </border>
    <border>
      <left/>
      <right/>
      <top/>
      <bottom style="thin">
        <color rgb="FFDCE6F1"/>
      </bottom>
      <diagonal/>
    </border>
  </borders>
  <cellStyleXfs count="2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1">
    <xf numFmtId="0" fontId="0" fillId="0" borderId="0" xfId="0"/>
    <xf numFmtId="14" fontId="0" fillId="0" borderId="0" xfId="0" applyNumberFormat="1"/>
    <xf numFmtId="20" fontId="0" fillId="0" borderId="0" xfId="0" applyNumberFormat="1"/>
    <xf numFmtId="0" fontId="2" fillId="0" borderId="0" xfId="0" applyFont="1"/>
    <xf numFmtId="0" fontId="0" fillId="0" borderId="0" xfId="0" applyAlignment="1">
      <alignment wrapText="1"/>
    </xf>
    <xf numFmtId="0" fontId="5" fillId="0" borderId="0" xfId="0" applyFont="1"/>
    <xf numFmtId="0" fontId="2" fillId="0" borderId="0" xfId="0" applyFont="1" applyFill="1"/>
    <xf numFmtId="0" fontId="6" fillId="0" borderId="0" xfId="0" applyFont="1"/>
    <xf numFmtId="0" fontId="1" fillId="0" borderId="0" xfId="0" applyFont="1"/>
    <xf numFmtId="0" fontId="0" fillId="0" borderId="0" xfId="0" applyAlignment="1"/>
    <xf numFmtId="0" fontId="5" fillId="0" borderId="0" xfId="0" applyFont="1" applyFill="1" applyBorder="1"/>
    <xf numFmtId="0" fontId="1" fillId="0" borderId="0" xfId="0" applyFont="1" applyAlignment="1"/>
    <xf numFmtId="0" fontId="7" fillId="0" borderId="0" xfId="0" applyFont="1" applyAlignment="1"/>
    <xf numFmtId="0" fontId="0" fillId="0" borderId="0" xfId="0" applyFill="1"/>
    <xf numFmtId="0" fontId="0" fillId="0" borderId="0" xfId="0" applyNumberFormat="1" applyFill="1"/>
    <xf numFmtId="0" fontId="0" fillId="2" borderId="0" xfId="0" applyFill="1"/>
    <xf numFmtId="0" fontId="8" fillId="0" borderId="0" xfId="0" applyFont="1" applyFill="1"/>
    <xf numFmtId="14" fontId="8" fillId="0" borderId="0" xfId="0" applyNumberFormat="1" applyFont="1" applyFill="1"/>
    <xf numFmtId="0" fontId="0" fillId="3" borderId="0" xfId="0" applyFill="1"/>
    <xf numFmtId="0" fontId="1" fillId="0" borderId="0" xfId="0" applyFont="1" applyFill="1"/>
    <xf numFmtId="0" fontId="7" fillId="2" borderId="0" xfId="0" applyFont="1" applyFill="1"/>
    <xf numFmtId="14" fontId="7" fillId="0" borderId="0" xfId="0" applyNumberFormat="1" applyFont="1" applyFill="1"/>
    <xf numFmtId="0" fontId="7" fillId="0" borderId="0" xfId="0" applyFont="1" applyFill="1"/>
    <xf numFmtId="0" fontId="0" fillId="0" borderId="0" xfId="0" applyFont="1"/>
    <xf numFmtId="0" fontId="7" fillId="0" borderId="0" xfId="0" applyFont="1"/>
    <xf numFmtId="0" fontId="0" fillId="4" borderId="0" xfId="0" applyFill="1"/>
    <xf numFmtId="0" fontId="0" fillId="5" borderId="0" xfId="0" applyFill="1"/>
    <xf numFmtId="0" fontId="0" fillId="0" borderId="0" xfId="0" pivotButton="1"/>
    <xf numFmtId="0" fontId="0" fillId="0" borderId="0" xfId="0" applyNumberFormat="1"/>
    <xf numFmtId="0" fontId="1" fillId="5" borderId="0" xfId="0" applyFont="1" applyFill="1"/>
    <xf numFmtId="0" fontId="1" fillId="4" borderId="0" xfId="0" applyFont="1" applyFill="1"/>
    <xf numFmtId="0" fontId="10" fillId="0" borderId="0" xfId="0" applyFont="1"/>
    <xf numFmtId="0" fontId="11" fillId="0" borderId="0" xfId="0" applyFont="1" applyFill="1"/>
    <xf numFmtId="0" fontId="12" fillId="0" borderId="0" xfId="0" applyFont="1"/>
    <xf numFmtId="2" fontId="6" fillId="0" borderId="0" xfId="0" applyNumberFormat="1" applyFont="1"/>
    <xf numFmtId="0" fontId="6" fillId="0" borderId="1" xfId="0" applyFont="1" applyBorder="1" applyAlignment="1">
      <alignment horizontal="left"/>
    </xf>
    <xf numFmtId="2" fontId="6" fillId="0" borderId="1" xfId="0" applyNumberFormat="1" applyFont="1" applyBorder="1"/>
    <xf numFmtId="0" fontId="6" fillId="0" borderId="2" xfId="0" applyFont="1" applyBorder="1" applyAlignment="1">
      <alignment horizontal="left"/>
    </xf>
    <xf numFmtId="2" fontId="6" fillId="0" borderId="2" xfId="0" applyNumberFormat="1" applyFont="1" applyBorder="1"/>
    <xf numFmtId="164" fontId="0" fillId="0" borderId="0" xfId="0" applyNumberFormat="1"/>
    <xf numFmtId="164" fontId="6" fillId="0" borderId="0" xfId="0" applyNumberFormat="1" applyFont="1"/>
  </cellXfs>
  <cellStyles count="26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ena" refreshedDate="42927.5277599537" createdVersion="4" refreshedVersion="4" minRefreshableVersion="3" recordCount="22">
  <cacheSource type="worksheet">
    <worksheetSource ref="A1:N23" sheet="ALL"/>
  </cacheSource>
  <cacheFields count="14">
    <cacheField name="frug_familiy" numFmtId="0">
      <sharedItems count="4">
        <s v="Turdidae"/>
        <s v="Ramphastidae"/>
        <s v="Thraupidae"/>
        <s v="Tyrannidae"/>
      </sharedItems>
    </cacheField>
    <cacheField name="frug_sp" numFmtId="0">
      <sharedItems/>
    </cacheField>
    <cacheField name="plant" numFmtId="0">
      <sharedItems count="3">
        <s v="Cecropia pachystachya"/>
        <s v="Euterpe edulis"/>
        <s v="Trema micranta"/>
      </sharedItems>
    </cacheField>
    <cacheField name="exp_time" numFmtId="0">
      <sharedItems containsSemiMixedTypes="0" containsString="0" containsNumber="1" containsInteger="1" minValue="60" maxValue="249"/>
    </cacheField>
    <cacheField name="offered" numFmtId="0">
      <sharedItems containsSemiMixedTypes="0" containsString="0" containsNumber="1" minValue="0.10149999999999999" maxValue="71.7"/>
    </cacheField>
    <cacheField name="left/not_swallowed" numFmtId="0">
      <sharedItems containsSemiMixedTypes="0" containsString="0" containsNumber="1" minValue="0" maxValue="48.980000000000004"/>
    </cacheField>
    <cacheField name="eaten" numFmtId="0">
      <sharedItems containsSemiMixedTypes="0" containsString="0" containsNumber="1" minValue="2.0299999999999999E-2" maxValue="23.25"/>
    </cacheField>
    <cacheField name="seed/regurgitated" numFmtId="0">
      <sharedItems containsSemiMixedTypes="0" containsString="0" containsNumber="1" minValue="4.0000000000000001E-3" maxValue="16.48"/>
    </cacheField>
    <cacheField name="defecated" numFmtId="0">
      <sharedItems containsSemiMixedTypes="0" containsString="0" containsNumber="1" minValue="8.5000000000000006E-3" maxValue="7.59"/>
    </cacheField>
    <cacheField name="absorbed" numFmtId="0">
      <sharedItems containsSemiMixedTypes="0" containsString="0" containsNumber="1" minValue="1.1799999999999998E-2" maxValue="5.03"/>
    </cacheField>
    <cacheField name="digestibility" numFmtId="0">
      <sharedItems containsSemiMixedTypes="0" containsString="0" containsNumber="1" minValue="1.466666666666671E-2" maxValue="0.83544303797468356"/>
    </cacheField>
    <cacheField name="r_digestibility" numFmtId="0">
      <sharedItems containsSemiMixedTypes="0" containsString="0" containsNumber="1" minValue="3.2835820895522477E-2" maxValue="1.2600950799014834"/>
    </cacheField>
    <cacheField name="regur_time" numFmtId="0">
      <sharedItems containsMixedTypes="1" containsNumber="1" containsInteger="1" minValue="8" maxValue="20"/>
    </cacheField>
    <cacheField name="digest_time" numFmtId="0">
      <sharedItems containsMixedTypes="1" containsNumber="1" containsInteger="1" minValue="17" maxValue="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s v="Turdus amaurochalinus"/>
    <x v="0"/>
    <n v="130"/>
    <n v="0.79"/>
    <n v="0"/>
    <n v="0.79"/>
    <n v="0.26623000000000002"/>
    <n v="0.13"/>
    <n v="0.66"/>
    <n v="0.83544303797468356"/>
    <n v="1.2600950799014834"/>
    <s v="NA"/>
    <s v="NA"/>
  </r>
  <r>
    <x v="1"/>
    <s v="Ramphastos dicolorus"/>
    <x v="0"/>
    <n v="115"/>
    <n v="14.4"/>
    <n v="5.89"/>
    <n v="8.5100000000000016"/>
    <n v="2.8678700000000008"/>
    <n v="7.4"/>
    <n v="1.1100000000000012"/>
    <n v="0.13043478260869576"/>
    <n v="0.1967342120794808"/>
    <s v="NA"/>
    <n v="24"/>
  </r>
  <r>
    <x v="1"/>
    <s v="Ramphastos dicolorus"/>
    <x v="0"/>
    <n v="100"/>
    <n v="8.24"/>
    <n v="0.4"/>
    <n v="7.84"/>
    <n v="2.64208"/>
    <n v="7.59"/>
    <n v="0.25"/>
    <n v="3.1887755102040817E-2"/>
    <n v="4.8096161541539693E-2"/>
    <s v="NA"/>
    <n v="17"/>
  </r>
  <r>
    <x v="1"/>
    <s v="Ramphastos dicolorus"/>
    <x v="0"/>
    <n v="130"/>
    <n v="5.69"/>
    <n v="0"/>
    <n v="5.69"/>
    <n v="1.9175300000000002"/>
    <n v="4.79"/>
    <n v="0.90000000000000036"/>
    <n v="0.1581722319859403"/>
    <n v="0.23857048564998537"/>
    <s v="NA"/>
    <s v="NA"/>
  </r>
  <r>
    <x v="1"/>
    <s v="Ramphastos dicolorus"/>
    <x v="0"/>
    <n v="120"/>
    <n v="5.43"/>
    <n v="0"/>
    <n v="5.43"/>
    <n v="1.8299099999999999"/>
    <n v="5.17"/>
    <n v="0.25999999999999979"/>
    <n v="4.7882136279926296E-2"/>
    <n v="7.2220416711804375E-2"/>
    <s v="NA"/>
    <s v="NA"/>
  </r>
  <r>
    <x v="1"/>
    <s v="Ramphastos dicolorus"/>
    <x v="0"/>
    <n v="105"/>
    <n v="6.21"/>
    <n v="0"/>
    <n v="6.21"/>
    <n v="2.0927700000000002"/>
    <n v="4.74"/>
    <n v="1.4699999999999998"/>
    <n v="0.2367149758454106"/>
    <n v="0.35703616266276111"/>
    <s v="NA"/>
    <n v="31"/>
  </r>
  <r>
    <x v="1"/>
    <s v="Ramphastos dicolorus"/>
    <x v="1"/>
    <n v="120"/>
    <n v="7.5"/>
    <n v="0"/>
    <n v="7.5"/>
    <n v="4.1499999999999995"/>
    <n v="3.24"/>
    <n v="0.11000000000000032"/>
    <n v="1.466666666666671E-2"/>
    <n v="3.2835820895522477E-2"/>
    <n v="12"/>
    <s v="NA"/>
  </r>
  <r>
    <x v="1"/>
    <s v="Ramphastos toco"/>
    <x v="1"/>
    <n v="60"/>
    <n v="71.7"/>
    <n v="48.980000000000004"/>
    <n v="22.72"/>
    <n v="16.48"/>
    <n v="1.44"/>
    <n v="4.7999999999999989"/>
    <n v="0.21126760563380279"/>
    <n v="0.76923076923076927"/>
    <n v="20"/>
    <n v="56"/>
  </r>
  <r>
    <x v="1"/>
    <s v="Ramphastos toco"/>
    <x v="1"/>
    <n v="60"/>
    <n v="46.53"/>
    <n v="23.28"/>
    <n v="23.25"/>
    <n v="14.35"/>
    <n v="3.87"/>
    <n v="5.03"/>
    <n v="0.2163440860215054"/>
    <n v="0.56516853932584266"/>
    <n v="16"/>
    <n v="50"/>
  </r>
  <r>
    <x v="1"/>
    <s v="Ramphastos toco"/>
    <x v="1"/>
    <n v="60"/>
    <n v="46.53"/>
    <n v="26.38"/>
    <n v="20.150000000000002"/>
    <n v="12.48"/>
    <n v="3.3"/>
    <n v="4.3700000000000019"/>
    <n v="0.21687344913151371"/>
    <n v="0.56975228161668856"/>
    <n v="10"/>
    <s v="NA"/>
  </r>
  <r>
    <x v="1"/>
    <s v="Ramphastos toco"/>
    <x v="1"/>
    <n v="70"/>
    <n v="31.4"/>
    <n v="21.979999999999997"/>
    <n v="9.42"/>
    <n v="5.9399999999999995"/>
    <n v="3.21"/>
    <n v="0.27000000000000046"/>
    <n v="2.8662420382165654E-2"/>
    <n v="7.7586206896551851E-2"/>
    <n v="13"/>
    <s v="NA"/>
  </r>
  <r>
    <x v="1"/>
    <s v="Ramphastos toco"/>
    <x v="1"/>
    <n v="70"/>
    <n v="31.4"/>
    <n v="10.989999999999998"/>
    <n v="20.41"/>
    <n v="12.87"/>
    <n v="6.84"/>
    <n v="0.70000000000000107"/>
    <n v="3.4296913277805048E-2"/>
    <n v="9.2838196286472274E-2"/>
    <n v="8"/>
    <n v="30"/>
  </r>
  <r>
    <x v="1"/>
    <s v="Ramphastos toco"/>
    <x v="1"/>
    <n v="100"/>
    <n v="31.36"/>
    <n v="14.09"/>
    <n v="17.27"/>
    <n v="10.89"/>
    <n v="3.91"/>
    <n v="2.4699999999999989"/>
    <n v="0.14302258251302832"/>
    <n v="0.38714733542319735"/>
    <n v="15"/>
    <n v="35"/>
  </r>
  <r>
    <x v="1"/>
    <s v="Ramphastos toco"/>
    <x v="1"/>
    <n v="100"/>
    <n v="31.36"/>
    <n v="17.229999999999997"/>
    <n v="14.13"/>
    <n v="8.91"/>
    <n v="4.57"/>
    <n v="0.65000000000000036"/>
    <n v="4.600141542816704E-2"/>
    <n v="0.12452107279693492"/>
    <n v="14"/>
    <s v="NA"/>
  </r>
  <r>
    <x v="1"/>
    <s v="Ramphastos toco"/>
    <x v="1"/>
    <n v="105"/>
    <n v="29.39"/>
    <n v="13.220000000000002"/>
    <n v="16.169999999999998"/>
    <n v="10.45"/>
    <n v="4.9000000000000004"/>
    <n v="0.81999999999999851"/>
    <n v="5.0711193568336338E-2"/>
    <n v="0.14335664335664314"/>
    <n v="15"/>
    <n v="45"/>
  </r>
  <r>
    <x v="1"/>
    <s v="Ramphastos toco"/>
    <x v="1"/>
    <n v="105"/>
    <n v="29.39"/>
    <n v="16.16"/>
    <n v="13.23"/>
    <n v="8.5499999999999989"/>
    <n v="4.26"/>
    <n v="0.42000000000000171"/>
    <n v="3.1746031746031876E-2"/>
    <n v="8.9743589743590077E-2"/>
    <s v="NA"/>
    <s v="NA"/>
  </r>
  <r>
    <x v="2"/>
    <s v="Thraupis sayaca"/>
    <x v="2"/>
    <n v="65"/>
    <n v="0.10149999999999999"/>
    <n v="4.0599999999999997E-2"/>
    <n v="6.0899999999999996E-2"/>
    <n v="1.2E-2"/>
    <n v="0.03"/>
    <n v="3.0899999999999997E-2"/>
    <n v="0.50738916256157629"/>
    <n v="0.63190184049079745"/>
    <s v="NA"/>
    <s v="NA"/>
  </r>
  <r>
    <x v="2"/>
    <s v="Thraupis sayaca"/>
    <x v="2"/>
    <n v="155"/>
    <n v="0.10150000000000001"/>
    <n v="4.0599999999999997E-2"/>
    <n v="6.090000000000001E-2"/>
    <n v="1.2E-2"/>
    <n v="2.3E-2"/>
    <n v="3.790000000000001E-2"/>
    <n v="0.62233169129720856"/>
    <n v="0.77505112474437632"/>
    <s v="NA"/>
    <s v="NA"/>
  </r>
  <r>
    <x v="0"/>
    <s v="Turdus leucomelas"/>
    <x v="2"/>
    <n v="210"/>
    <n v="0.10149999999999999"/>
    <n v="6.0899999999999996E-2"/>
    <n v="4.0599999999999997E-2"/>
    <n v="8.0000000000000002E-3"/>
    <n v="2.5049999999999999E-2"/>
    <n v="1.5549999999999998E-2"/>
    <n v="0.38300492610837433"/>
    <n v="0.47699386503067481"/>
    <s v="NA"/>
    <s v="NA"/>
  </r>
  <r>
    <x v="3"/>
    <s v="Pitangus sulphuratus"/>
    <x v="2"/>
    <n v="115"/>
    <n v="0.10149999999999999"/>
    <n v="0"/>
    <n v="0.10149999999999999"/>
    <n v="0.02"/>
    <n v="2.6769999999999999E-2"/>
    <n v="7.4729999999999991E-2"/>
    <n v="0.73625615763546792"/>
    <n v="0.91693251533742337"/>
    <s v="NA"/>
    <s v="NA"/>
  </r>
  <r>
    <x v="0"/>
    <s v="Turdus leucomelas"/>
    <x v="2"/>
    <n v="249"/>
    <n v="0.12179999999999999"/>
    <n v="0.10149999999999999"/>
    <n v="2.0299999999999999E-2"/>
    <n v="4.0000000000000001E-3"/>
    <n v="8.5000000000000006E-3"/>
    <n v="1.1799999999999998E-2"/>
    <n v="0.58128078817733986"/>
    <n v="0.72392638036809809"/>
    <s v="NA"/>
    <s v="NA"/>
  </r>
  <r>
    <x v="0"/>
    <s v="Turdus leucomelas"/>
    <x v="2"/>
    <n v="210"/>
    <n v="4.4400000000000004"/>
    <n v="0.1"/>
    <n v="4.3400000000000007"/>
    <n v="8.4000000000000005E-2"/>
    <n v="1.85"/>
    <n v="2.4900000000000007"/>
    <n v="0.57373271889400923"/>
    <n v="0.58505639097744366"/>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2" applyNumberFormats="0" applyBorderFormats="0" applyFontFormats="0" applyPatternFormats="0" applyAlignmentFormats="0" applyWidthHeightFormats="1" dataCaption="Valores" updatedVersion="4" minRefreshableVersion="3" useAutoFormatting="1" rowGrandTotals="0" colGrandTotals="0" itemPrintTitles="1" createdVersion="4" indent="0" compact="0" outline="1" outlineData="1" compactData="0" gridDropZones="1" multipleFieldFilters="0">
  <location ref="A27:G33" firstHeaderRow="1" firstDataRow="3" firstDataCol="1"/>
  <pivotFields count="14">
    <pivotField axis="axisRow" compact="0" showAll="0" defaultSubtotal="0">
      <items count="4">
        <item x="1"/>
        <item x="2"/>
        <item x="0"/>
        <item x="3"/>
      </items>
    </pivotField>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s>
  <rowFields count="1">
    <field x="0"/>
  </rowFields>
  <rowItems count="4">
    <i>
      <x/>
    </i>
    <i>
      <x v="1"/>
    </i>
    <i>
      <x v="2"/>
    </i>
    <i>
      <x v="3"/>
    </i>
  </rowItems>
  <colFields count="2">
    <field x="2"/>
    <field x="-2"/>
  </colFields>
  <colItems count="6">
    <i>
      <x/>
      <x/>
    </i>
    <i r="1" i="1">
      <x v="1"/>
    </i>
    <i>
      <x v="1"/>
      <x/>
    </i>
    <i r="1" i="1">
      <x v="1"/>
    </i>
    <i>
      <x v="2"/>
      <x/>
    </i>
    <i r="1" i="1">
      <x v="1"/>
    </i>
  </colItems>
  <dataFields count="2">
    <dataField name="r_digest_mean" fld="11" subtotal="average" baseField="0" baseItem="0"/>
    <dataField name="r_digest_SD" fld="11" subtotal="stdDev" baseField="0"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22" sqref="A22:B22"/>
    </sheetView>
  </sheetViews>
  <sheetFormatPr baseColWidth="10" defaultRowHeight="15" x14ac:dyDescent="0"/>
  <cols>
    <col min="1" max="1" width="20.33203125" bestFit="1" customWidth="1"/>
    <col min="2" max="2" width="16.83203125" customWidth="1"/>
    <col min="6" max="6" width="12.1640625" bestFit="1" customWidth="1"/>
    <col min="7" max="7" width="11.6640625" bestFit="1" customWidth="1"/>
    <col min="8" max="8" width="11.6640625" customWidth="1"/>
    <col min="9" max="9" width="13.83203125" bestFit="1" customWidth="1"/>
    <col min="10" max="10" width="103.5" customWidth="1"/>
  </cols>
  <sheetData>
    <row r="1" spans="1:10">
      <c r="A1" s="16" t="s">
        <v>0</v>
      </c>
      <c r="B1" s="17">
        <v>42821</v>
      </c>
    </row>
    <row r="2" spans="1:10">
      <c r="A2" s="6" t="s">
        <v>1</v>
      </c>
      <c r="B2" s="2">
        <v>0.3125</v>
      </c>
      <c r="C2" s="2">
        <v>0.50694444444444442</v>
      </c>
    </row>
    <row r="3" spans="1:10">
      <c r="A3" s="3" t="s">
        <v>13</v>
      </c>
      <c r="B3" t="s">
        <v>18</v>
      </c>
    </row>
    <row r="4" spans="1:10">
      <c r="A4" s="3" t="s">
        <v>2</v>
      </c>
      <c r="B4" s="3" t="s">
        <v>47</v>
      </c>
      <c r="C4" s="3" t="s">
        <v>4</v>
      </c>
      <c r="D4" s="3" t="s">
        <v>5</v>
      </c>
      <c r="E4" s="3" t="s">
        <v>6</v>
      </c>
      <c r="F4" s="3" t="s">
        <v>7</v>
      </c>
      <c r="G4" s="3" t="s">
        <v>8</v>
      </c>
      <c r="H4" s="3" t="s">
        <v>31</v>
      </c>
      <c r="I4" s="3" t="s">
        <v>11</v>
      </c>
      <c r="J4" s="3" t="s">
        <v>15</v>
      </c>
    </row>
    <row r="5" spans="1:10" ht="48">
      <c r="A5" s="5" t="s">
        <v>17</v>
      </c>
      <c r="B5">
        <v>280</v>
      </c>
      <c r="C5">
        <v>19.190000000000001</v>
      </c>
      <c r="D5">
        <v>18.66</v>
      </c>
      <c r="E5">
        <f>C5-D5</f>
        <v>0.53000000000000114</v>
      </c>
      <c r="F5">
        <v>0.7</v>
      </c>
      <c r="G5" t="s">
        <v>10</v>
      </c>
      <c r="H5" t="s">
        <v>10</v>
      </c>
      <c r="I5" t="s">
        <v>10</v>
      </c>
      <c r="J5" s="4" t="s">
        <v>19</v>
      </c>
    </row>
    <row r="7" spans="1:10">
      <c r="A7" s="16" t="s">
        <v>0</v>
      </c>
      <c r="B7" s="17">
        <v>42825</v>
      </c>
    </row>
    <row r="8" spans="1:10">
      <c r="A8" s="3" t="s">
        <v>1</v>
      </c>
      <c r="B8" s="2">
        <v>0.35416666666666669</v>
      </c>
      <c r="C8" s="2">
        <v>0.51041666666666663</v>
      </c>
    </row>
    <row r="9" spans="1:10">
      <c r="A9" s="3" t="s">
        <v>13</v>
      </c>
      <c r="B9" t="s">
        <v>14</v>
      </c>
      <c r="C9" s="2"/>
    </row>
    <row r="10" spans="1:10">
      <c r="A10" s="3" t="s">
        <v>2</v>
      </c>
      <c r="B10" s="3" t="s">
        <v>47</v>
      </c>
      <c r="C10" s="3" t="s">
        <v>4</v>
      </c>
      <c r="D10" s="3" t="s">
        <v>5</v>
      </c>
      <c r="E10" s="3" t="s">
        <v>6</v>
      </c>
      <c r="F10" s="3" t="s">
        <v>7</v>
      </c>
      <c r="G10" s="3" t="s">
        <v>8</v>
      </c>
      <c r="H10" s="3" t="s">
        <v>31</v>
      </c>
      <c r="I10" s="3" t="s">
        <v>11</v>
      </c>
      <c r="J10" s="3" t="s">
        <v>15</v>
      </c>
    </row>
    <row r="11" spans="1:10">
      <c r="A11" s="5" t="s">
        <v>3</v>
      </c>
      <c r="B11">
        <v>240</v>
      </c>
      <c r="C11">
        <v>14.08</v>
      </c>
      <c r="D11">
        <v>14.08</v>
      </c>
      <c r="E11">
        <v>0</v>
      </c>
      <c r="F11">
        <v>0</v>
      </c>
      <c r="G11" t="s">
        <v>10</v>
      </c>
      <c r="H11" t="s">
        <v>10</v>
      </c>
      <c r="I11" t="s">
        <v>10</v>
      </c>
      <c r="J11" t="s">
        <v>16</v>
      </c>
    </row>
    <row r="12" spans="1:10">
      <c r="A12" s="5" t="s">
        <v>9</v>
      </c>
      <c r="B12">
        <v>210</v>
      </c>
      <c r="C12">
        <v>4.4400000000000004</v>
      </c>
      <c r="D12">
        <v>0.1</v>
      </c>
      <c r="E12">
        <f>C12-D12</f>
        <v>4.3400000000000007</v>
      </c>
      <c r="F12">
        <v>1.85</v>
      </c>
      <c r="G12">
        <f>E12-F12</f>
        <v>2.4900000000000007</v>
      </c>
      <c r="H12" s="15">
        <f>(G12/E12)</f>
        <v>0.57373271889400923</v>
      </c>
      <c r="I12" t="s">
        <v>10</v>
      </c>
      <c r="J12" t="s">
        <v>12</v>
      </c>
    </row>
    <row r="13" spans="1:10">
      <c r="A13" s="16"/>
      <c r="B13" s="17"/>
    </row>
    <row r="14" spans="1:10">
      <c r="A14" s="16" t="s">
        <v>0</v>
      </c>
      <c r="B14" s="17">
        <v>42837</v>
      </c>
    </row>
    <row r="15" spans="1:10">
      <c r="A15" s="3" t="s">
        <v>1</v>
      </c>
      <c r="B15" s="2">
        <v>0.35416666666666669</v>
      </c>
      <c r="C15" s="2">
        <v>0.47916666666666669</v>
      </c>
    </row>
    <row r="16" spans="1:10">
      <c r="A16" s="3" t="s">
        <v>13</v>
      </c>
      <c r="B16" t="s">
        <v>14</v>
      </c>
      <c r="C16" s="2"/>
    </row>
    <row r="17" spans="1:10">
      <c r="A17" s="3" t="s">
        <v>2</v>
      </c>
      <c r="B17" s="3" t="s">
        <v>47</v>
      </c>
      <c r="C17" s="3" t="s">
        <v>4</v>
      </c>
      <c r="D17" s="3" t="s">
        <v>5</v>
      </c>
      <c r="E17" s="3" t="s">
        <v>6</v>
      </c>
      <c r="F17" s="3" t="s">
        <v>7</v>
      </c>
      <c r="G17" s="3" t="s">
        <v>8</v>
      </c>
      <c r="H17" s="3" t="s">
        <v>31</v>
      </c>
      <c r="I17" s="3" t="s">
        <v>11</v>
      </c>
      <c r="J17" s="3" t="s">
        <v>15</v>
      </c>
    </row>
    <row r="18" spans="1:10">
      <c r="A18" s="5" t="s">
        <v>20</v>
      </c>
      <c r="B18">
        <v>180</v>
      </c>
      <c r="C18">
        <v>27.72</v>
      </c>
      <c r="D18">
        <v>27.72</v>
      </c>
      <c r="E18">
        <f>C18-D18</f>
        <v>0</v>
      </c>
      <c r="F18">
        <v>0</v>
      </c>
      <c r="G18">
        <f>E18-F18</f>
        <v>0</v>
      </c>
      <c r="I18" t="s">
        <v>10</v>
      </c>
      <c r="J18" t="s">
        <v>16</v>
      </c>
    </row>
    <row r="19" spans="1:10">
      <c r="A19" s="5" t="s">
        <v>21</v>
      </c>
      <c r="B19">
        <v>180</v>
      </c>
      <c r="C19">
        <v>5.77</v>
      </c>
      <c r="D19">
        <v>5.77</v>
      </c>
      <c r="E19">
        <f t="shared" ref="E19" si="0">C19-D19</f>
        <v>0</v>
      </c>
      <c r="F19">
        <v>0</v>
      </c>
      <c r="G19">
        <f t="shared" ref="G19:G20" si="1">E19-F19</f>
        <v>0</v>
      </c>
      <c r="I19" t="s">
        <v>10</v>
      </c>
      <c r="J19" t="s">
        <v>16</v>
      </c>
    </row>
    <row r="20" spans="1:10">
      <c r="A20" s="5" t="s">
        <v>22</v>
      </c>
      <c r="B20">
        <v>90</v>
      </c>
      <c r="C20" t="s">
        <v>10</v>
      </c>
      <c r="D20" t="s">
        <v>10</v>
      </c>
      <c r="E20">
        <v>0</v>
      </c>
      <c r="F20">
        <v>0</v>
      </c>
      <c r="G20">
        <f t="shared" si="1"/>
        <v>0</v>
      </c>
      <c r="I20" t="s">
        <v>10</v>
      </c>
      <c r="J20" t="s">
        <v>23</v>
      </c>
    </row>
    <row r="22" spans="1:10">
      <c r="A22" s="17" t="s">
        <v>0</v>
      </c>
      <c r="B22" s="17">
        <v>42840</v>
      </c>
    </row>
    <row r="23" spans="1:10">
      <c r="A23" s="3" t="s">
        <v>1</v>
      </c>
      <c r="B23" s="2">
        <v>0.41666666666666669</v>
      </c>
      <c r="C23" s="2">
        <v>0.46875</v>
      </c>
    </row>
    <row r="24" spans="1:10">
      <c r="A24" s="3" t="s">
        <v>13</v>
      </c>
      <c r="B24" t="s">
        <v>25</v>
      </c>
      <c r="C24" s="2"/>
    </row>
    <row r="25" spans="1:10">
      <c r="A25" s="3" t="s">
        <v>2</v>
      </c>
      <c r="B25" s="3" t="s">
        <v>47</v>
      </c>
      <c r="C25" s="3" t="s">
        <v>4</v>
      </c>
      <c r="D25" s="3" t="s">
        <v>5</v>
      </c>
      <c r="E25" s="3" t="s">
        <v>6</v>
      </c>
      <c r="F25" s="3" t="s">
        <v>7</v>
      </c>
      <c r="G25" s="3" t="s">
        <v>8</v>
      </c>
      <c r="H25" s="3" t="s">
        <v>31</v>
      </c>
      <c r="I25" s="3" t="s">
        <v>11</v>
      </c>
      <c r="J25" s="3" t="s">
        <v>15</v>
      </c>
    </row>
    <row r="26" spans="1:10">
      <c r="A26" s="5" t="s">
        <v>27</v>
      </c>
      <c r="B26">
        <v>75</v>
      </c>
      <c r="C26">
        <v>1.55</v>
      </c>
      <c r="D26">
        <v>1.55</v>
      </c>
      <c r="E26">
        <f>C26-D26</f>
        <v>0</v>
      </c>
      <c r="F26">
        <v>0</v>
      </c>
      <c r="G26">
        <f>E26-F26</f>
        <v>0</v>
      </c>
      <c r="I26" t="s">
        <v>10</v>
      </c>
      <c r="J26" t="s">
        <v>26</v>
      </c>
    </row>
    <row r="27" spans="1:10">
      <c r="A27" s="5" t="s">
        <v>9</v>
      </c>
      <c r="B27">
        <v>75</v>
      </c>
      <c r="C27">
        <v>1.04</v>
      </c>
      <c r="D27">
        <v>1.04</v>
      </c>
      <c r="E27">
        <f t="shared" ref="E27" si="2">C27-D27</f>
        <v>0</v>
      </c>
      <c r="F27">
        <v>0</v>
      </c>
      <c r="G27">
        <f t="shared" ref="G27" si="3">E27-F27</f>
        <v>0</v>
      </c>
      <c r="I27" t="s">
        <v>10</v>
      </c>
      <c r="J27" t="s">
        <v>24</v>
      </c>
    </row>
    <row r="29" spans="1:10">
      <c r="A29" s="16" t="s">
        <v>0</v>
      </c>
      <c r="B29" s="17">
        <v>42841</v>
      </c>
    </row>
    <row r="30" spans="1:10">
      <c r="A30" s="3" t="s">
        <v>1</v>
      </c>
      <c r="B30" s="2">
        <v>0.38194444444444442</v>
      </c>
      <c r="C30" s="2">
        <v>0.47916666666666669</v>
      </c>
    </row>
    <row r="31" spans="1:10">
      <c r="A31" s="3" t="s">
        <v>13</v>
      </c>
      <c r="B31" t="s">
        <v>25</v>
      </c>
      <c r="C31" s="2"/>
    </row>
    <row r="32" spans="1:10">
      <c r="A32" s="3" t="s">
        <v>2</v>
      </c>
      <c r="B32" s="3" t="s">
        <v>47</v>
      </c>
      <c r="C32" s="3" t="s">
        <v>4</v>
      </c>
      <c r="D32" s="3" t="s">
        <v>5</v>
      </c>
      <c r="E32" s="3" t="s">
        <v>6</v>
      </c>
      <c r="F32" s="3" t="s">
        <v>7</v>
      </c>
      <c r="G32" s="3" t="s">
        <v>8</v>
      </c>
      <c r="H32" s="3" t="s">
        <v>31</v>
      </c>
      <c r="I32" s="3" t="s">
        <v>11</v>
      </c>
      <c r="J32" s="3" t="s">
        <v>15</v>
      </c>
    </row>
    <row r="33" spans="1:10">
      <c r="A33" s="5" t="s">
        <v>27</v>
      </c>
      <c r="B33">
        <v>140</v>
      </c>
      <c r="C33">
        <v>1.55</v>
      </c>
      <c r="D33">
        <v>1.55</v>
      </c>
      <c r="E33">
        <f>C33-D33</f>
        <v>0</v>
      </c>
      <c r="F33">
        <v>0</v>
      </c>
      <c r="G33">
        <f>E33-F33</f>
        <v>0</v>
      </c>
      <c r="I33" t="s">
        <v>10</v>
      </c>
      <c r="J33" t="s">
        <v>26</v>
      </c>
    </row>
    <row r="34" spans="1:10">
      <c r="A34" s="5" t="s">
        <v>9</v>
      </c>
      <c r="B34">
        <v>140</v>
      </c>
      <c r="C34">
        <v>1.04</v>
      </c>
      <c r="D34">
        <v>1.04</v>
      </c>
      <c r="E34">
        <f t="shared" ref="E34" si="4">C34-D34</f>
        <v>0</v>
      </c>
      <c r="F34">
        <v>0</v>
      </c>
      <c r="G34">
        <f t="shared" ref="G34" si="5">E34-F34</f>
        <v>0</v>
      </c>
      <c r="I34" t="s">
        <v>10</v>
      </c>
      <c r="J34" t="s">
        <v>24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9" workbookViewId="0">
      <selection activeCell="B41" sqref="B41"/>
    </sheetView>
  </sheetViews>
  <sheetFormatPr baseColWidth="10" defaultRowHeight="15" x14ac:dyDescent="0"/>
  <cols>
    <col min="1" max="1" width="20" bestFit="1" customWidth="1"/>
    <col min="2" max="2" width="12.33203125" customWidth="1"/>
    <col min="5" max="6" width="14.1640625" bestFit="1" customWidth="1"/>
    <col min="7" max="7" width="12.1640625" bestFit="1" customWidth="1"/>
    <col min="8" max="8" width="11.6640625" bestFit="1" customWidth="1"/>
    <col min="9" max="10" width="17" bestFit="1" customWidth="1"/>
    <col min="11" max="11" width="70.6640625" customWidth="1"/>
    <col min="12" max="12" width="45.1640625" customWidth="1"/>
  </cols>
  <sheetData>
    <row r="1" spans="1:11">
      <c r="A1" s="16" t="s">
        <v>0</v>
      </c>
      <c r="B1" s="17">
        <v>42838</v>
      </c>
    </row>
    <row r="2" spans="1:11">
      <c r="A2" s="3" t="s">
        <v>48</v>
      </c>
      <c r="B2" s="2">
        <v>0.38194444444444442</v>
      </c>
      <c r="C2" s="2">
        <v>0.50694444444444442</v>
      </c>
      <c r="D2" t="s">
        <v>43</v>
      </c>
    </row>
    <row r="3" spans="1:11">
      <c r="A3" s="3" t="s">
        <v>13</v>
      </c>
      <c r="B3" t="s">
        <v>35</v>
      </c>
      <c r="C3" s="2"/>
    </row>
    <row r="4" spans="1:11">
      <c r="A4" s="3" t="s">
        <v>2</v>
      </c>
      <c r="B4" s="3" t="s">
        <v>4</v>
      </c>
      <c r="C4" s="3" t="s">
        <v>5</v>
      </c>
      <c r="D4" s="3" t="s">
        <v>6</v>
      </c>
      <c r="E4" s="3" t="s">
        <v>29</v>
      </c>
      <c r="F4" s="3" t="s">
        <v>7</v>
      </c>
      <c r="G4" s="3" t="s">
        <v>8</v>
      </c>
      <c r="H4" s="3" t="s">
        <v>31</v>
      </c>
      <c r="I4" s="3" t="s">
        <v>33</v>
      </c>
      <c r="J4" s="3" t="s">
        <v>11</v>
      </c>
      <c r="K4" s="3" t="s">
        <v>15</v>
      </c>
    </row>
    <row r="5" spans="1:11">
      <c r="A5" s="5" t="s">
        <v>20</v>
      </c>
      <c r="B5">
        <v>32.99</v>
      </c>
      <c r="C5">
        <v>16.59</v>
      </c>
      <c r="D5">
        <f>B5-C5</f>
        <v>16.400000000000002</v>
      </c>
      <c r="E5">
        <v>0</v>
      </c>
      <c r="F5" s="8">
        <v>4.45</v>
      </c>
      <c r="G5">
        <f>D5-F5</f>
        <v>11.950000000000003</v>
      </c>
      <c r="H5" s="8">
        <f>G5/D5</f>
        <v>0.72865853658536595</v>
      </c>
      <c r="J5" t="s">
        <v>10</v>
      </c>
      <c r="K5" s="11" t="s">
        <v>32</v>
      </c>
    </row>
    <row r="6" spans="1:11">
      <c r="A6" s="5" t="s">
        <v>28</v>
      </c>
      <c r="B6">
        <v>106.14</v>
      </c>
      <c r="C6">
        <v>106.14</v>
      </c>
      <c r="D6">
        <f>B6-C6</f>
        <v>0</v>
      </c>
      <c r="E6">
        <v>0</v>
      </c>
      <c r="F6">
        <v>0</v>
      </c>
      <c r="G6">
        <f>D6-F6</f>
        <v>0</v>
      </c>
      <c r="H6" t="s">
        <v>10</v>
      </c>
      <c r="I6" t="s">
        <v>10</v>
      </c>
      <c r="J6" t="s">
        <v>10</v>
      </c>
      <c r="K6" t="s">
        <v>12</v>
      </c>
    </row>
    <row r="7" spans="1:11">
      <c r="A7" s="5" t="s">
        <v>22</v>
      </c>
      <c r="B7" t="s">
        <v>10</v>
      </c>
      <c r="C7" t="s">
        <v>10</v>
      </c>
      <c r="D7">
        <v>0</v>
      </c>
      <c r="E7">
        <v>0</v>
      </c>
      <c r="F7">
        <v>0</v>
      </c>
      <c r="G7">
        <f t="shared" ref="G7:G8" si="0">D7-F7</f>
        <v>0</v>
      </c>
      <c r="H7" t="s">
        <v>10</v>
      </c>
      <c r="J7" t="s">
        <v>10</v>
      </c>
      <c r="K7" t="s">
        <v>30</v>
      </c>
    </row>
    <row r="8" spans="1:11">
      <c r="A8" s="5" t="s">
        <v>21</v>
      </c>
      <c r="B8">
        <v>6.72</v>
      </c>
      <c r="C8" s="7">
        <v>6.72</v>
      </c>
      <c r="D8">
        <v>0</v>
      </c>
      <c r="E8">
        <v>0</v>
      </c>
      <c r="F8">
        <v>0</v>
      </c>
      <c r="G8">
        <f t="shared" si="0"/>
        <v>0</v>
      </c>
      <c r="H8" t="s">
        <v>10</v>
      </c>
      <c r="J8" t="s">
        <v>10</v>
      </c>
      <c r="K8" t="s">
        <v>16</v>
      </c>
    </row>
    <row r="10" spans="1:11">
      <c r="A10" s="16" t="s">
        <v>0</v>
      </c>
      <c r="B10" s="17">
        <v>42843</v>
      </c>
    </row>
    <row r="11" spans="1:11">
      <c r="A11" s="3" t="s">
        <v>48</v>
      </c>
      <c r="B11" s="2">
        <v>0.38194444444444442</v>
      </c>
      <c r="C11" s="2">
        <v>0.44791666666666669</v>
      </c>
      <c r="D11" t="s">
        <v>44</v>
      </c>
    </row>
    <row r="12" spans="1:11">
      <c r="A12" s="3" t="s">
        <v>13</v>
      </c>
      <c r="B12" t="s">
        <v>35</v>
      </c>
      <c r="C12" s="2"/>
    </row>
    <row r="13" spans="1:11">
      <c r="A13" s="3" t="s">
        <v>2</v>
      </c>
      <c r="B13" s="3" t="s">
        <v>4</v>
      </c>
      <c r="C13" s="3" t="s">
        <v>5</v>
      </c>
      <c r="D13" s="3" t="s">
        <v>6</v>
      </c>
      <c r="E13" s="3" t="s">
        <v>29</v>
      </c>
      <c r="F13" s="3" t="s">
        <v>7</v>
      </c>
      <c r="G13" s="3" t="s">
        <v>8</v>
      </c>
      <c r="H13" s="3" t="s">
        <v>31</v>
      </c>
      <c r="I13" s="3" t="s">
        <v>33</v>
      </c>
      <c r="J13" s="3" t="s">
        <v>11</v>
      </c>
      <c r="K13" s="3" t="s">
        <v>15</v>
      </c>
    </row>
    <row r="14" spans="1:11">
      <c r="A14" s="10" t="s">
        <v>45</v>
      </c>
      <c r="B14">
        <v>14.4</v>
      </c>
      <c r="C14">
        <v>5.89</v>
      </c>
      <c r="D14">
        <f>B14-C14</f>
        <v>8.5100000000000016</v>
      </c>
      <c r="E14">
        <v>0</v>
      </c>
      <c r="F14" s="13">
        <v>7.4</v>
      </c>
      <c r="G14">
        <f>D14-F14</f>
        <v>1.1100000000000012</v>
      </c>
      <c r="H14" s="15">
        <f>G14/D14</f>
        <v>0.13043478260869576</v>
      </c>
      <c r="I14" s="13"/>
      <c r="J14" s="14">
        <v>24</v>
      </c>
      <c r="K14" s="12" t="s">
        <v>56</v>
      </c>
    </row>
    <row r="15" spans="1:11">
      <c r="A15" s="5" t="s">
        <v>28</v>
      </c>
      <c r="B15">
        <v>8.0399999999999991</v>
      </c>
      <c r="C15" s="13">
        <v>6.27</v>
      </c>
      <c r="D15" s="13">
        <f>B15-C15</f>
        <v>1.7699999999999996</v>
      </c>
      <c r="E15">
        <v>1.07</v>
      </c>
      <c r="F15" s="13" t="s">
        <v>10</v>
      </c>
      <c r="G15" t="s">
        <v>10</v>
      </c>
      <c r="H15" t="s">
        <v>10</v>
      </c>
      <c r="I15" s="14">
        <v>19</v>
      </c>
      <c r="J15" s="13" t="s">
        <v>10</v>
      </c>
      <c r="K15" t="s">
        <v>57</v>
      </c>
    </row>
    <row r="16" spans="1:11">
      <c r="A16" s="5"/>
    </row>
    <row r="17" spans="1:11">
      <c r="A17" s="16" t="s">
        <v>0</v>
      </c>
      <c r="B17" s="17">
        <v>42844</v>
      </c>
    </row>
    <row r="18" spans="1:11">
      <c r="A18" s="3" t="s">
        <v>48</v>
      </c>
      <c r="B18" s="2">
        <v>0.36458333333333331</v>
      </c>
      <c r="C18" s="2">
        <v>0.43402777777777773</v>
      </c>
      <c r="D18" t="s">
        <v>58</v>
      </c>
    </row>
    <row r="19" spans="1:11">
      <c r="A19" s="3" t="s">
        <v>13</v>
      </c>
      <c r="B19" t="s">
        <v>35</v>
      </c>
      <c r="C19" s="2"/>
    </row>
    <row r="20" spans="1:11">
      <c r="A20" s="3" t="s">
        <v>2</v>
      </c>
      <c r="B20" s="3" t="s">
        <v>4</v>
      </c>
      <c r="C20" s="3" t="s">
        <v>5</v>
      </c>
      <c r="D20" s="3" t="s">
        <v>6</v>
      </c>
      <c r="E20" s="3" t="s">
        <v>29</v>
      </c>
      <c r="F20" s="3" t="s">
        <v>7</v>
      </c>
      <c r="G20" s="3" t="s">
        <v>8</v>
      </c>
      <c r="H20" s="3" t="s">
        <v>31</v>
      </c>
      <c r="I20" s="3" t="s">
        <v>33</v>
      </c>
      <c r="J20" s="3" t="s">
        <v>11</v>
      </c>
      <c r="K20" s="3" t="s">
        <v>15</v>
      </c>
    </row>
    <row r="21" spans="1:11">
      <c r="A21" s="10" t="s">
        <v>45</v>
      </c>
      <c r="B21">
        <v>8.24</v>
      </c>
      <c r="C21" s="13">
        <v>0.4</v>
      </c>
      <c r="D21" s="13">
        <f>B21-C21</f>
        <v>7.84</v>
      </c>
      <c r="F21" s="13">
        <v>7.59</v>
      </c>
      <c r="G21" s="13">
        <f>D21-F21</f>
        <v>0.25</v>
      </c>
      <c r="H21" s="15">
        <f>G21/D21</f>
        <v>3.1887755102040817E-2</v>
      </c>
      <c r="I21" s="13"/>
      <c r="J21" s="14" t="s">
        <v>62</v>
      </c>
      <c r="K21" s="12" t="s">
        <v>61</v>
      </c>
    </row>
    <row r="23" spans="1:11">
      <c r="A23" s="16" t="s">
        <v>0</v>
      </c>
      <c r="B23" s="17">
        <v>42845</v>
      </c>
    </row>
    <row r="24" spans="1:11">
      <c r="A24" s="3" t="s">
        <v>48</v>
      </c>
      <c r="B24" s="2">
        <v>0.3888888888888889</v>
      </c>
      <c r="C24" s="2">
        <v>0.47916666666666669</v>
      </c>
      <c r="D24" t="s">
        <v>66</v>
      </c>
    </row>
    <row r="25" spans="1:11">
      <c r="A25" s="3" t="s">
        <v>13</v>
      </c>
      <c r="B25" t="s">
        <v>35</v>
      </c>
      <c r="C25" s="2"/>
    </row>
    <row r="26" spans="1:11">
      <c r="A26" s="3" t="s">
        <v>2</v>
      </c>
      <c r="B26" s="3" t="s">
        <v>4</v>
      </c>
      <c r="C26" s="3" t="s">
        <v>5</v>
      </c>
      <c r="D26" s="3" t="s">
        <v>6</v>
      </c>
      <c r="E26" s="3" t="s">
        <v>29</v>
      </c>
      <c r="F26" s="3" t="s">
        <v>7</v>
      </c>
      <c r="G26" s="3" t="s">
        <v>8</v>
      </c>
      <c r="H26" s="3" t="s">
        <v>31</v>
      </c>
      <c r="I26" s="3" t="s">
        <v>33</v>
      </c>
      <c r="J26" s="3" t="s">
        <v>11</v>
      </c>
      <c r="K26" s="3" t="s">
        <v>15</v>
      </c>
    </row>
    <row r="27" spans="1:11">
      <c r="A27" s="10" t="s">
        <v>45</v>
      </c>
      <c r="B27">
        <v>5.69</v>
      </c>
      <c r="C27" s="13">
        <v>0</v>
      </c>
      <c r="D27" s="13">
        <f>B27-C27</f>
        <v>5.69</v>
      </c>
      <c r="F27" s="13">
        <v>4.79</v>
      </c>
      <c r="G27" s="13">
        <f>D27-F27</f>
        <v>0.90000000000000036</v>
      </c>
      <c r="H27" s="15">
        <f>G27/D27</f>
        <v>0.1581722319859403</v>
      </c>
      <c r="I27" s="13"/>
      <c r="J27" s="14"/>
      <c r="K27" s="12" t="s">
        <v>61</v>
      </c>
    </row>
    <row r="29" spans="1:11">
      <c r="A29" s="16" t="s">
        <v>0</v>
      </c>
      <c r="B29" s="17">
        <v>42849</v>
      </c>
    </row>
    <row r="30" spans="1:11">
      <c r="A30" s="3" t="s">
        <v>48</v>
      </c>
      <c r="B30" s="2">
        <v>0.375</v>
      </c>
      <c r="C30" s="2">
        <v>0.45833333333333331</v>
      </c>
      <c r="D30" t="s">
        <v>73</v>
      </c>
    </row>
    <row r="31" spans="1:11">
      <c r="A31" s="3" t="s">
        <v>13</v>
      </c>
      <c r="B31" t="s">
        <v>35</v>
      </c>
      <c r="C31" s="2"/>
    </row>
    <row r="32" spans="1:11">
      <c r="A32" s="3" t="s">
        <v>2</v>
      </c>
      <c r="B32" s="3" t="s">
        <v>4</v>
      </c>
      <c r="C32" s="3" t="s">
        <v>5</v>
      </c>
      <c r="D32" s="3" t="s">
        <v>6</v>
      </c>
      <c r="E32" s="3" t="s">
        <v>29</v>
      </c>
      <c r="F32" s="3" t="s">
        <v>7</v>
      </c>
      <c r="G32" s="3" t="s">
        <v>8</v>
      </c>
      <c r="H32" s="3" t="s">
        <v>31</v>
      </c>
      <c r="I32" s="3" t="s">
        <v>33</v>
      </c>
      <c r="J32" s="3" t="s">
        <v>11</v>
      </c>
      <c r="K32" s="3" t="s">
        <v>15</v>
      </c>
    </row>
    <row r="33" spans="1:11">
      <c r="A33" s="10" t="s">
        <v>45</v>
      </c>
      <c r="B33">
        <v>5.43</v>
      </c>
      <c r="C33" s="13">
        <v>0</v>
      </c>
      <c r="D33" s="13">
        <f>B33-C33</f>
        <v>5.43</v>
      </c>
      <c r="F33" s="13">
        <v>5.17</v>
      </c>
      <c r="G33" s="13">
        <f>D33-F33</f>
        <v>0.25999999999999979</v>
      </c>
      <c r="H33" s="15">
        <f>G33/D33</f>
        <v>4.7882136279926296E-2</v>
      </c>
      <c r="I33" s="13"/>
      <c r="J33" s="14"/>
      <c r="K33" s="12" t="s">
        <v>74</v>
      </c>
    </row>
    <row r="35" spans="1:11">
      <c r="A35" s="16" t="s">
        <v>0</v>
      </c>
      <c r="B35" s="17">
        <v>42849</v>
      </c>
    </row>
    <row r="36" spans="1:11">
      <c r="A36" s="3" t="s">
        <v>48</v>
      </c>
      <c r="B36" s="2">
        <v>0.375</v>
      </c>
      <c r="C36" s="2">
        <v>0.45833333333333331</v>
      </c>
      <c r="D36" t="s">
        <v>73</v>
      </c>
    </row>
    <row r="37" spans="1:11">
      <c r="A37" s="3" t="s">
        <v>13</v>
      </c>
      <c r="B37" t="s">
        <v>75</v>
      </c>
      <c r="C37" s="2"/>
    </row>
    <row r="38" spans="1:11">
      <c r="A38" s="3" t="s">
        <v>2</v>
      </c>
      <c r="B38" s="3" t="s">
        <v>4</v>
      </c>
      <c r="C38" s="3" t="s">
        <v>5</v>
      </c>
      <c r="D38" s="3" t="s">
        <v>6</v>
      </c>
      <c r="E38" s="3" t="s">
        <v>29</v>
      </c>
      <c r="F38" s="3" t="s">
        <v>7</v>
      </c>
      <c r="G38" s="3" t="s">
        <v>8</v>
      </c>
      <c r="H38" s="3" t="s">
        <v>31</v>
      </c>
      <c r="I38" s="3" t="s">
        <v>33</v>
      </c>
      <c r="J38" s="3" t="s">
        <v>11</v>
      </c>
      <c r="K38" s="3" t="s">
        <v>15</v>
      </c>
    </row>
    <row r="39" spans="1:11">
      <c r="A39" s="10" t="s">
        <v>28</v>
      </c>
      <c r="B39">
        <f>5*1.5</f>
        <v>7.5</v>
      </c>
      <c r="C39" s="13">
        <v>0</v>
      </c>
      <c r="D39" s="13">
        <f>B39-C39</f>
        <v>7.5</v>
      </c>
      <c r="E39">
        <f>0.83*5</f>
        <v>4.1499999999999995</v>
      </c>
      <c r="F39" s="13">
        <v>3.24</v>
      </c>
      <c r="G39" s="13">
        <f>D39-E39-F39</f>
        <v>0.11000000000000032</v>
      </c>
      <c r="H39" s="15">
        <f>G39/D39</f>
        <v>1.466666666666671E-2</v>
      </c>
      <c r="I39" s="13">
        <v>12</v>
      </c>
      <c r="J39" s="14"/>
      <c r="K39" s="12" t="s">
        <v>87</v>
      </c>
    </row>
    <row r="41" spans="1:11">
      <c r="A41" s="16" t="s">
        <v>0</v>
      </c>
      <c r="B41" s="17">
        <v>42850</v>
      </c>
    </row>
    <row r="42" spans="1:11">
      <c r="A42" s="3" t="s">
        <v>48</v>
      </c>
      <c r="B42" s="2">
        <v>0.40277777777777773</v>
      </c>
      <c r="C42" s="2">
        <v>0.47569444444444442</v>
      </c>
      <c r="D42" t="s">
        <v>76</v>
      </c>
    </row>
    <row r="43" spans="1:11">
      <c r="A43" s="3" t="s">
        <v>13</v>
      </c>
      <c r="B43" t="s">
        <v>35</v>
      </c>
      <c r="C43" s="2"/>
    </row>
    <row r="44" spans="1:11">
      <c r="A44" s="3" t="s">
        <v>2</v>
      </c>
      <c r="B44" s="3" t="s">
        <v>4</v>
      </c>
      <c r="C44" s="3" t="s">
        <v>5</v>
      </c>
      <c r="D44" s="3" t="s">
        <v>6</v>
      </c>
      <c r="E44" s="3" t="s">
        <v>29</v>
      </c>
      <c r="F44" s="3" t="s">
        <v>7</v>
      </c>
      <c r="G44" s="3" t="s">
        <v>8</v>
      </c>
      <c r="H44" s="3" t="s">
        <v>31</v>
      </c>
      <c r="I44" s="3" t="s">
        <v>33</v>
      </c>
      <c r="J44" s="3" t="s">
        <v>11</v>
      </c>
      <c r="K44" s="3" t="s">
        <v>15</v>
      </c>
    </row>
    <row r="45" spans="1:11">
      <c r="A45" s="10" t="s">
        <v>45</v>
      </c>
      <c r="B45">
        <v>6.21</v>
      </c>
      <c r="C45" s="13">
        <v>0</v>
      </c>
      <c r="D45" s="13">
        <f>B45-C45</f>
        <v>6.21</v>
      </c>
      <c r="F45" s="13">
        <v>4.74</v>
      </c>
      <c r="G45" s="13">
        <f>D45-F45</f>
        <v>1.4699999999999998</v>
      </c>
      <c r="H45" s="15">
        <f>G45/D45</f>
        <v>0.2367149758454106</v>
      </c>
      <c r="I45" s="13"/>
      <c r="J45" s="14">
        <v>31</v>
      </c>
      <c r="K45" s="12" t="s">
        <v>74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6" workbookViewId="0">
      <selection activeCell="F28" sqref="F28"/>
    </sheetView>
  </sheetViews>
  <sheetFormatPr baseColWidth="10" defaultRowHeight="15" x14ac:dyDescent="0"/>
  <cols>
    <col min="1" max="1" width="20" bestFit="1" customWidth="1"/>
    <col min="2" max="2" width="12.5" customWidth="1"/>
    <col min="6" max="7" width="14.1640625" bestFit="1" customWidth="1"/>
    <col min="8" max="8" width="12.1640625" bestFit="1" customWidth="1"/>
    <col min="9" max="9" width="11.6640625" bestFit="1" customWidth="1"/>
    <col min="10" max="11" width="17" bestFit="1" customWidth="1"/>
    <col min="12" max="12" width="13.83203125" bestFit="1" customWidth="1"/>
    <col min="13" max="13" width="80.6640625" customWidth="1"/>
  </cols>
  <sheetData>
    <row r="1" spans="1:12">
      <c r="A1" s="16" t="s">
        <v>0</v>
      </c>
      <c r="B1" s="17">
        <v>42838</v>
      </c>
      <c r="C1" s="1"/>
    </row>
    <row r="2" spans="1:12">
      <c r="A2" s="3" t="s">
        <v>48</v>
      </c>
      <c r="B2" s="2">
        <v>0.45833333333333331</v>
      </c>
      <c r="C2" s="2">
        <v>0.5</v>
      </c>
      <c r="D2" t="s">
        <v>42</v>
      </c>
    </row>
    <row r="3" spans="1:12">
      <c r="A3" s="3" t="s">
        <v>13</v>
      </c>
      <c r="B3" s="9" t="s">
        <v>39</v>
      </c>
      <c r="D3" s="2"/>
    </row>
    <row r="4" spans="1:12">
      <c r="A4" s="3" t="s">
        <v>2</v>
      </c>
      <c r="B4" s="3" t="s">
        <v>34</v>
      </c>
      <c r="C4" s="3" t="s">
        <v>4</v>
      </c>
      <c r="D4" s="3" t="s">
        <v>5</v>
      </c>
      <c r="E4" s="3" t="s">
        <v>6</v>
      </c>
      <c r="F4" s="3" t="s">
        <v>29</v>
      </c>
      <c r="G4" s="3" t="s">
        <v>7</v>
      </c>
      <c r="H4" s="3" t="s">
        <v>8</v>
      </c>
      <c r="I4" s="3" t="s">
        <v>31</v>
      </c>
      <c r="J4" s="3" t="s">
        <v>33</v>
      </c>
      <c r="K4" s="3" t="s">
        <v>11</v>
      </c>
      <c r="L4" s="3" t="s">
        <v>15</v>
      </c>
    </row>
    <row r="5" spans="1:12">
      <c r="A5" s="5" t="s">
        <v>28</v>
      </c>
      <c r="B5" t="s">
        <v>49</v>
      </c>
      <c r="C5">
        <v>71.7</v>
      </c>
      <c r="D5">
        <v>10.199999999999999</v>
      </c>
      <c r="E5">
        <f>16*1.42</f>
        <v>22.72</v>
      </c>
      <c r="F5">
        <f>16*1.03</f>
        <v>16.48</v>
      </c>
      <c r="G5">
        <v>1.44</v>
      </c>
      <c r="H5">
        <f>E5-F5-G5</f>
        <v>4.7999999999999989</v>
      </c>
      <c r="I5" s="15">
        <f>H5/E5</f>
        <v>0.21126760563380279</v>
      </c>
      <c r="J5">
        <v>20</v>
      </c>
      <c r="K5">
        <v>56</v>
      </c>
      <c r="L5" t="s">
        <v>41</v>
      </c>
    </row>
    <row r="6" spans="1:12">
      <c r="A6" s="5" t="s">
        <v>28</v>
      </c>
      <c r="B6" t="s">
        <v>77</v>
      </c>
      <c r="C6" s="7">
        <v>71.7</v>
      </c>
      <c r="D6">
        <v>10.199999999999999</v>
      </c>
      <c r="E6">
        <f>13*1.42</f>
        <v>18.46</v>
      </c>
      <c r="F6">
        <f>13*1.03</f>
        <v>13.39</v>
      </c>
      <c r="G6" t="s">
        <v>10</v>
      </c>
      <c r="H6" t="s">
        <v>10</v>
      </c>
      <c r="I6" t="s">
        <v>10</v>
      </c>
      <c r="J6" t="s">
        <v>10</v>
      </c>
      <c r="K6" t="s">
        <v>10</v>
      </c>
      <c r="L6" t="s">
        <v>40</v>
      </c>
    </row>
    <row r="7" spans="1:12">
      <c r="A7" s="5" t="s">
        <v>28</v>
      </c>
      <c r="B7" t="s">
        <v>78</v>
      </c>
      <c r="C7" s="7">
        <v>71.7</v>
      </c>
      <c r="D7">
        <v>10.199999999999999</v>
      </c>
      <c r="E7">
        <v>0</v>
      </c>
      <c r="F7">
        <v>0</v>
      </c>
      <c r="G7">
        <v>0</v>
      </c>
      <c r="H7">
        <v>0</v>
      </c>
      <c r="I7" t="s">
        <v>10</v>
      </c>
      <c r="J7" t="s">
        <v>10</v>
      </c>
      <c r="K7" t="s">
        <v>10</v>
      </c>
      <c r="L7" t="s">
        <v>36</v>
      </c>
    </row>
    <row r="8" spans="1:12">
      <c r="A8" s="5" t="s">
        <v>22</v>
      </c>
      <c r="B8" t="s">
        <v>46</v>
      </c>
      <c r="C8" t="s">
        <v>10</v>
      </c>
      <c r="D8" t="s">
        <v>10</v>
      </c>
      <c r="E8">
        <v>0</v>
      </c>
      <c r="F8">
        <v>0</v>
      </c>
      <c r="G8">
        <v>0</v>
      </c>
      <c r="H8">
        <f>E8-G8</f>
        <v>0</v>
      </c>
      <c r="I8" t="s">
        <v>10</v>
      </c>
      <c r="J8" t="s">
        <v>10</v>
      </c>
      <c r="K8" t="s">
        <v>10</v>
      </c>
      <c r="L8" t="s">
        <v>30</v>
      </c>
    </row>
    <row r="9" spans="1:12">
      <c r="L9" t="s">
        <v>38</v>
      </c>
    </row>
    <row r="10" spans="1:12">
      <c r="L10" t="s">
        <v>37</v>
      </c>
    </row>
    <row r="12" spans="1:12">
      <c r="A12" s="16" t="s">
        <v>0</v>
      </c>
      <c r="B12" s="17">
        <v>42843</v>
      </c>
      <c r="C12" s="1"/>
    </row>
    <row r="13" spans="1:12">
      <c r="A13" s="3" t="s">
        <v>48</v>
      </c>
      <c r="B13" s="2">
        <v>0.38541666666666669</v>
      </c>
      <c r="C13" s="2">
        <v>0.42708333333333331</v>
      </c>
      <c r="D13" t="s">
        <v>42</v>
      </c>
    </row>
    <row r="14" spans="1:12">
      <c r="A14" s="3" t="s">
        <v>13</v>
      </c>
      <c r="B14" s="9" t="s">
        <v>39</v>
      </c>
      <c r="D14" s="2"/>
    </row>
    <row r="15" spans="1:12">
      <c r="A15" s="3" t="s">
        <v>2</v>
      </c>
      <c r="B15" s="3" t="s">
        <v>34</v>
      </c>
      <c r="C15" s="3" t="s">
        <v>4</v>
      </c>
      <c r="D15" s="3" t="s">
        <v>5</v>
      </c>
      <c r="E15" s="3" t="s">
        <v>6</v>
      </c>
      <c r="F15" s="3" t="s">
        <v>29</v>
      </c>
      <c r="G15" s="3" t="s">
        <v>7</v>
      </c>
      <c r="H15" s="3" t="s">
        <v>8</v>
      </c>
      <c r="I15" s="3" t="s">
        <v>31</v>
      </c>
      <c r="J15" s="3" t="s">
        <v>33</v>
      </c>
      <c r="K15" s="3" t="s">
        <v>11</v>
      </c>
      <c r="L15" s="3" t="s">
        <v>15</v>
      </c>
    </row>
    <row r="16" spans="1:12">
      <c r="A16" s="5" t="s">
        <v>28</v>
      </c>
      <c r="B16" t="s">
        <v>49</v>
      </c>
      <c r="C16">
        <v>46.53</v>
      </c>
      <c r="D16">
        <v>1.55</v>
      </c>
      <c r="E16">
        <f>15*1.55</f>
        <v>23.25</v>
      </c>
      <c r="F16">
        <v>14.35</v>
      </c>
      <c r="G16" s="13">
        <v>3.87</v>
      </c>
      <c r="H16">
        <f>E16-F16-G16</f>
        <v>5.03</v>
      </c>
      <c r="I16" s="15">
        <f>H16/E16</f>
        <v>0.2163440860215054</v>
      </c>
      <c r="J16">
        <v>16</v>
      </c>
      <c r="K16">
        <v>50</v>
      </c>
      <c r="L16" t="s">
        <v>55</v>
      </c>
    </row>
    <row r="17" spans="1:12">
      <c r="A17" s="5" t="s">
        <v>28</v>
      </c>
      <c r="B17" t="s">
        <v>77</v>
      </c>
      <c r="C17">
        <v>46.53</v>
      </c>
      <c r="D17">
        <v>1.55</v>
      </c>
      <c r="E17">
        <f>13*1.55</f>
        <v>20.150000000000002</v>
      </c>
      <c r="F17">
        <f>13*0.96</f>
        <v>12.48</v>
      </c>
      <c r="G17" s="13">
        <v>3.3</v>
      </c>
      <c r="H17">
        <f>E17-F17-G17</f>
        <v>4.3700000000000019</v>
      </c>
      <c r="I17" s="15">
        <f>H17/E17</f>
        <v>0.21687344913151371</v>
      </c>
      <c r="J17">
        <v>10</v>
      </c>
      <c r="K17" t="s">
        <v>10</v>
      </c>
      <c r="L17" t="s">
        <v>51</v>
      </c>
    </row>
    <row r="18" spans="1:12">
      <c r="A18" s="5" t="s">
        <v>28</v>
      </c>
      <c r="B18" t="s">
        <v>78</v>
      </c>
      <c r="C18">
        <v>46.53</v>
      </c>
      <c r="D18">
        <v>1.55</v>
      </c>
      <c r="E18" t="s">
        <v>10</v>
      </c>
      <c r="F18" t="s">
        <v>10</v>
      </c>
      <c r="G18">
        <v>0</v>
      </c>
      <c r="H18">
        <v>0</v>
      </c>
      <c r="I18" t="s">
        <v>10</v>
      </c>
      <c r="J18" t="s">
        <v>10</v>
      </c>
      <c r="K18" t="s">
        <v>10</v>
      </c>
      <c r="L18" t="s">
        <v>50</v>
      </c>
    </row>
    <row r="19" spans="1:12">
      <c r="A19" s="5" t="s">
        <v>28</v>
      </c>
      <c r="B19" t="s">
        <v>46</v>
      </c>
      <c r="C19">
        <v>46.53</v>
      </c>
      <c r="D19">
        <v>1.55</v>
      </c>
      <c r="E19">
        <f>SUM(E16:E17)</f>
        <v>43.400000000000006</v>
      </c>
      <c r="F19">
        <f>SUM(F16:F17)</f>
        <v>26.83</v>
      </c>
      <c r="G19">
        <f>SUM(G16:G17)</f>
        <v>7.17</v>
      </c>
      <c r="H19">
        <f>E19-F19-G19</f>
        <v>9.4000000000000075</v>
      </c>
      <c r="I19" s="18">
        <f>H19/E19</f>
        <v>0.21658986175115222</v>
      </c>
      <c r="J19">
        <f>AVERAGE(J16:J18)</f>
        <v>13</v>
      </c>
    </row>
    <row r="20" spans="1:12">
      <c r="A20" s="5" t="s">
        <v>45</v>
      </c>
      <c r="B20" t="s">
        <v>46</v>
      </c>
      <c r="C20" t="s">
        <v>10</v>
      </c>
      <c r="D20" t="s">
        <v>10</v>
      </c>
      <c r="E20">
        <v>0</v>
      </c>
      <c r="F20">
        <v>0</v>
      </c>
      <c r="G20">
        <v>0</v>
      </c>
      <c r="H20">
        <f>E20-G20</f>
        <v>0</v>
      </c>
      <c r="I20" t="s">
        <v>10</v>
      </c>
      <c r="J20" t="s">
        <v>10</v>
      </c>
      <c r="K20" t="s">
        <v>10</v>
      </c>
      <c r="L20" t="s">
        <v>54</v>
      </c>
    </row>
    <row r="21" spans="1:12">
      <c r="L21" t="s">
        <v>52</v>
      </c>
    </row>
    <row r="22" spans="1:12">
      <c r="B22" s="17"/>
      <c r="L22" t="s">
        <v>53</v>
      </c>
    </row>
    <row r="23" spans="1:12">
      <c r="A23" s="16" t="s">
        <v>0</v>
      </c>
      <c r="B23" s="17">
        <v>42844</v>
      </c>
      <c r="C23" s="1"/>
    </row>
    <row r="24" spans="1:12">
      <c r="A24" s="3" t="s">
        <v>48</v>
      </c>
      <c r="B24" s="2">
        <v>0.375</v>
      </c>
      <c r="C24" s="2">
        <v>0.4236111111111111</v>
      </c>
      <c r="D24" t="s">
        <v>59</v>
      </c>
    </row>
    <row r="25" spans="1:12">
      <c r="A25" s="3" t="s">
        <v>13</v>
      </c>
      <c r="B25" s="9" t="s">
        <v>39</v>
      </c>
      <c r="D25" s="2"/>
    </row>
    <row r="26" spans="1:12">
      <c r="A26" s="3" t="s">
        <v>2</v>
      </c>
      <c r="B26" s="3" t="s">
        <v>34</v>
      </c>
      <c r="C26" s="3" t="s">
        <v>4</v>
      </c>
      <c r="D26" s="3" t="s">
        <v>5</v>
      </c>
      <c r="E26" s="3" t="s">
        <v>6</v>
      </c>
      <c r="F26" s="3" t="s">
        <v>29</v>
      </c>
      <c r="G26" s="3" t="s">
        <v>7</v>
      </c>
      <c r="H26" s="3" t="s">
        <v>8</v>
      </c>
      <c r="I26" s="3" t="s">
        <v>31</v>
      </c>
      <c r="J26" s="3" t="s">
        <v>33</v>
      </c>
      <c r="K26" s="3" t="s">
        <v>11</v>
      </c>
      <c r="L26" s="3" t="s">
        <v>15</v>
      </c>
    </row>
    <row r="27" spans="1:12">
      <c r="A27" s="5" t="s">
        <v>28</v>
      </c>
      <c r="B27" t="s">
        <v>49</v>
      </c>
      <c r="C27">
        <v>31.4</v>
      </c>
      <c r="D27">
        <v>1.57</v>
      </c>
      <c r="E27" s="13">
        <f>6*1.57</f>
        <v>9.42</v>
      </c>
      <c r="F27" s="13">
        <f>6*0.99</f>
        <v>5.9399999999999995</v>
      </c>
      <c r="G27" s="13">
        <v>3.21</v>
      </c>
      <c r="H27" s="13">
        <f>E27-F27-G27</f>
        <v>0.27000000000000046</v>
      </c>
      <c r="I27" s="15">
        <f>H27/E27</f>
        <v>2.8662420382165654E-2</v>
      </c>
      <c r="J27">
        <v>13</v>
      </c>
      <c r="K27" t="s">
        <v>10</v>
      </c>
      <c r="L27" t="s">
        <v>65</v>
      </c>
    </row>
    <row r="28" spans="1:12">
      <c r="A28" s="5" t="s">
        <v>28</v>
      </c>
      <c r="B28" t="s">
        <v>77</v>
      </c>
      <c r="C28">
        <v>31.4</v>
      </c>
      <c r="D28">
        <v>1.57</v>
      </c>
      <c r="E28" s="13">
        <f>13*1.57</f>
        <v>20.41</v>
      </c>
      <c r="F28" s="13">
        <f>13*0.99</f>
        <v>12.87</v>
      </c>
      <c r="G28" s="13">
        <v>6.84</v>
      </c>
      <c r="H28" s="13">
        <f>E28-F28-G28</f>
        <v>0.70000000000000107</v>
      </c>
      <c r="I28" s="15">
        <f>H28/E28</f>
        <v>3.4296913277805048E-2</v>
      </c>
      <c r="J28">
        <v>8</v>
      </c>
      <c r="K28">
        <v>30</v>
      </c>
      <c r="L28" t="s">
        <v>63</v>
      </c>
    </row>
    <row r="29" spans="1:12">
      <c r="A29" s="5" t="s">
        <v>28</v>
      </c>
      <c r="B29" t="s">
        <v>78</v>
      </c>
      <c r="C29">
        <v>31.4</v>
      </c>
      <c r="D29">
        <v>1.57</v>
      </c>
      <c r="E29">
        <v>0</v>
      </c>
      <c r="F29">
        <v>0</v>
      </c>
      <c r="G29">
        <v>0</v>
      </c>
      <c r="H29">
        <v>0</v>
      </c>
      <c r="I29" t="s">
        <v>10</v>
      </c>
      <c r="J29" t="s">
        <v>10</v>
      </c>
      <c r="K29" t="s">
        <v>10</v>
      </c>
      <c r="L29" t="s">
        <v>60</v>
      </c>
    </row>
    <row r="30" spans="1:12">
      <c r="A30" s="5" t="s">
        <v>28</v>
      </c>
      <c r="B30" t="s">
        <v>46</v>
      </c>
      <c r="C30">
        <v>31.4</v>
      </c>
      <c r="D30">
        <v>1.57</v>
      </c>
      <c r="E30">
        <f>SUM(E27:E29)</f>
        <v>29.83</v>
      </c>
      <c r="F30">
        <f>SUM(F27:F29)</f>
        <v>18.809999999999999</v>
      </c>
      <c r="G30">
        <f>SUM(G27:G28)</f>
        <v>10.050000000000001</v>
      </c>
      <c r="H30">
        <f>E30-F30-G30</f>
        <v>0.96999999999999886</v>
      </c>
      <c r="I30" s="18">
        <f>H30/E30</f>
        <v>3.2517599731813576E-2</v>
      </c>
      <c r="J30">
        <f>AVERAGE(J27:J29)</f>
        <v>10.5</v>
      </c>
      <c r="L30" t="s">
        <v>67</v>
      </c>
    </row>
    <row r="31" spans="1:12">
      <c r="L31" t="s">
        <v>64</v>
      </c>
    </row>
    <row r="33" spans="1:12">
      <c r="A33" s="16" t="s">
        <v>0</v>
      </c>
      <c r="B33" s="17">
        <v>42845</v>
      </c>
      <c r="C33" s="1"/>
    </row>
    <row r="34" spans="1:12">
      <c r="A34" s="3" t="s">
        <v>48</v>
      </c>
      <c r="B34" s="2">
        <v>0.40277777777777773</v>
      </c>
      <c r="C34" s="2">
        <v>0.47222222222222227</v>
      </c>
      <c r="D34" t="s">
        <v>58</v>
      </c>
    </row>
    <row r="35" spans="1:12">
      <c r="A35" s="3" t="s">
        <v>13</v>
      </c>
      <c r="B35" s="9" t="s">
        <v>39</v>
      </c>
      <c r="D35" s="2"/>
    </row>
    <row r="36" spans="1:12">
      <c r="A36" s="3" t="s">
        <v>2</v>
      </c>
      <c r="B36" s="3" t="s">
        <v>34</v>
      </c>
      <c r="C36" s="3" t="s">
        <v>4</v>
      </c>
      <c r="D36" s="3" t="s">
        <v>5</v>
      </c>
      <c r="E36" s="3" t="s">
        <v>6</v>
      </c>
      <c r="F36" s="3" t="s">
        <v>29</v>
      </c>
      <c r="G36" s="3" t="s">
        <v>7</v>
      </c>
      <c r="H36" s="3" t="s">
        <v>8</v>
      </c>
      <c r="I36" s="3" t="s">
        <v>31</v>
      </c>
      <c r="J36" s="3" t="s">
        <v>33</v>
      </c>
      <c r="K36" s="3" t="s">
        <v>11</v>
      </c>
      <c r="L36" s="3" t="s">
        <v>15</v>
      </c>
    </row>
    <row r="37" spans="1:12">
      <c r="A37" s="5" t="s">
        <v>28</v>
      </c>
      <c r="B37" t="s">
        <v>49</v>
      </c>
      <c r="C37">
        <v>31.36</v>
      </c>
      <c r="D37">
        <v>0</v>
      </c>
      <c r="E37" s="13">
        <f>11*1.57</f>
        <v>17.27</v>
      </c>
      <c r="F37" s="13">
        <f>0.99*11</f>
        <v>10.89</v>
      </c>
      <c r="G37" s="13">
        <v>3.91</v>
      </c>
      <c r="H37" s="13">
        <f>E37-F37-G37</f>
        <v>2.4699999999999989</v>
      </c>
      <c r="I37" s="15">
        <f>H37/E37</f>
        <v>0.14302258251302832</v>
      </c>
      <c r="J37">
        <v>15</v>
      </c>
      <c r="K37">
        <v>35</v>
      </c>
      <c r="L37" t="s">
        <v>70</v>
      </c>
    </row>
    <row r="38" spans="1:12">
      <c r="A38" s="5" t="s">
        <v>28</v>
      </c>
      <c r="B38" t="s">
        <v>77</v>
      </c>
      <c r="C38">
        <v>31.36</v>
      </c>
      <c r="D38">
        <v>0</v>
      </c>
      <c r="E38" s="13">
        <f>9*1.57</f>
        <v>14.13</v>
      </c>
      <c r="F38" s="13">
        <f>0.99*9</f>
        <v>8.91</v>
      </c>
      <c r="G38" s="13">
        <v>4.57</v>
      </c>
      <c r="H38" s="13">
        <f>E38-F38-G38</f>
        <v>0.65000000000000036</v>
      </c>
      <c r="I38" s="15">
        <f>H38/E38</f>
        <v>4.600141542816704E-2</v>
      </c>
      <c r="J38">
        <v>14</v>
      </c>
      <c r="K38" t="s">
        <v>10</v>
      </c>
      <c r="L38" t="s">
        <v>69</v>
      </c>
    </row>
    <row r="39" spans="1:12">
      <c r="A39" s="5" t="s">
        <v>28</v>
      </c>
      <c r="B39" t="s">
        <v>78</v>
      </c>
      <c r="C39">
        <v>31.36</v>
      </c>
      <c r="D39">
        <v>0</v>
      </c>
      <c r="E39">
        <v>0</v>
      </c>
      <c r="F39">
        <v>0</v>
      </c>
      <c r="G39">
        <v>0</v>
      </c>
      <c r="H39">
        <v>0</v>
      </c>
      <c r="I39" t="s">
        <v>10</v>
      </c>
      <c r="J39" t="s">
        <v>10</v>
      </c>
      <c r="K39" t="s">
        <v>10</v>
      </c>
      <c r="L39" t="s">
        <v>71</v>
      </c>
    </row>
    <row r="40" spans="1:12">
      <c r="A40" s="5" t="s">
        <v>28</v>
      </c>
      <c r="B40" t="s">
        <v>46</v>
      </c>
      <c r="C40">
        <v>31.36</v>
      </c>
      <c r="D40">
        <v>0</v>
      </c>
      <c r="E40">
        <f>SUM(E37:E39)</f>
        <v>31.4</v>
      </c>
      <c r="F40">
        <f>SUM(F37:F39)</f>
        <v>19.8</v>
      </c>
      <c r="G40">
        <f>SUM(G37:G39)</f>
        <v>8.48</v>
      </c>
      <c r="H40">
        <f>E40-F40-G40</f>
        <v>3.1199999999999974</v>
      </c>
      <c r="I40" s="18">
        <f>H40/E40</f>
        <v>9.9363057324840687E-2</v>
      </c>
      <c r="J40">
        <f>AVERAGE(J37:J39)</f>
        <v>14.5</v>
      </c>
      <c r="L40" t="s">
        <v>68</v>
      </c>
    </row>
    <row r="41" spans="1:12">
      <c r="L41" t="s">
        <v>72</v>
      </c>
    </row>
    <row r="42" spans="1:12">
      <c r="A42" s="16" t="s">
        <v>0</v>
      </c>
      <c r="B42" s="17">
        <v>42849</v>
      </c>
      <c r="C42" s="1"/>
    </row>
    <row r="43" spans="1:12">
      <c r="A43" s="3" t="s">
        <v>48</v>
      </c>
      <c r="B43" s="2">
        <v>0.38541666666666669</v>
      </c>
      <c r="C43" s="2">
        <v>0.45833333333333331</v>
      </c>
      <c r="D43" t="s">
        <v>76</v>
      </c>
    </row>
    <row r="44" spans="1:12">
      <c r="A44" s="3" t="s">
        <v>13</v>
      </c>
      <c r="B44" s="9" t="s">
        <v>39</v>
      </c>
      <c r="D44" s="2"/>
    </row>
    <row r="45" spans="1:12">
      <c r="A45" s="3" t="s">
        <v>2</v>
      </c>
      <c r="B45" s="3" t="s">
        <v>34</v>
      </c>
      <c r="C45" s="3" t="s">
        <v>4</v>
      </c>
      <c r="D45" s="3" t="s">
        <v>5</v>
      </c>
      <c r="E45" s="3" t="s">
        <v>6</v>
      </c>
      <c r="F45" s="3" t="s">
        <v>29</v>
      </c>
      <c r="G45" s="3" t="s">
        <v>7</v>
      </c>
      <c r="H45" s="3" t="s">
        <v>8</v>
      </c>
      <c r="I45" s="3" t="s">
        <v>31</v>
      </c>
      <c r="J45" s="3" t="s">
        <v>33</v>
      </c>
      <c r="K45" s="3" t="s">
        <v>11</v>
      </c>
      <c r="L45" s="3" t="s">
        <v>15</v>
      </c>
    </row>
    <row r="46" spans="1:12">
      <c r="A46" s="10" t="s">
        <v>45</v>
      </c>
      <c r="B46" t="s">
        <v>49</v>
      </c>
      <c r="C46">
        <v>9.24</v>
      </c>
      <c r="D46">
        <v>0.74</v>
      </c>
      <c r="E46" s="13">
        <v>0</v>
      </c>
      <c r="F46" s="13"/>
      <c r="G46" s="13">
        <v>0</v>
      </c>
      <c r="H46" s="13">
        <f>E46-F46-G46</f>
        <v>0</v>
      </c>
      <c r="I46" s="13" t="s">
        <v>10</v>
      </c>
      <c r="K46" t="s">
        <v>10</v>
      </c>
      <c r="L46" t="s">
        <v>79</v>
      </c>
    </row>
    <row r="47" spans="1:12">
      <c r="A47" s="10" t="s">
        <v>45</v>
      </c>
      <c r="B47" t="s">
        <v>77</v>
      </c>
      <c r="C47">
        <v>9.24</v>
      </c>
      <c r="D47">
        <v>0.74</v>
      </c>
      <c r="E47" s="13">
        <f>0.94*3.5</f>
        <v>3.29</v>
      </c>
      <c r="F47" s="13"/>
      <c r="G47" s="13" t="s">
        <v>10</v>
      </c>
      <c r="H47" s="13" t="s">
        <v>10</v>
      </c>
      <c r="I47" s="13" t="s">
        <v>10</v>
      </c>
      <c r="K47" t="s">
        <v>10</v>
      </c>
    </row>
    <row r="48" spans="1:12">
      <c r="A48" s="10" t="s">
        <v>45</v>
      </c>
      <c r="B48" t="s">
        <v>78</v>
      </c>
      <c r="C48">
        <v>9.24</v>
      </c>
      <c r="D48">
        <v>0.74</v>
      </c>
      <c r="E48" s="13">
        <f>0.94*5.5</f>
        <v>5.17</v>
      </c>
      <c r="G48" t="s">
        <v>10</v>
      </c>
      <c r="H48" t="s">
        <v>10</v>
      </c>
      <c r="I48" s="13" t="s">
        <v>10</v>
      </c>
      <c r="K48" t="s">
        <v>10</v>
      </c>
    </row>
    <row r="49" spans="1:12">
      <c r="A49" s="10" t="s">
        <v>45</v>
      </c>
      <c r="B49" t="s">
        <v>46</v>
      </c>
      <c r="C49">
        <v>9.24</v>
      </c>
      <c r="D49">
        <v>0.74</v>
      </c>
      <c r="E49" s="13">
        <f t="shared" ref="E49" si="0">C49-D49</f>
        <v>8.5</v>
      </c>
      <c r="G49">
        <v>3.9</v>
      </c>
      <c r="H49">
        <f>E49-G49</f>
        <v>4.5999999999999996</v>
      </c>
      <c r="I49" s="19">
        <f>H49/E49</f>
        <v>0.54117647058823526</v>
      </c>
      <c r="K49" t="s">
        <v>10</v>
      </c>
      <c r="L49" t="s">
        <v>112</v>
      </c>
    </row>
    <row r="50" spans="1:12">
      <c r="L50" t="s">
        <v>80</v>
      </c>
    </row>
    <row r="51" spans="1:12">
      <c r="A51" s="16" t="s">
        <v>0</v>
      </c>
      <c r="B51" s="17">
        <v>42849</v>
      </c>
      <c r="C51" s="1"/>
    </row>
    <row r="52" spans="1:12">
      <c r="A52" s="3" t="s">
        <v>48</v>
      </c>
      <c r="B52" s="2">
        <v>0.38541666666666669</v>
      </c>
      <c r="C52" s="2">
        <v>0.45833333333333331</v>
      </c>
      <c r="D52" t="s">
        <v>76</v>
      </c>
    </row>
    <row r="53" spans="1:12">
      <c r="A53" s="3" t="s">
        <v>13</v>
      </c>
      <c r="B53" s="9" t="s">
        <v>39</v>
      </c>
      <c r="D53" s="2"/>
    </row>
    <row r="54" spans="1:12">
      <c r="A54" s="3" t="s">
        <v>2</v>
      </c>
      <c r="B54" s="3" t="s">
        <v>34</v>
      </c>
      <c r="C54" s="3" t="s">
        <v>4</v>
      </c>
      <c r="D54" s="3" t="s">
        <v>5</v>
      </c>
      <c r="E54" s="3" t="s">
        <v>6</v>
      </c>
      <c r="F54" s="3" t="s">
        <v>29</v>
      </c>
      <c r="G54" s="3" t="s">
        <v>7</v>
      </c>
      <c r="H54" s="3" t="s">
        <v>8</v>
      </c>
      <c r="I54" s="3" t="s">
        <v>31</v>
      </c>
      <c r="J54" s="3" t="s">
        <v>33</v>
      </c>
      <c r="K54" s="3" t="s">
        <v>11</v>
      </c>
      <c r="L54" s="3" t="s">
        <v>15</v>
      </c>
    </row>
    <row r="55" spans="1:12">
      <c r="A55" s="5" t="s">
        <v>28</v>
      </c>
      <c r="B55" t="s">
        <v>49</v>
      </c>
      <c r="C55">
        <v>29.39</v>
      </c>
      <c r="D55">
        <v>0</v>
      </c>
      <c r="E55" s="13">
        <f>1.47*11</f>
        <v>16.169999999999998</v>
      </c>
      <c r="F55" s="13">
        <f>0.95*11</f>
        <v>10.45</v>
      </c>
      <c r="G55" s="13">
        <v>4.9000000000000004</v>
      </c>
      <c r="H55" s="13">
        <f>E55-F55-G55</f>
        <v>0.81999999999999851</v>
      </c>
      <c r="I55" s="20">
        <f>H55/E55</f>
        <v>5.0711193568336338E-2</v>
      </c>
      <c r="J55">
        <v>15</v>
      </c>
      <c r="K55">
        <v>45</v>
      </c>
      <c r="L55" t="s">
        <v>83</v>
      </c>
    </row>
    <row r="56" spans="1:12">
      <c r="A56" s="5" t="s">
        <v>28</v>
      </c>
      <c r="B56" t="s">
        <v>77</v>
      </c>
      <c r="C56">
        <v>29.39</v>
      </c>
      <c r="D56">
        <v>0</v>
      </c>
      <c r="E56" s="13">
        <f>1.47*9</f>
        <v>13.23</v>
      </c>
      <c r="F56" s="13">
        <f>0.95*9</f>
        <v>8.5499999999999989</v>
      </c>
      <c r="G56" s="13">
        <v>4.26</v>
      </c>
      <c r="H56" s="13">
        <f t="shared" ref="H56:H58" si="1">E56-F56-G56</f>
        <v>0.42000000000000171</v>
      </c>
      <c r="I56" s="20">
        <f t="shared" ref="I56:I58" si="2">H56/E56</f>
        <v>3.1746031746031876E-2</v>
      </c>
      <c r="J56" t="s">
        <v>10</v>
      </c>
      <c r="K56" t="s">
        <v>10</v>
      </c>
    </row>
    <row r="57" spans="1:12">
      <c r="A57" s="10" t="s">
        <v>45</v>
      </c>
      <c r="B57" t="s">
        <v>78</v>
      </c>
      <c r="C57">
        <v>9.24</v>
      </c>
      <c r="D57">
        <v>0</v>
      </c>
      <c r="E57" s="13">
        <f>C57</f>
        <v>9.24</v>
      </c>
      <c r="G57">
        <v>2.48</v>
      </c>
      <c r="H57" s="13">
        <f t="shared" si="1"/>
        <v>6.76</v>
      </c>
      <c r="I57" s="19">
        <f t="shared" si="2"/>
        <v>0.73160173160173159</v>
      </c>
      <c r="K57">
        <v>50</v>
      </c>
      <c r="L57" t="s">
        <v>86</v>
      </c>
    </row>
    <row r="58" spans="1:12">
      <c r="A58" s="5" t="s">
        <v>28</v>
      </c>
      <c r="B58" t="s">
        <v>82</v>
      </c>
      <c r="C58">
        <v>29.39</v>
      </c>
      <c r="D58">
        <v>0</v>
      </c>
      <c r="E58" s="13">
        <f t="shared" ref="E58" si="3">C58-D58</f>
        <v>29.39</v>
      </c>
      <c r="F58">
        <v>18.920000000000002</v>
      </c>
      <c r="G58">
        <v>9.16</v>
      </c>
      <c r="H58" s="13">
        <f t="shared" si="1"/>
        <v>1.3099999999999987</v>
      </c>
      <c r="I58" s="18">
        <f t="shared" si="2"/>
        <v>4.4572984008165999E-2</v>
      </c>
      <c r="J58" t="s">
        <v>10</v>
      </c>
      <c r="K58" t="s">
        <v>10</v>
      </c>
      <c r="L58" t="s">
        <v>81</v>
      </c>
    </row>
    <row r="59" spans="1:12">
      <c r="L59" t="s">
        <v>84</v>
      </c>
    </row>
    <row r="60" spans="1:12">
      <c r="L60" t="s">
        <v>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B31" sqref="B31"/>
    </sheetView>
  </sheetViews>
  <sheetFormatPr baseColWidth="10" defaultRowHeight="15" x14ac:dyDescent="0"/>
  <cols>
    <col min="2" max="2" width="21.33203125" customWidth="1"/>
    <col min="3" max="3" width="20.5" customWidth="1"/>
    <col min="6" max="6" width="13.5" bestFit="1" customWidth="1"/>
    <col min="7" max="7" width="8.33203125" bestFit="1" customWidth="1"/>
    <col min="8" max="8" width="12.83203125" bestFit="1" customWidth="1"/>
    <col min="9" max="9" width="12.1640625" bestFit="1" customWidth="1"/>
    <col min="10" max="10" width="11.6640625" bestFit="1" customWidth="1"/>
    <col min="11" max="11" width="12.1640625" bestFit="1" customWidth="1"/>
  </cols>
  <sheetData>
    <row r="1" spans="1:13">
      <c r="A1" s="3" t="s">
        <v>13</v>
      </c>
      <c r="B1" s="9" t="s">
        <v>94</v>
      </c>
    </row>
    <row r="2" spans="1:13">
      <c r="E2" s="2"/>
    </row>
    <row r="3" spans="1:13">
      <c r="A3" s="3" t="s">
        <v>93</v>
      </c>
      <c r="B3" s="3" t="s">
        <v>92</v>
      </c>
      <c r="C3" s="3" t="s">
        <v>91</v>
      </c>
      <c r="D3" s="3" t="s">
        <v>90</v>
      </c>
      <c r="E3" s="3" t="s">
        <v>89</v>
      </c>
      <c r="F3" s="3" t="s">
        <v>88</v>
      </c>
      <c r="G3" s="3" t="s">
        <v>96</v>
      </c>
      <c r="H3" s="3" t="s">
        <v>119</v>
      </c>
      <c r="I3" s="3" t="s">
        <v>7</v>
      </c>
      <c r="J3" s="3" t="s">
        <v>8</v>
      </c>
      <c r="K3" s="3" t="s">
        <v>31</v>
      </c>
      <c r="L3" s="3" t="s">
        <v>15</v>
      </c>
      <c r="M3" s="3"/>
    </row>
    <row r="4" spans="1:13">
      <c r="A4" s="21">
        <v>42852</v>
      </c>
      <c r="B4" s="5" t="s">
        <v>45</v>
      </c>
      <c r="C4" t="s">
        <v>95</v>
      </c>
      <c r="D4" s="2">
        <v>0.2986111111111111</v>
      </c>
      <c r="E4" s="2">
        <v>0.3888888888888889</v>
      </c>
      <c r="F4">
        <v>130</v>
      </c>
      <c r="G4">
        <v>0.79</v>
      </c>
      <c r="H4">
        <v>0.79</v>
      </c>
      <c r="I4">
        <v>0.13</v>
      </c>
      <c r="J4">
        <f>H4-I4</f>
        <v>0.66</v>
      </c>
      <c r="K4" s="15">
        <f>J4/H4</f>
        <v>0.83544303797468356</v>
      </c>
      <c r="L4" t="s">
        <v>97</v>
      </c>
    </row>
    <row r="5" spans="1:13">
      <c r="B5" s="5"/>
      <c r="H5" s="7"/>
    </row>
    <row r="6" spans="1:13">
      <c r="A6" s="1">
        <v>42858</v>
      </c>
      <c r="B6" s="5" t="s">
        <v>98</v>
      </c>
      <c r="C6" t="s">
        <v>99</v>
      </c>
      <c r="D6" s="2">
        <v>0.31597222222222221</v>
      </c>
      <c r="E6" s="2">
        <v>0.3611111111111111</v>
      </c>
      <c r="F6">
        <v>65</v>
      </c>
      <c r="G6" s="7">
        <f>0.0203*5</f>
        <v>0.10149999999999999</v>
      </c>
      <c r="H6" s="7">
        <f>0.0203*3</f>
        <v>6.0899999999999996E-2</v>
      </c>
      <c r="I6">
        <v>0.03</v>
      </c>
      <c r="J6">
        <f>H6-I6</f>
        <v>3.0899999999999997E-2</v>
      </c>
      <c r="K6" s="15">
        <f>J6/H6</f>
        <v>0.50738916256157629</v>
      </c>
      <c r="L6" t="s">
        <v>118</v>
      </c>
    </row>
    <row r="7" spans="1:13">
      <c r="B7" s="5" t="s">
        <v>98</v>
      </c>
      <c r="C7" t="s">
        <v>99</v>
      </c>
      <c r="D7" s="2">
        <v>0.37152777777777773</v>
      </c>
      <c r="E7" s="2">
        <v>0.47916666666666669</v>
      </c>
      <c r="F7">
        <v>155</v>
      </c>
      <c r="G7" s="7">
        <f t="shared" ref="G7:G12" si="0">0.0203*5</f>
        <v>0.10149999999999999</v>
      </c>
      <c r="H7" s="7">
        <f>0.0203*3</f>
        <v>6.0899999999999996E-2</v>
      </c>
      <c r="I7">
        <v>2.3E-2</v>
      </c>
      <c r="J7">
        <f>H7-I7</f>
        <v>3.7899999999999996E-2</v>
      </c>
      <c r="K7" s="15">
        <f>J7/H7</f>
        <v>0.62233169129720856</v>
      </c>
      <c r="L7" t="s">
        <v>111</v>
      </c>
    </row>
    <row r="8" spans="1:13">
      <c r="B8" s="5" t="s">
        <v>98</v>
      </c>
      <c r="C8" t="s">
        <v>100</v>
      </c>
      <c r="D8" s="2">
        <v>0.44791666666666669</v>
      </c>
      <c r="E8" s="2">
        <v>0.52083333333333337</v>
      </c>
      <c r="F8">
        <v>105</v>
      </c>
      <c r="G8" s="7">
        <f t="shared" si="0"/>
        <v>0.10149999999999999</v>
      </c>
      <c r="H8">
        <v>9.5000000000000001E-2</v>
      </c>
      <c r="I8" s="13" t="s">
        <v>10</v>
      </c>
      <c r="J8" t="s">
        <v>10</v>
      </c>
      <c r="K8" s="13" t="s">
        <v>10</v>
      </c>
      <c r="L8" t="s">
        <v>101</v>
      </c>
    </row>
    <row r="10" spans="1:13">
      <c r="A10" s="1">
        <v>42858</v>
      </c>
      <c r="B10" s="5" t="s">
        <v>98</v>
      </c>
      <c r="C10" t="s">
        <v>106</v>
      </c>
      <c r="D10" s="2">
        <v>0.35416666666666669</v>
      </c>
      <c r="E10" s="2">
        <v>0.5</v>
      </c>
      <c r="F10">
        <v>210</v>
      </c>
      <c r="G10" s="7">
        <f t="shared" si="0"/>
        <v>0.10149999999999999</v>
      </c>
      <c r="H10" s="7">
        <f>0.0203*2</f>
        <v>4.0599999999999997E-2</v>
      </c>
      <c r="I10">
        <v>2.5049999999999999E-2</v>
      </c>
      <c r="J10">
        <f>H10-I10</f>
        <v>1.5549999999999998E-2</v>
      </c>
      <c r="K10" s="15">
        <f>J10/H10</f>
        <v>0.38300492610837433</v>
      </c>
      <c r="L10" t="s">
        <v>110</v>
      </c>
    </row>
    <row r="11" spans="1:13">
      <c r="B11" s="5" t="s">
        <v>98</v>
      </c>
      <c r="C11" t="s">
        <v>107</v>
      </c>
      <c r="D11" s="2">
        <v>0.36458333333333331</v>
      </c>
      <c r="E11" s="2">
        <v>0.50347222222222221</v>
      </c>
      <c r="F11">
        <v>200</v>
      </c>
      <c r="G11" s="7">
        <f t="shared" si="0"/>
        <v>0.10149999999999999</v>
      </c>
      <c r="H11" s="7">
        <f>0.0203*5</f>
        <v>0.10149999999999999</v>
      </c>
      <c r="I11">
        <v>0</v>
      </c>
      <c r="J11" t="s">
        <v>10</v>
      </c>
      <c r="K11" t="s">
        <v>10</v>
      </c>
      <c r="L11" t="s">
        <v>108</v>
      </c>
    </row>
    <row r="12" spans="1:13">
      <c r="B12" s="5" t="s">
        <v>98</v>
      </c>
      <c r="C12" t="s">
        <v>107</v>
      </c>
      <c r="D12" s="2">
        <v>0.39583333333333331</v>
      </c>
      <c r="E12" s="2">
        <v>0.47569444444444442</v>
      </c>
      <c r="F12">
        <v>115</v>
      </c>
      <c r="G12" s="7">
        <f t="shared" si="0"/>
        <v>0.10149999999999999</v>
      </c>
      <c r="H12" s="7">
        <f>0.0203*5</f>
        <v>0.10149999999999999</v>
      </c>
      <c r="I12">
        <v>2.6769999999999999E-2</v>
      </c>
      <c r="J12">
        <f>H12-I12</f>
        <v>7.4729999999999991E-2</v>
      </c>
      <c r="K12" s="15">
        <f>J12/H12</f>
        <v>0.73625615763546792</v>
      </c>
      <c r="L12" t="s">
        <v>109</v>
      </c>
    </row>
    <row r="14" spans="1:13">
      <c r="A14" s="1">
        <v>42865</v>
      </c>
      <c r="B14" s="5" t="s">
        <v>98</v>
      </c>
      <c r="C14" t="s">
        <v>106</v>
      </c>
      <c r="D14" s="2">
        <v>0.30555555555555552</v>
      </c>
      <c r="E14" s="2">
        <v>0.47222222222222227</v>
      </c>
      <c r="F14">
        <v>240</v>
      </c>
      <c r="G14" s="7">
        <f>0.0203*6</f>
        <v>0.12179999999999999</v>
      </c>
      <c r="H14" s="7">
        <f>0.0203*6</f>
        <v>0.12179999999999999</v>
      </c>
      <c r="I14">
        <v>0</v>
      </c>
      <c r="J14" t="s">
        <v>10</v>
      </c>
      <c r="K14" t="s">
        <v>10</v>
      </c>
      <c r="L14" t="s">
        <v>116</v>
      </c>
    </row>
    <row r="15" spans="1:13">
      <c r="B15" s="5" t="s">
        <v>98</v>
      </c>
      <c r="C15" t="s">
        <v>106</v>
      </c>
      <c r="D15" s="2">
        <v>0.3298611111111111</v>
      </c>
      <c r="E15" s="2">
        <v>0.4993055555555555</v>
      </c>
      <c r="F15">
        <v>249</v>
      </c>
      <c r="G15" s="7">
        <f t="shared" ref="G15" si="1">0.0203*6</f>
        <v>0.12179999999999999</v>
      </c>
      <c r="H15" s="7">
        <f>0.0203</f>
        <v>2.0299999999999999E-2</v>
      </c>
      <c r="I15" s="22">
        <v>8.5000000000000006E-3</v>
      </c>
      <c r="J15" s="22">
        <f>H15-I15</f>
        <v>1.1799999999999998E-2</v>
      </c>
      <c r="K15" s="20">
        <f>J15/H15</f>
        <v>0.58128078817733986</v>
      </c>
      <c r="L15" t="s">
        <v>115</v>
      </c>
    </row>
    <row r="16" spans="1:13">
      <c r="B16" s="5" t="s">
        <v>98</v>
      </c>
      <c r="C16" t="s">
        <v>95</v>
      </c>
      <c r="D16" s="2">
        <v>0.40972222222222227</v>
      </c>
      <c r="E16" s="2">
        <v>0.53472222222222221</v>
      </c>
      <c r="F16">
        <v>180</v>
      </c>
      <c r="G16" s="7">
        <f>0.0203*5</f>
        <v>0.10149999999999999</v>
      </c>
      <c r="H16" s="7">
        <f>0.0203*5</f>
        <v>0.10149999999999999</v>
      </c>
      <c r="I16">
        <v>0</v>
      </c>
      <c r="J16" t="s">
        <v>10</v>
      </c>
      <c r="K16" t="s">
        <v>10</v>
      </c>
      <c r="L16" t="s">
        <v>117</v>
      </c>
    </row>
    <row r="18" spans="1:3">
      <c r="A18" s="1">
        <v>42866</v>
      </c>
      <c r="B18" s="8" t="s">
        <v>114</v>
      </c>
    </row>
    <row r="21" spans="1:3">
      <c r="A21" t="s">
        <v>120</v>
      </c>
    </row>
    <row r="23" spans="1:3">
      <c r="A23" t="s">
        <v>102</v>
      </c>
    </row>
    <row r="24" spans="1:3">
      <c r="A24" t="s">
        <v>103</v>
      </c>
      <c r="B24" t="s">
        <v>105</v>
      </c>
      <c r="C24" t="s">
        <v>104</v>
      </c>
    </row>
    <row r="25" spans="1:3">
      <c r="A25">
        <v>0.11282</v>
      </c>
      <c r="B25">
        <v>5</v>
      </c>
      <c r="C25">
        <f>A25/B25</f>
        <v>2.2564000000000001E-2</v>
      </c>
    </row>
    <row r="26" spans="1:3">
      <c r="A26">
        <v>0.10423</v>
      </c>
      <c r="B26">
        <v>5</v>
      </c>
      <c r="C26">
        <f>A26/B26</f>
        <v>2.0846E-2</v>
      </c>
    </row>
    <row r="27" spans="1:3">
      <c r="A27">
        <v>9.5500000000000002E-2</v>
      </c>
      <c r="B27">
        <v>5</v>
      </c>
      <c r="C27">
        <f>A27/B27</f>
        <v>1.9099999999999999E-2</v>
      </c>
    </row>
    <row r="28" spans="1:3">
      <c r="A28">
        <v>0.24113999999999999</v>
      </c>
      <c r="B28">
        <v>12</v>
      </c>
      <c r="C28">
        <f>A28/B28</f>
        <v>2.0094999999999998E-2</v>
      </c>
    </row>
    <row r="29" spans="1:3">
      <c r="B29" s="3" t="s">
        <v>113</v>
      </c>
      <c r="C29">
        <f>AVERAGE(C25:C28)</f>
        <v>2.0651250000000003E-2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24" zoomScale="150" zoomScaleNormal="150" zoomScalePageLayoutView="150" workbookViewId="0">
      <selection activeCell="C37" sqref="C37"/>
    </sheetView>
  </sheetViews>
  <sheetFormatPr baseColWidth="10" defaultRowHeight="15" x14ac:dyDescent="0"/>
  <cols>
    <col min="1" max="1" width="14" bestFit="1" customWidth="1"/>
    <col min="2" max="3" width="20.1640625" customWidth="1"/>
    <col min="4" max="4" width="13.6640625" bestFit="1" customWidth="1"/>
    <col min="5" max="5" width="12.1640625" bestFit="1" customWidth="1"/>
    <col min="6" max="6" width="17.6640625" bestFit="1" customWidth="1"/>
    <col min="7" max="7" width="11.1640625" bestFit="1" customWidth="1"/>
    <col min="8" max="8" width="16.33203125" bestFit="1" customWidth="1"/>
    <col min="12" max="12" width="12.6640625" bestFit="1" customWidth="1"/>
  </cols>
  <sheetData>
    <row r="1" spans="1:14">
      <c r="A1" s="3" t="s">
        <v>157</v>
      </c>
      <c r="B1" s="3" t="s">
        <v>121</v>
      </c>
      <c r="C1" s="3" t="s">
        <v>122</v>
      </c>
      <c r="D1" s="3" t="s">
        <v>123</v>
      </c>
      <c r="E1" s="3" t="s">
        <v>124</v>
      </c>
      <c r="F1" s="3" t="s">
        <v>125</v>
      </c>
      <c r="G1" s="3" t="s">
        <v>126</v>
      </c>
      <c r="H1" s="3" t="s">
        <v>135</v>
      </c>
      <c r="I1" s="3" t="s">
        <v>127</v>
      </c>
      <c r="J1" s="3" t="s">
        <v>128</v>
      </c>
      <c r="K1" s="3" t="s">
        <v>129</v>
      </c>
      <c r="L1" s="3" t="s">
        <v>130</v>
      </c>
      <c r="M1" s="3" t="s">
        <v>131</v>
      </c>
      <c r="N1" s="3" t="s">
        <v>132</v>
      </c>
    </row>
    <row r="2" spans="1:14">
      <c r="A2" s="22" t="s">
        <v>158</v>
      </c>
      <c r="B2" s="32" t="s">
        <v>95</v>
      </c>
      <c r="C2" s="32" t="s">
        <v>45</v>
      </c>
      <c r="D2" s="22">
        <v>130</v>
      </c>
      <c r="E2" s="22">
        <v>0.79</v>
      </c>
      <c r="F2" s="22">
        <v>0</v>
      </c>
      <c r="G2" s="22">
        <f t="shared" ref="G2:G7" si="0">E2-F2</f>
        <v>0.79</v>
      </c>
      <c r="H2" s="31">
        <f>G2*0.337</f>
        <v>0.26623000000000002</v>
      </c>
      <c r="I2" s="19">
        <v>0.13</v>
      </c>
      <c r="J2" s="19">
        <f>G2-I2</f>
        <v>0.66</v>
      </c>
      <c r="K2" s="29">
        <f>J2/G2</f>
        <v>0.83544303797468356</v>
      </c>
      <c r="L2" s="30">
        <f>J2/(G2-H2)</f>
        <v>1.2600950799014834</v>
      </c>
      <c r="M2" s="22" t="s">
        <v>10</v>
      </c>
      <c r="N2" s="22" t="s">
        <v>10</v>
      </c>
    </row>
    <row r="3" spans="1:14">
      <c r="A3" t="s">
        <v>159</v>
      </c>
      <c r="B3" s="5" t="s">
        <v>133</v>
      </c>
      <c r="C3" s="10" t="s">
        <v>45</v>
      </c>
      <c r="D3">
        <v>115</v>
      </c>
      <c r="E3">
        <v>14.4</v>
      </c>
      <c r="F3">
        <v>5.89</v>
      </c>
      <c r="G3">
        <f t="shared" si="0"/>
        <v>8.5100000000000016</v>
      </c>
      <c r="H3" s="31">
        <f t="shared" ref="H3:H7" si="1">G3*0.337</f>
        <v>2.8678700000000008</v>
      </c>
      <c r="I3" s="22">
        <v>7.4</v>
      </c>
      <c r="J3">
        <f>G3-I3</f>
        <v>1.1100000000000012</v>
      </c>
      <c r="K3" s="26">
        <f>J3/G3</f>
        <v>0.13043478260869576</v>
      </c>
      <c r="L3" s="25">
        <f t="shared" ref="L3:L11" si="2">J3/(G3-H3)</f>
        <v>0.1967342120794808</v>
      </c>
      <c r="M3" t="s">
        <v>10</v>
      </c>
      <c r="N3">
        <v>24</v>
      </c>
    </row>
    <row r="4" spans="1:14">
      <c r="A4" t="s">
        <v>159</v>
      </c>
      <c r="B4" s="5" t="s">
        <v>133</v>
      </c>
      <c r="C4" s="10" t="s">
        <v>45</v>
      </c>
      <c r="D4">
        <v>100</v>
      </c>
      <c r="E4">
        <v>8.24</v>
      </c>
      <c r="F4" s="13">
        <v>0.4</v>
      </c>
      <c r="G4" s="13">
        <f t="shared" si="0"/>
        <v>7.84</v>
      </c>
      <c r="H4" s="31">
        <f t="shared" si="1"/>
        <v>2.64208</v>
      </c>
      <c r="I4" s="22">
        <v>7.59</v>
      </c>
      <c r="J4" s="13">
        <f t="shared" ref="J4:J7" si="3">G4-I4</f>
        <v>0.25</v>
      </c>
      <c r="K4" s="26">
        <f t="shared" ref="K4:K6" si="4">J4/G4</f>
        <v>3.1887755102040817E-2</v>
      </c>
      <c r="L4" s="25">
        <f t="shared" si="2"/>
        <v>4.8096161541539693E-2</v>
      </c>
      <c r="M4" t="s">
        <v>10</v>
      </c>
      <c r="N4">
        <v>17</v>
      </c>
    </row>
    <row r="5" spans="1:14">
      <c r="A5" t="s">
        <v>159</v>
      </c>
      <c r="B5" s="5" t="s">
        <v>133</v>
      </c>
      <c r="C5" s="10" t="s">
        <v>45</v>
      </c>
      <c r="D5" s="23">
        <v>130</v>
      </c>
      <c r="E5">
        <v>5.69</v>
      </c>
      <c r="F5" s="13">
        <v>0</v>
      </c>
      <c r="G5" s="13">
        <f t="shared" si="0"/>
        <v>5.69</v>
      </c>
      <c r="H5" s="31">
        <f t="shared" si="1"/>
        <v>1.9175300000000002</v>
      </c>
      <c r="I5" s="22">
        <v>4.79</v>
      </c>
      <c r="J5" s="13">
        <f t="shared" si="3"/>
        <v>0.90000000000000036</v>
      </c>
      <c r="K5" s="26">
        <f t="shared" si="4"/>
        <v>0.1581722319859403</v>
      </c>
      <c r="L5" s="25">
        <f>J5/(G5-H5)</f>
        <v>0.23857048564998537</v>
      </c>
      <c r="M5" t="s">
        <v>10</v>
      </c>
      <c r="N5" t="s">
        <v>10</v>
      </c>
    </row>
    <row r="6" spans="1:14">
      <c r="A6" t="s">
        <v>159</v>
      </c>
      <c r="B6" s="5" t="s">
        <v>133</v>
      </c>
      <c r="C6" s="10" t="s">
        <v>45</v>
      </c>
      <c r="D6" s="23">
        <v>120</v>
      </c>
      <c r="E6">
        <v>5.43</v>
      </c>
      <c r="F6" s="13">
        <v>0</v>
      </c>
      <c r="G6" s="13">
        <f t="shared" si="0"/>
        <v>5.43</v>
      </c>
      <c r="H6" s="31">
        <f t="shared" si="1"/>
        <v>1.8299099999999999</v>
      </c>
      <c r="I6" s="22">
        <v>5.17</v>
      </c>
      <c r="J6" s="13">
        <f t="shared" si="3"/>
        <v>0.25999999999999979</v>
      </c>
      <c r="K6" s="26">
        <f t="shared" si="4"/>
        <v>4.7882136279926296E-2</v>
      </c>
      <c r="L6" s="25">
        <f t="shared" si="2"/>
        <v>7.2220416711804375E-2</v>
      </c>
      <c r="M6" t="s">
        <v>10</v>
      </c>
      <c r="N6" t="s">
        <v>10</v>
      </c>
    </row>
    <row r="7" spans="1:14">
      <c r="A7" t="s">
        <v>159</v>
      </c>
      <c r="B7" s="5" t="s">
        <v>133</v>
      </c>
      <c r="C7" s="10" t="s">
        <v>45</v>
      </c>
      <c r="D7" s="23">
        <v>105</v>
      </c>
      <c r="E7">
        <v>6.21</v>
      </c>
      <c r="F7" s="13">
        <v>0</v>
      </c>
      <c r="G7" s="13">
        <f t="shared" si="0"/>
        <v>6.21</v>
      </c>
      <c r="H7" s="31">
        <f t="shared" si="1"/>
        <v>2.0927700000000002</v>
      </c>
      <c r="I7" s="22">
        <v>4.74</v>
      </c>
      <c r="J7" s="13">
        <f t="shared" si="3"/>
        <v>1.4699999999999998</v>
      </c>
      <c r="K7" s="26">
        <f t="shared" ref="K7:K13" si="5">J7/G7</f>
        <v>0.2367149758454106</v>
      </c>
      <c r="L7" s="25">
        <f t="shared" si="2"/>
        <v>0.35703616266276111</v>
      </c>
      <c r="M7" t="s">
        <v>10</v>
      </c>
      <c r="N7">
        <v>31</v>
      </c>
    </row>
    <row r="8" spans="1:14">
      <c r="A8" t="s">
        <v>159</v>
      </c>
      <c r="B8" s="5" t="s">
        <v>133</v>
      </c>
      <c r="C8" s="10" t="s">
        <v>28</v>
      </c>
      <c r="D8" s="23">
        <v>120</v>
      </c>
      <c r="E8">
        <f>5*1.5</f>
        <v>7.5</v>
      </c>
      <c r="F8">
        <v>0</v>
      </c>
      <c r="G8" s="13">
        <f>E8-F8</f>
        <v>7.5</v>
      </c>
      <c r="H8">
        <f>0.83*5</f>
        <v>4.1499999999999995</v>
      </c>
      <c r="I8" s="13">
        <v>3.24</v>
      </c>
      <c r="J8" s="13">
        <f>G8-I8-H8</f>
        <v>0.11000000000000032</v>
      </c>
      <c r="K8" s="26">
        <f t="shared" si="5"/>
        <v>1.466666666666671E-2</v>
      </c>
      <c r="L8" s="25">
        <f t="shared" si="2"/>
        <v>3.2835820895522477E-2</v>
      </c>
      <c r="M8">
        <v>12</v>
      </c>
      <c r="N8" t="s">
        <v>10</v>
      </c>
    </row>
    <row r="9" spans="1:14">
      <c r="A9" t="s">
        <v>159</v>
      </c>
      <c r="B9" s="5" t="s">
        <v>134</v>
      </c>
      <c r="C9" s="5" t="s">
        <v>28</v>
      </c>
      <c r="D9" s="23">
        <v>60</v>
      </c>
      <c r="E9">
        <v>71.7</v>
      </c>
      <c r="F9">
        <f>E9-G9</f>
        <v>48.980000000000004</v>
      </c>
      <c r="G9">
        <f>16*1.42</f>
        <v>22.72</v>
      </c>
      <c r="H9">
        <f>16*1.03</f>
        <v>16.48</v>
      </c>
      <c r="I9">
        <v>1.44</v>
      </c>
      <c r="J9">
        <f>G9-H9-I9</f>
        <v>4.7999999999999989</v>
      </c>
      <c r="K9" s="26">
        <f t="shared" si="5"/>
        <v>0.21126760563380279</v>
      </c>
      <c r="L9" s="25">
        <f t="shared" si="2"/>
        <v>0.76923076923076927</v>
      </c>
      <c r="M9">
        <v>20</v>
      </c>
      <c r="N9">
        <v>56</v>
      </c>
    </row>
    <row r="10" spans="1:14">
      <c r="A10" t="s">
        <v>159</v>
      </c>
      <c r="B10" s="5" t="s">
        <v>134</v>
      </c>
      <c r="C10" s="5" t="s">
        <v>28</v>
      </c>
      <c r="D10" s="23">
        <v>60</v>
      </c>
      <c r="E10">
        <v>46.53</v>
      </c>
      <c r="F10">
        <f>E10-G10</f>
        <v>23.28</v>
      </c>
      <c r="G10">
        <f>15*1.55</f>
        <v>23.25</v>
      </c>
      <c r="H10">
        <v>14.35</v>
      </c>
      <c r="I10" s="13">
        <v>3.87</v>
      </c>
      <c r="J10">
        <f>G10-H10-I10</f>
        <v>5.03</v>
      </c>
      <c r="K10" s="26">
        <f>J10/G10</f>
        <v>0.2163440860215054</v>
      </c>
      <c r="L10" s="25">
        <f t="shared" si="2"/>
        <v>0.56516853932584266</v>
      </c>
      <c r="M10">
        <v>16</v>
      </c>
      <c r="N10">
        <v>50</v>
      </c>
    </row>
    <row r="11" spans="1:14">
      <c r="A11" t="s">
        <v>159</v>
      </c>
      <c r="B11" s="5" t="s">
        <v>134</v>
      </c>
      <c r="C11" s="5" t="s">
        <v>28</v>
      </c>
      <c r="D11" s="23">
        <v>60</v>
      </c>
      <c r="E11">
        <v>46.53</v>
      </c>
      <c r="F11">
        <f>E11-G11</f>
        <v>26.38</v>
      </c>
      <c r="G11">
        <f>13*1.55</f>
        <v>20.150000000000002</v>
      </c>
      <c r="H11">
        <f>13*0.96</f>
        <v>12.48</v>
      </c>
      <c r="I11">
        <v>3.3</v>
      </c>
      <c r="J11">
        <f t="shared" ref="J11:J17" si="6">G11-H11-I11</f>
        <v>4.3700000000000019</v>
      </c>
      <c r="K11" s="26">
        <f t="shared" si="5"/>
        <v>0.21687344913151371</v>
      </c>
      <c r="L11" s="25">
        <f t="shared" si="2"/>
        <v>0.56975228161668856</v>
      </c>
      <c r="M11">
        <v>10</v>
      </c>
      <c r="N11" t="s">
        <v>10</v>
      </c>
    </row>
    <row r="12" spans="1:14">
      <c r="A12" t="s">
        <v>159</v>
      </c>
      <c r="B12" s="5" t="s">
        <v>134</v>
      </c>
      <c r="C12" s="5" t="s">
        <v>28</v>
      </c>
      <c r="D12" s="23">
        <v>70</v>
      </c>
      <c r="E12">
        <v>31.4</v>
      </c>
      <c r="F12">
        <f>E12-G12</f>
        <v>21.979999999999997</v>
      </c>
      <c r="G12" s="13">
        <v>9.42</v>
      </c>
      <c r="H12" s="13">
        <f>6*0.99</f>
        <v>5.9399999999999995</v>
      </c>
      <c r="I12" s="13">
        <v>3.21</v>
      </c>
      <c r="J12" s="13">
        <f t="shared" si="6"/>
        <v>0.27000000000000046</v>
      </c>
      <c r="K12" s="26">
        <f t="shared" si="5"/>
        <v>2.8662420382165654E-2</v>
      </c>
      <c r="L12" s="25">
        <f t="shared" ref="L12:L22" si="7">J12/(G12-H12)</f>
        <v>7.7586206896551851E-2</v>
      </c>
      <c r="M12">
        <v>13</v>
      </c>
      <c r="N12" t="s">
        <v>10</v>
      </c>
    </row>
    <row r="13" spans="1:14">
      <c r="A13" t="s">
        <v>159</v>
      </c>
      <c r="B13" s="5" t="s">
        <v>134</v>
      </c>
      <c r="C13" s="5" t="s">
        <v>28</v>
      </c>
      <c r="D13" s="23">
        <v>70</v>
      </c>
      <c r="E13">
        <v>31.4</v>
      </c>
      <c r="F13">
        <f>E13-G13</f>
        <v>10.989999999999998</v>
      </c>
      <c r="G13" s="13">
        <v>20.41</v>
      </c>
      <c r="H13" s="13">
        <f>13*0.99</f>
        <v>12.87</v>
      </c>
      <c r="I13" s="13">
        <v>6.84</v>
      </c>
      <c r="J13" s="13">
        <f t="shared" si="6"/>
        <v>0.70000000000000107</v>
      </c>
      <c r="K13" s="26">
        <f t="shared" si="5"/>
        <v>3.4296913277805048E-2</v>
      </c>
      <c r="L13" s="25">
        <f t="shared" si="7"/>
        <v>9.2838196286472274E-2</v>
      </c>
      <c r="M13">
        <v>8</v>
      </c>
      <c r="N13">
        <v>30</v>
      </c>
    </row>
    <row r="14" spans="1:14">
      <c r="A14" t="s">
        <v>159</v>
      </c>
      <c r="B14" s="5" t="s">
        <v>134</v>
      </c>
      <c r="C14" s="5" t="s">
        <v>28</v>
      </c>
      <c r="D14" s="23">
        <v>100</v>
      </c>
      <c r="E14">
        <v>31.36</v>
      </c>
      <c r="F14">
        <f t="shared" ref="F14:F17" si="8">E14-G14</f>
        <v>14.09</v>
      </c>
      <c r="G14" s="13">
        <f>1.57*11</f>
        <v>17.27</v>
      </c>
      <c r="H14" s="13">
        <f>0.99*11</f>
        <v>10.89</v>
      </c>
      <c r="I14" s="13">
        <v>3.91</v>
      </c>
      <c r="J14" s="13">
        <f t="shared" si="6"/>
        <v>2.4699999999999989</v>
      </c>
      <c r="K14" s="26">
        <f t="shared" ref="K14:K22" si="9">J14/G14</f>
        <v>0.14302258251302832</v>
      </c>
      <c r="L14" s="25">
        <f t="shared" si="7"/>
        <v>0.38714733542319735</v>
      </c>
      <c r="M14">
        <v>15</v>
      </c>
      <c r="N14">
        <v>35</v>
      </c>
    </row>
    <row r="15" spans="1:14">
      <c r="A15" t="s">
        <v>159</v>
      </c>
      <c r="B15" s="5" t="s">
        <v>134</v>
      </c>
      <c r="C15" s="5" t="s">
        <v>28</v>
      </c>
      <c r="D15" s="23">
        <v>100</v>
      </c>
      <c r="E15">
        <v>31.36</v>
      </c>
      <c r="F15">
        <f t="shared" si="8"/>
        <v>17.229999999999997</v>
      </c>
      <c r="G15" s="13">
        <f>1.57*9</f>
        <v>14.13</v>
      </c>
      <c r="H15" s="13">
        <f>0.99*9</f>
        <v>8.91</v>
      </c>
      <c r="I15" s="13">
        <v>4.57</v>
      </c>
      <c r="J15" s="13">
        <f t="shared" si="6"/>
        <v>0.65000000000000036</v>
      </c>
      <c r="K15" s="26">
        <f t="shared" si="9"/>
        <v>4.600141542816704E-2</v>
      </c>
      <c r="L15" s="25">
        <f t="shared" si="7"/>
        <v>0.12452107279693492</v>
      </c>
      <c r="M15">
        <v>14</v>
      </c>
      <c r="N15" t="s">
        <v>10</v>
      </c>
    </row>
    <row r="16" spans="1:14">
      <c r="A16" t="s">
        <v>159</v>
      </c>
      <c r="B16" s="5" t="s">
        <v>134</v>
      </c>
      <c r="C16" s="5" t="s">
        <v>28</v>
      </c>
      <c r="D16" s="23">
        <v>105</v>
      </c>
      <c r="E16">
        <v>29.39</v>
      </c>
      <c r="F16">
        <f t="shared" si="8"/>
        <v>13.220000000000002</v>
      </c>
      <c r="G16" s="13">
        <f>1.47*11</f>
        <v>16.169999999999998</v>
      </c>
      <c r="H16" s="13">
        <f>0.95*11</f>
        <v>10.45</v>
      </c>
      <c r="I16" s="13">
        <v>4.9000000000000004</v>
      </c>
      <c r="J16" s="13">
        <f t="shared" si="6"/>
        <v>0.81999999999999851</v>
      </c>
      <c r="K16" s="26">
        <f t="shared" si="9"/>
        <v>5.0711193568336338E-2</v>
      </c>
      <c r="L16" s="25">
        <f t="shared" si="7"/>
        <v>0.14335664335664314</v>
      </c>
      <c r="M16">
        <v>15</v>
      </c>
      <c r="N16">
        <v>45</v>
      </c>
    </row>
    <row r="17" spans="1:14">
      <c r="A17" t="s">
        <v>159</v>
      </c>
      <c r="B17" s="5" t="s">
        <v>134</v>
      </c>
      <c r="C17" s="5" t="s">
        <v>28</v>
      </c>
      <c r="D17" s="23">
        <v>105</v>
      </c>
      <c r="E17">
        <v>29.39</v>
      </c>
      <c r="F17">
        <f t="shared" si="8"/>
        <v>16.16</v>
      </c>
      <c r="G17" s="13">
        <f>1.47*9</f>
        <v>13.23</v>
      </c>
      <c r="H17" s="13">
        <f>0.95*9</f>
        <v>8.5499999999999989</v>
      </c>
      <c r="I17" s="13">
        <v>4.26</v>
      </c>
      <c r="J17" s="13">
        <f t="shared" si="6"/>
        <v>0.42000000000000171</v>
      </c>
      <c r="K17" s="26">
        <f t="shared" si="9"/>
        <v>3.1746031746031876E-2</v>
      </c>
      <c r="L17" s="25">
        <f t="shared" si="7"/>
        <v>8.9743589743590077E-2</v>
      </c>
      <c r="M17" t="s">
        <v>10</v>
      </c>
      <c r="N17" t="s">
        <v>10</v>
      </c>
    </row>
    <row r="18" spans="1:14">
      <c r="A18" t="s">
        <v>160</v>
      </c>
      <c r="B18" s="5" t="s">
        <v>99</v>
      </c>
      <c r="C18" s="5" t="s">
        <v>9</v>
      </c>
      <c r="D18" s="23">
        <v>65</v>
      </c>
      <c r="E18" s="7">
        <f>0.0203*5</f>
        <v>0.10149999999999999</v>
      </c>
      <c r="F18" s="7">
        <f>0.0203*2</f>
        <v>4.0599999999999997E-2</v>
      </c>
      <c r="G18">
        <f t="shared" ref="G18:G23" si="10">E18-F18</f>
        <v>6.0899999999999996E-2</v>
      </c>
      <c r="H18" s="24">
        <f>3*0.004</f>
        <v>1.2E-2</v>
      </c>
      <c r="I18" s="13">
        <v>0.03</v>
      </c>
      <c r="J18" s="13">
        <f>G18-I18</f>
        <v>3.0899999999999997E-2</v>
      </c>
      <c r="K18" s="26">
        <f>J18/G18</f>
        <v>0.50738916256157629</v>
      </c>
      <c r="L18" s="25">
        <f>J18/(G18-H18)</f>
        <v>0.63190184049079745</v>
      </c>
      <c r="M18" t="s">
        <v>10</v>
      </c>
      <c r="N18" t="s">
        <v>10</v>
      </c>
    </row>
    <row r="19" spans="1:14">
      <c r="A19" t="s">
        <v>160</v>
      </c>
      <c r="B19" s="5" t="s">
        <v>99</v>
      </c>
      <c r="C19" s="5" t="s">
        <v>9</v>
      </c>
      <c r="D19" s="23">
        <v>155</v>
      </c>
      <c r="E19" s="7">
        <v>0.10150000000000001</v>
      </c>
      <c r="F19" s="7">
        <f>0.0203*2</f>
        <v>4.0599999999999997E-2</v>
      </c>
      <c r="G19">
        <f t="shared" si="10"/>
        <v>6.090000000000001E-2</v>
      </c>
      <c r="H19" s="24">
        <f>3*0.004</f>
        <v>1.2E-2</v>
      </c>
      <c r="I19" s="13">
        <v>2.3E-2</v>
      </c>
      <c r="J19" s="13">
        <f t="shared" ref="J19:J23" si="11">G19-I19</f>
        <v>3.790000000000001E-2</v>
      </c>
      <c r="K19" s="26">
        <f t="shared" si="9"/>
        <v>0.62233169129720856</v>
      </c>
      <c r="L19" s="25">
        <f t="shared" si="7"/>
        <v>0.77505112474437632</v>
      </c>
      <c r="M19" t="s">
        <v>10</v>
      </c>
      <c r="N19" t="s">
        <v>10</v>
      </c>
    </row>
    <row r="20" spans="1:14">
      <c r="A20" t="s">
        <v>158</v>
      </c>
      <c r="B20" s="5" t="s">
        <v>106</v>
      </c>
      <c r="C20" s="5" t="s">
        <v>9</v>
      </c>
      <c r="D20" s="23">
        <v>210</v>
      </c>
      <c r="E20" s="7">
        <f t="shared" ref="E20:E21" si="12">0.0203*5</f>
        <v>0.10149999999999999</v>
      </c>
      <c r="F20" s="7">
        <f>0.0203*3</f>
        <v>6.0899999999999996E-2</v>
      </c>
      <c r="G20">
        <f t="shared" si="10"/>
        <v>4.0599999999999997E-2</v>
      </c>
      <c r="H20" s="24">
        <f>2*0.004</f>
        <v>8.0000000000000002E-3</v>
      </c>
      <c r="I20" s="13">
        <v>2.5049999999999999E-2</v>
      </c>
      <c r="J20" s="13">
        <f t="shared" si="11"/>
        <v>1.5549999999999998E-2</v>
      </c>
      <c r="K20" s="26">
        <f>J20/G20</f>
        <v>0.38300492610837433</v>
      </c>
      <c r="L20" s="25">
        <f>J20/(G20-H20)</f>
        <v>0.47699386503067481</v>
      </c>
      <c r="M20" t="s">
        <v>10</v>
      </c>
      <c r="N20" t="s">
        <v>10</v>
      </c>
    </row>
    <row r="21" spans="1:14">
      <c r="A21" t="s">
        <v>161</v>
      </c>
      <c r="B21" s="5" t="s">
        <v>107</v>
      </c>
      <c r="C21" s="5" t="s">
        <v>9</v>
      </c>
      <c r="D21" s="23">
        <v>115</v>
      </c>
      <c r="E21" s="7">
        <f t="shared" si="12"/>
        <v>0.10149999999999999</v>
      </c>
      <c r="F21">
        <v>0</v>
      </c>
      <c r="G21">
        <f t="shared" si="10"/>
        <v>0.10149999999999999</v>
      </c>
      <c r="H21" s="24">
        <f>0.004*5</f>
        <v>0.02</v>
      </c>
      <c r="I21" s="13">
        <v>2.6769999999999999E-2</v>
      </c>
      <c r="J21" s="13">
        <f t="shared" si="11"/>
        <v>7.4729999999999991E-2</v>
      </c>
      <c r="K21" s="26">
        <f t="shared" si="9"/>
        <v>0.73625615763546792</v>
      </c>
      <c r="L21" s="25">
        <f t="shared" si="7"/>
        <v>0.91693251533742337</v>
      </c>
      <c r="M21" t="s">
        <v>10</v>
      </c>
      <c r="N21" t="s">
        <v>10</v>
      </c>
    </row>
    <row r="22" spans="1:14">
      <c r="A22" t="s">
        <v>158</v>
      </c>
      <c r="B22" s="5" t="s">
        <v>106</v>
      </c>
      <c r="C22" s="5" t="s">
        <v>9</v>
      </c>
      <c r="D22" s="23">
        <v>249</v>
      </c>
      <c r="E22" s="7">
        <f t="shared" ref="E22" si="13">0.0203*6</f>
        <v>0.12179999999999999</v>
      </c>
      <c r="F22" s="7">
        <f>0.0203*5</f>
        <v>0.10149999999999999</v>
      </c>
      <c r="G22">
        <f t="shared" si="10"/>
        <v>2.0299999999999999E-2</v>
      </c>
      <c r="H22" s="24">
        <f>0.004</f>
        <v>4.0000000000000001E-3</v>
      </c>
      <c r="I22" s="13">
        <v>8.5000000000000006E-3</v>
      </c>
      <c r="J22" s="13">
        <f t="shared" si="11"/>
        <v>1.1799999999999998E-2</v>
      </c>
      <c r="K22" s="26">
        <f t="shared" si="9"/>
        <v>0.58128078817733986</v>
      </c>
      <c r="L22" s="25">
        <f t="shared" si="7"/>
        <v>0.72392638036809809</v>
      </c>
      <c r="M22" t="s">
        <v>10</v>
      </c>
      <c r="N22" t="s">
        <v>10</v>
      </c>
    </row>
    <row r="23" spans="1:14">
      <c r="A23" t="s">
        <v>158</v>
      </c>
      <c r="B23" s="5" t="s">
        <v>106</v>
      </c>
      <c r="C23" s="5" t="s">
        <v>9</v>
      </c>
      <c r="D23">
        <v>210</v>
      </c>
      <c r="E23">
        <v>4.4400000000000004</v>
      </c>
      <c r="F23">
        <v>0.1</v>
      </c>
      <c r="G23">
        <f t="shared" si="10"/>
        <v>4.3400000000000007</v>
      </c>
      <c r="H23" s="24">
        <f>21*0.004</f>
        <v>8.4000000000000005E-2</v>
      </c>
      <c r="I23">
        <v>1.85</v>
      </c>
      <c r="J23" s="13">
        <f t="shared" si="11"/>
        <v>2.4900000000000007</v>
      </c>
      <c r="K23" s="26">
        <f>(J23/G23)</f>
        <v>0.57373271889400923</v>
      </c>
      <c r="L23" s="25">
        <f>J23/(G23-H23)</f>
        <v>0.58505639097744366</v>
      </c>
      <c r="M23" t="s">
        <v>10</v>
      </c>
      <c r="N23" t="s">
        <v>10</v>
      </c>
    </row>
    <row r="25" spans="1:14">
      <c r="A25" s="31" t="s">
        <v>163</v>
      </c>
      <c r="H25" t="s">
        <v>154</v>
      </c>
    </row>
    <row r="27" spans="1:14">
      <c r="B27" s="27" t="s">
        <v>122</v>
      </c>
      <c r="C27" s="27" t="s">
        <v>162</v>
      </c>
    </row>
    <row r="28" spans="1:14">
      <c r="B28" t="s">
        <v>45</v>
      </c>
      <c r="D28" t="s">
        <v>28</v>
      </c>
      <c r="F28" t="s">
        <v>9</v>
      </c>
    </row>
    <row r="29" spans="1:14">
      <c r="A29" s="27" t="s">
        <v>157</v>
      </c>
      <c r="B29" t="s">
        <v>164</v>
      </c>
      <c r="C29" t="s">
        <v>165</v>
      </c>
      <c r="D29" t="s">
        <v>164</v>
      </c>
      <c r="E29" t="s">
        <v>165</v>
      </c>
      <c r="F29" t="s">
        <v>164</v>
      </c>
      <c r="G29" t="s">
        <v>165</v>
      </c>
    </row>
    <row r="30" spans="1:14">
      <c r="A30" t="s">
        <v>159</v>
      </c>
      <c r="B30" s="28">
        <v>0.18253148772911426</v>
      </c>
      <c r="C30" s="28">
        <v>0.12652604233594683</v>
      </c>
      <c r="D30" s="28">
        <v>0.28521804555722124</v>
      </c>
      <c r="E30" s="28">
        <v>0.26498765564166948</v>
      </c>
      <c r="F30" s="28"/>
      <c r="G30" s="28"/>
    </row>
    <row r="31" spans="1:14">
      <c r="A31" t="s">
        <v>160</v>
      </c>
      <c r="B31" s="28"/>
      <c r="C31" s="28"/>
      <c r="D31" s="28"/>
      <c r="E31" s="28"/>
      <c r="F31" s="28">
        <v>0.70347648261758688</v>
      </c>
      <c r="G31" s="28">
        <v>0.10122182961770605</v>
      </c>
    </row>
    <row r="32" spans="1:14">
      <c r="A32" t="s">
        <v>158</v>
      </c>
      <c r="B32" s="28">
        <v>1.2600950799014834</v>
      </c>
      <c r="C32" s="28" t="e">
        <v>#DIV/0!</v>
      </c>
      <c r="D32" s="28"/>
      <c r="E32" s="28"/>
      <c r="F32" s="28">
        <v>0.59532554545873884</v>
      </c>
      <c r="G32" s="28">
        <v>0.12378613990684596</v>
      </c>
    </row>
    <row r="33" spans="1:7">
      <c r="A33" t="s">
        <v>161</v>
      </c>
      <c r="B33" s="28"/>
      <c r="C33" s="28"/>
      <c r="D33" s="28"/>
      <c r="E33" s="28"/>
      <c r="F33" s="28">
        <v>0.91693251533742337</v>
      </c>
      <c r="G33" s="28" t="e">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workbookViewId="0">
      <selection activeCell="L8" sqref="L8"/>
    </sheetView>
  </sheetViews>
  <sheetFormatPr baseColWidth="10" defaultRowHeight="15" x14ac:dyDescent="0"/>
  <cols>
    <col min="1" max="1" width="12.83203125" bestFit="1" customWidth="1"/>
    <col min="2" max="2" width="19.83203125" bestFit="1" customWidth="1"/>
  </cols>
  <sheetData>
    <row r="1" spans="1:18">
      <c r="A1" s="33" t="s">
        <v>157</v>
      </c>
      <c r="B1" s="33" t="s">
        <v>121</v>
      </c>
      <c r="C1" s="33" t="s">
        <v>122</v>
      </c>
      <c r="D1" s="33" t="s">
        <v>123</v>
      </c>
      <c r="E1" s="33" t="s">
        <v>124</v>
      </c>
      <c r="F1" s="33" t="s">
        <v>125</v>
      </c>
      <c r="G1" s="33" t="s">
        <v>126</v>
      </c>
      <c r="H1" s="33" t="s">
        <v>135</v>
      </c>
      <c r="I1" s="33" t="s">
        <v>127</v>
      </c>
      <c r="J1" s="33" t="s">
        <v>128</v>
      </c>
      <c r="K1" s="33" t="s">
        <v>129</v>
      </c>
      <c r="L1" s="33" t="s">
        <v>130</v>
      </c>
      <c r="M1" s="33" t="s">
        <v>131</v>
      </c>
      <c r="N1" s="33" t="s">
        <v>132</v>
      </c>
      <c r="O1" s="33" t="s">
        <v>167</v>
      </c>
      <c r="P1" s="33" t="s">
        <v>168</v>
      </c>
      <c r="Q1" s="33" t="s">
        <v>169</v>
      </c>
      <c r="R1" s="33" t="s">
        <v>170</v>
      </c>
    </row>
    <row r="2" spans="1:18">
      <c r="A2" s="7" t="s">
        <v>159</v>
      </c>
      <c r="B2" s="7" t="s">
        <v>133</v>
      </c>
      <c r="C2" s="7" t="s">
        <v>45</v>
      </c>
      <c r="D2" s="7">
        <v>115</v>
      </c>
      <c r="E2" s="7">
        <v>14.4</v>
      </c>
      <c r="F2" s="7">
        <v>5.89</v>
      </c>
      <c r="G2" s="7">
        <v>8.51</v>
      </c>
      <c r="H2" s="7">
        <v>2.8678699999999999</v>
      </c>
      <c r="I2" s="7">
        <v>7.4</v>
      </c>
      <c r="J2" s="7">
        <v>1.1100000000000001</v>
      </c>
      <c r="K2" s="7">
        <v>0.130434783</v>
      </c>
      <c r="L2" s="7">
        <v>0.19673421199999999</v>
      </c>
      <c r="M2" s="7" t="s">
        <v>10</v>
      </c>
      <c r="N2" s="7">
        <v>24</v>
      </c>
      <c r="O2" s="34">
        <v>5.08</v>
      </c>
      <c r="P2" s="7">
        <v>0.99921251200000005</v>
      </c>
      <c r="Q2" s="7"/>
      <c r="R2" s="7"/>
    </row>
    <row r="3" spans="1:18">
      <c r="A3" s="7" t="s">
        <v>159</v>
      </c>
      <c r="B3" s="7" t="s">
        <v>133</v>
      </c>
      <c r="C3" s="7" t="s">
        <v>45</v>
      </c>
      <c r="D3" s="7">
        <v>100</v>
      </c>
      <c r="E3" s="7">
        <v>8.24</v>
      </c>
      <c r="F3" s="7">
        <v>0.4</v>
      </c>
      <c r="G3" s="7">
        <v>7.84</v>
      </c>
      <c r="H3" s="7">
        <v>2.64208</v>
      </c>
      <c r="I3" s="7">
        <v>7.59</v>
      </c>
      <c r="J3" s="7">
        <v>0.25</v>
      </c>
      <c r="K3" s="7">
        <v>3.1887754999999997E-2</v>
      </c>
      <c r="L3" s="7">
        <v>4.8096161999999998E-2</v>
      </c>
      <c r="M3" s="7" t="s">
        <v>10</v>
      </c>
      <c r="N3" s="7">
        <v>17</v>
      </c>
      <c r="O3" s="34">
        <v>5.08</v>
      </c>
      <c r="P3" s="7">
        <v>0.24428026999999999</v>
      </c>
      <c r="Q3" s="7"/>
      <c r="R3" s="7"/>
    </row>
    <row r="4" spans="1:18">
      <c r="A4" s="7" t="s">
        <v>159</v>
      </c>
      <c r="B4" s="7" t="s">
        <v>133</v>
      </c>
      <c r="C4" s="7" t="s">
        <v>45</v>
      </c>
      <c r="D4" s="7">
        <v>130</v>
      </c>
      <c r="E4" s="7">
        <v>5.69</v>
      </c>
      <c r="F4" s="7">
        <v>0</v>
      </c>
      <c r="G4" s="7">
        <v>5.69</v>
      </c>
      <c r="H4" s="7">
        <v>1.91753</v>
      </c>
      <c r="I4" s="7">
        <v>4.79</v>
      </c>
      <c r="J4" s="7">
        <v>0.9</v>
      </c>
      <c r="K4" s="7">
        <v>0.158172232</v>
      </c>
      <c r="L4" s="7">
        <v>0.238570486</v>
      </c>
      <c r="M4" s="7" t="s">
        <v>10</v>
      </c>
      <c r="N4" s="7" t="s">
        <v>10</v>
      </c>
      <c r="O4" s="34">
        <v>5.08</v>
      </c>
      <c r="P4" s="7">
        <v>1.2116988289999999</v>
      </c>
      <c r="Q4" s="7"/>
      <c r="R4" s="7"/>
    </row>
    <row r="5" spans="1:18">
      <c r="A5" s="7" t="s">
        <v>159</v>
      </c>
      <c r="B5" s="7" t="s">
        <v>133</v>
      </c>
      <c r="C5" s="7" t="s">
        <v>45</v>
      </c>
      <c r="D5" s="7">
        <v>120</v>
      </c>
      <c r="E5" s="7">
        <v>5.43</v>
      </c>
      <c r="F5" s="7">
        <v>0</v>
      </c>
      <c r="G5" s="7">
        <v>5.43</v>
      </c>
      <c r="H5" s="7">
        <v>1.8299099999999999</v>
      </c>
      <c r="I5" s="7">
        <v>5.17</v>
      </c>
      <c r="J5" s="7">
        <v>0.26</v>
      </c>
      <c r="K5" s="7">
        <v>4.7882135999999999E-2</v>
      </c>
      <c r="L5" s="7">
        <v>7.2220416999999995E-2</v>
      </c>
      <c r="M5" s="7" t="s">
        <v>10</v>
      </c>
      <c r="N5" s="7" t="s">
        <v>10</v>
      </c>
      <c r="O5" s="34">
        <v>5.08</v>
      </c>
      <c r="P5" s="7">
        <v>0.36680729400000001</v>
      </c>
      <c r="Q5" s="7"/>
      <c r="R5" s="7"/>
    </row>
    <row r="6" spans="1:18">
      <c r="A6" s="7" t="s">
        <v>159</v>
      </c>
      <c r="B6" s="7" t="s">
        <v>133</v>
      </c>
      <c r="C6" s="7" t="s">
        <v>45</v>
      </c>
      <c r="D6" s="7">
        <v>105</v>
      </c>
      <c r="E6" s="7">
        <v>6.21</v>
      </c>
      <c r="F6" s="7">
        <v>0</v>
      </c>
      <c r="G6" s="7">
        <v>6.21</v>
      </c>
      <c r="H6" s="7">
        <v>2.0927699999999998</v>
      </c>
      <c r="I6" s="7">
        <v>4.74</v>
      </c>
      <c r="J6" s="7">
        <v>1.47</v>
      </c>
      <c r="K6" s="7">
        <v>0.23671497599999999</v>
      </c>
      <c r="L6" s="7">
        <v>0.35703616300000002</v>
      </c>
      <c r="M6" s="7" t="s">
        <v>10</v>
      </c>
      <c r="N6" s="7">
        <v>31</v>
      </c>
      <c r="O6" s="34">
        <v>5.08</v>
      </c>
      <c r="P6" s="7">
        <v>1.8133856699999999</v>
      </c>
      <c r="Q6" s="7"/>
      <c r="R6" s="7"/>
    </row>
    <row r="7" spans="1:18">
      <c r="A7" s="7"/>
      <c r="B7" s="7"/>
      <c r="C7" s="7"/>
      <c r="D7" s="7"/>
      <c r="E7" s="7"/>
      <c r="F7" s="7"/>
      <c r="G7" s="7"/>
      <c r="H7" s="7"/>
      <c r="I7" s="7"/>
      <c r="J7" s="7"/>
      <c r="K7" s="7" t="s">
        <v>171</v>
      </c>
      <c r="L7" s="33">
        <v>0.18253148799999999</v>
      </c>
      <c r="M7" s="33"/>
      <c r="N7" s="33"/>
      <c r="O7" s="33"/>
      <c r="P7" s="33">
        <v>0.927076915</v>
      </c>
      <c r="Q7" s="33">
        <v>0.64262541500000003</v>
      </c>
      <c r="R7" s="33">
        <v>0.28739082199999999</v>
      </c>
    </row>
    <row r="8" spans="1:18">
      <c r="A8" s="7"/>
      <c r="B8" s="7"/>
      <c r="C8" s="7"/>
      <c r="D8" s="7"/>
      <c r="E8" s="7"/>
      <c r="F8" s="7"/>
      <c r="G8" s="7"/>
      <c r="H8" s="7"/>
      <c r="I8" s="7"/>
      <c r="J8" s="7"/>
      <c r="K8" s="7" t="s">
        <v>172</v>
      </c>
      <c r="L8" s="33">
        <v>0.12652604200000001</v>
      </c>
      <c r="M8" s="7"/>
      <c r="N8" s="7"/>
      <c r="O8" s="7"/>
      <c r="P8" s="7"/>
      <c r="Q8" s="7"/>
      <c r="R8" s="7"/>
    </row>
    <row r="9" spans="1:18">
      <c r="A9" s="7"/>
      <c r="B9" s="7"/>
      <c r="C9" s="7"/>
      <c r="D9" s="7"/>
      <c r="E9" s="7"/>
      <c r="F9" s="7"/>
      <c r="G9" s="7"/>
      <c r="H9" s="7"/>
      <c r="I9" s="7"/>
      <c r="J9" s="7"/>
      <c r="K9" s="7" t="s">
        <v>166</v>
      </c>
      <c r="L9" s="33">
        <v>5.6584165999999998E-2</v>
      </c>
      <c r="M9" s="7"/>
      <c r="N9" s="7"/>
      <c r="O9" s="7"/>
      <c r="P9" s="7"/>
      <c r="Q9" s="7"/>
      <c r="R9" s="7"/>
    </row>
    <row r="10" spans="1:18">
      <c r="A10" s="7"/>
      <c r="B10" s="7"/>
      <c r="C10" s="7"/>
      <c r="D10" s="7"/>
      <c r="E10" s="7"/>
      <c r="F10" s="7"/>
      <c r="G10" s="7"/>
      <c r="H10" s="7"/>
      <c r="I10" s="7"/>
      <c r="J10" s="7"/>
      <c r="K10" s="7"/>
      <c r="L10" s="7"/>
      <c r="M10" s="7"/>
      <c r="N10" s="7"/>
      <c r="O10" s="7"/>
      <c r="P10" s="7"/>
      <c r="Q10" s="7"/>
      <c r="R10" s="7"/>
    </row>
    <row r="11" spans="1:18">
      <c r="A11" s="7" t="s">
        <v>159</v>
      </c>
      <c r="B11" s="7" t="s">
        <v>134</v>
      </c>
      <c r="C11" s="7" t="s">
        <v>28</v>
      </c>
      <c r="D11" s="7">
        <v>60</v>
      </c>
      <c r="E11" s="7">
        <v>71.7</v>
      </c>
      <c r="F11" s="7">
        <v>48.98</v>
      </c>
      <c r="G11" s="7">
        <v>22.72</v>
      </c>
      <c r="H11" s="7">
        <v>16.48</v>
      </c>
      <c r="I11" s="7">
        <v>1.44</v>
      </c>
      <c r="J11" s="7">
        <v>4.8</v>
      </c>
      <c r="K11" s="7">
        <v>0.211267606</v>
      </c>
      <c r="L11" s="7">
        <v>0.76923076899999998</v>
      </c>
      <c r="M11" s="7">
        <v>20</v>
      </c>
      <c r="N11" s="7">
        <v>56</v>
      </c>
      <c r="O11" s="34">
        <v>5.18</v>
      </c>
      <c r="P11" s="7">
        <v>3.9838323080000002</v>
      </c>
      <c r="Q11" s="7"/>
      <c r="R11" s="7"/>
    </row>
    <row r="12" spans="1:18">
      <c r="A12" s="7" t="s">
        <v>159</v>
      </c>
      <c r="B12" s="7" t="s">
        <v>134</v>
      </c>
      <c r="C12" s="7" t="s">
        <v>28</v>
      </c>
      <c r="D12" s="7">
        <v>60</v>
      </c>
      <c r="E12" s="7">
        <v>46.53</v>
      </c>
      <c r="F12" s="7">
        <v>23.28</v>
      </c>
      <c r="G12" s="7">
        <v>23.25</v>
      </c>
      <c r="H12" s="7">
        <v>14.35</v>
      </c>
      <c r="I12" s="7">
        <v>3.87</v>
      </c>
      <c r="J12" s="7">
        <v>5.03</v>
      </c>
      <c r="K12" s="7">
        <v>0.21634408599999999</v>
      </c>
      <c r="L12" s="7">
        <v>0.56516853899999997</v>
      </c>
      <c r="M12" s="7">
        <v>16</v>
      </c>
      <c r="N12" s="7">
        <v>50</v>
      </c>
      <c r="O12" s="34">
        <v>5.18</v>
      </c>
      <c r="P12" s="7">
        <v>2.926997692</v>
      </c>
      <c r="Q12" s="7"/>
      <c r="R12" s="7"/>
    </row>
    <row r="13" spans="1:18">
      <c r="A13" s="7" t="s">
        <v>159</v>
      </c>
      <c r="B13" s="7" t="s">
        <v>134</v>
      </c>
      <c r="C13" s="7" t="s">
        <v>28</v>
      </c>
      <c r="D13" s="7">
        <v>60</v>
      </c>
      <c r="E13" s="7">
        <v>46.53</v>
      </c>
      <c r="F13" s="7">
        <v>26.38</v>
      </c>
      <c r="G13" s="7">
        <v>20.149999999999999</v>
      </c>
      <c r="H13" s="7">
        <v>12.48</v>
      </c>
      <c r="I13" s="7">
        <v>3.3</v>
      </c>
      <c r="J13" s="7">
        <v>4.37</v>
      </c>
      <c r="K13" s="7">
        <v>0.216873449</v>
      </c>
      <c r="L13" s="7">
        <v>0.56975228200000005</v>
      </c>
      <c r="M13" s="7">
        <v>10</v>
      </c>
      <c r="N13" s="7" t="s">
        <v>10</v>
      </c>
      <c r="O13" s="34">
        <v>5.18</v>
      </c>
      <c r="P13" s="7">
        <v>2.9507368110000001</v>
      </c>
      <c r="Q13" s="7"/>
      <c r="R13" s="7"/>
    </row>
    <row r="14" spans="1:18">
      <c r="A14" s="7" t="s">
        <v>159</v>
      </c>
      <c r="B14" s="7" t="s">
        <v>134</v>
      </c>
      <c r="C14" s="7" t="s">
        <v>28</v>
      </c>
      <c r="D14" s="7">
        <v>70</v>
      </c>
      <c r="E14" s="7">
        <v>31.4</v>
      </c>
      <c r="F14" s="7">
        <v>21.98</v>
      </c>
      <c r="G14" s="7">
        <v>9.42</v>
      </c>
      <c r="H14" s="7">
        <v>5.94</v>
      </c>
      <c r="I14" s="7">
        <v>3.21</v>
      </c>
      <c r="J14" s="7">
        <v>0.27</v>
      </c>
      <c r="K14" s="7">
        <v>2.8662420000000001E-2</v>
      </c>
      <c r="L14" s="7">
        <v>7.7586207000000004E-2</v>
      </c>
      <c r="M14" s="7">
        <v>13</v>
      </c>
      <c r="N14" s="7" t="s">
        <v>10</v>
      </c>
      <c r="O14" s="34">
        <v>5.18</v>
      </c>
      <c r="P14" s="7">
        <v>0.40181756899999999</v>
      </c>
      <c r="Q14" s="7"/>
      <c r="R14" s="7"/>
    </row>
    <row r="15" spans="1:18">
      <c r="A15" s="7" t="s">
        <v>159</v>
      </c>
      <c r="B15" s="7" t="s">
        <v>134</v>
      </c>
      <c r="C15" s="7" t="s">
        <v>28</v>
      </c>
      <c r="D15" s="7">
        <v>70</v>
      </c>
      <c r="E15" s="7">
        <v>31.4</v>
      </c>
      <c r="F15" s="7">
        <v>10.99</v>
      </c>
      <c r="G15" s="7">
        <v>20.41</v>
      </c>
      <c r="H15" s="7">
        <v>12.87</v>
      </c>
      <c r="I15" s="7">
        <v>6.84</v>
      </c>
      <c r="J15" s="7">
        <v>0.7</v>
      </c>
      <c r="K15" s="7">
        <v>3.4296912999999998E-2</v>
      </c>
      <c r="L15" s="7">
        <v>9.2838195999999998E-2</v>
      </c>
      <c r="M15" s="7">
        <v>8</v>
      </c>
      <c r="N15" s="7">
        <v>30</v>
      </c>
      <c r="O15" s="34">
        <v>5.18</v>
      </c>
      <c r="P15" s="7">
        <v>0.480807347</v>
      </c>
      <c r="Q15" s="7"/>
      <c r="R15" s="7"/>
    </row>
    <row r="16" spans="1:18">
      <c r="A16" s="7" t="s">
        <v>159</v>
      </c>
      <c r="B16" s="7" t="s">
        <v>134</v>
      </c>
      <c r="C16" s="7" t="s">
        <v>28</v>
      </c>
      <c r="D16" s="7">
        <v>100</v>
      </c>
      <c r="E16" s="7">
        <v>31.36</v>
      </c>
      <c r="F16" s="7">
        <v>14.09</v>
      </c>
      <c r="G16" s="7">
        <v>17.27</v>
      </c>
      <c r="H16" s="7">
        <v>10.89</v>
      </c>
      <c r="I16" s="7">
        <v>3.91</v>
      </c>
      <c r="J16" s="7">
        <v>2.4700000000000002</v>
      </c>
      <c r="K16" s="7">
        <v>0.14302258300000001</v>
      </c>
      <c r="L16" s="7">
        <v>0.38714733499999998</v>
      </c>
      <c r="M16" s="7">
        <v>15</v>
      </c>
      <c r="N16" s="7">
        <v>35</v>
      </c>
      <c r="O16" s="34">
        <v>5.18</v>
      </c>
      <c r="P16" s="7">
        <v>2.0050290820000001</v>
      </c>
      <c r="Q16" s="7"/>
      <c r="R16" s="7"/>
    </row>
    <row r="17" spans="1:18">
      <c r="A17" s="7" t="s">
        <v>159</v>
      </c>
      <c r="B17" s="7" t="s">
        <v>134</v>
      </c>
      <c r="C17" s="7" t="s">
        <v>28</v>
      </c>
      <c r="D17" s="7">
        <v>100</v>
      </c>
      <c r="E17" s="7">
        <v>31.36</v>
      </c>
      <c r="F17" s="7">
        <v>17.23</v>
      </c>
      <c r="G17" s="7">
        <v>14.13</v>
      </c>
      <c r="H17" s="7">
        <v>8.91</v>
      </c>
      <c r="I17" s="7">
        <v>4.57</v>
      </c>
      <c r="J17" s="7">
        <v>0.65</v>
      </c>
      <c r="K17" s="7">
        <v>4.6001414999999997E-2</v>
      </c>
      <c r="L17" s="7">
        <v>0.124521073</v>
      </c>
      <c r="M17" s="7">
        <v>14</v>
      </c>
      <c r="N17" s="7" t="s">
        <v>10</v>
      </c>
      <c r="O17" s="34">
        <v>5.18</v>
      </c>
      <c r="P17" s="7">
        <v>0.64489239499999995</v>
      </c>
      <c r="Q17" s="7"/>
      <c r="R17" s="7"/>
    </row>
    <row r="18" spans="1:18">
      <c r="A18" s="7" t="s">
        <v>159</v>
      </c>
      <c r="B18" s="7" t="s">
        <v>134</v>
      </c>
      <c r="C18" s="7" t="s">
        <v>28</v>
      </c>
      <c r="D18" s="7">
        <v>105</v>
      </c>
      <c r="E18" s="7">
        <v>29.39</v>
      </c>
      <c r="F18" s="7">
        <v>13.22</v>
      </c>
      <c r="G18" s="7">
        <v>16.170000000000002</v>
      </c>
      <c r="H18" s="7">
        <v>10.45</v>
      </c>
      <c r="I18" s="7">
        <v>4.9000000000000004</v>
      </c>
      <c r="J18" s="7">
        <v>0.82</v>
      </c>
      <c r="K18" s="7">
        <v>5.0711194000000001E-2</v>
      </c>
      <c r="L18" s="7">
        <v>0.14335664300000001</v>
      </c>
      <c r="M18" s="7">
        <v>15</v>
      </c>
      <c r="N18" s="7">
        <v>45</v>
      </c>
      <c r="O18" s="34">
        <v>5.18</v>
      </c>
      <c r="P18" s="7">
        <v>0.74244147599999999</v>
      </c>
      <c r="Q18" s="7"/>
      <c r="R18" s="7"/>
    </row>
    <row r="19" spans="1:18">
      <c r="A19" s="7" t="s">
        <v>159</v>
      </c>
      <c r="B19" s="7" t="s">
        <v>134</v>
      </c>
      <c r="C19" s="7" t="s">
        <v>28</v>
      </c>
      <c r="D19" s="7">
        <v>105</v>
      </c>
      <c r="E19" s="7">
        <v>29.39</v>
      </c>
      <c r="F19" s="7">
        <v>16.16</v>
      </c>
      <c r="G19" s="7">
        <v>13.23</v>
      </c>
      <c r="H19" s="7">
        <v>8.5500000000000007</v>
      </c>
      <c r="I19" s="7">
        <v>4.26</v>
      </c>
      <c r="J19" s="7">
        <v>0.42</v>
      </c>
      <c r="K19" s="7">
        <v>3.1746032E-2</v>
      </c>
      <c r="L19" s="7">
        <v>8.9743589999999998E-2</v>
      </c>
      <c r="M19" s="7" t="s">
        <v>10</v>
      </c>
      <c r="N19" s="7" t="s">
        <v>10</v>
      </c>
      <c r="O19" s="34">
        <v>5.18</v>
      </c>
      <c r="P19" s="7">
        <v>0.46478043600000002</v>
      </c>
      <c r="Q19" s="7"/>
      <c r="R19" s="7"/>
    </row>
    <row r="20" spans="1:18">
      <c r="A20" s="7"/>
      <c r="B20" s="7"/>
      <c r="C20" s="7"/>
      <c r="D20" s="7"/>
      <c r="E20" s="7"/>
      <c r="F20" s="7"/>
      <c r="G20" s="7"/>
      <c r="H20" s="7"/>
      <c r="I20" s="7"/>
      <c r="J20" s="7"/>
      <c r="K20" s="7" t="s">
        <v>171</v>
      </c>
      <c r="L20" s="33">
        <v>0.31326051500000002</v>
      </c>
      <c r="M20" s="7"/>
      <c r="N20" s="7"/>
      <c r="O20" s="7"/>
      <c r="P20" s="33">
        <v>1.622370568</v>
      </c>
      <c r="Q20" s="33">
        <v>1.371687273</v>
      </c>
      <c r="R20" s="33">
        <v>0.43376560199999997</v>
      </c>
    </row>
    <row r="21" spans="1:18">
      <c r="A21" s="7"/>
      <c r="B21" s="35"/>
      <c r="C21" s="7"/>
      <c r="D21" s="36"/>
      <c r="E21" s="36"/>
      <c r="F21" s="36"/>
      <c r="G21" s="36"/>
      <c r="H21" s="34"/>
      <c r="I21" s="36"/>
      <c r="J21" s="34"/>
      <c r="K21" s="7" t="s">
        <v>172</v>
      </c>
      <c r="L21" s="33">
        <v>0.26485654400000003</v>
      </c>
      <c r="M21" s="7"/>
      <c r="N21" s="7"/>
      <c r="O21" s="7"/>
      <c r="P21" s="7"/>
      <c r="Q21" s="7"/>
      <c r="R21" s="7"/>
    </row>
    <row r="22" spans="1:18">
      <c r="A22" s="7"/>
      <c r="B22" s="37"/>
      <c r="C22" s="7"/>
      <c r="D22" s="38"/>
      <c r="E22" s="38"/>
      <c r="F22" s="38"/>
      <c r="G22" s="38"/>
      <c r="H22" s="34"/>
      <c r="I22" s="38"/>
      <c r="J22" s="34"/>
      <c r="K22" s="7" t="s">
        <v>166</v>
      </c>
      <c r="L22" s="33">
        <v>8.8285514999999995E-2</v>
      </c>
      <c r="M22" s="7"/>
      <c r="N22" s="7"/>
      <c r="O22" s="7"/>
      <c r="P22" s="7"/>
      <c r="Q22" s="7"/>
      <c r="R22" s="7"/>
    </row>
    <row r="24" spans="1:18">
      <c r="A24" s="3" t="s">
        <v>157</v>
      </c>
      <c r="B24" s="3" t="s">
        <v>121</v>
      </c>
      <c r="C24" s="3" t="s">
        <v>122</v>
      </c>
      <c r="D24" s="3" t="s">
        <v>123</v>
      </c>
      <c r="E24" s="3" t="s">
        <v>124</v>
      </c>
      <c r="F24" s="3" t="s">
        <v>125</v>
      </c>
      <c r="G24" s="3" t="s">
        <v>126</v>
      </c>
      <c r="H24" s="3" t="s">
        <v>135</v>
      </c>
      <c r="I24" s="3" t="s">
        <v>127</v>
      </c>
      <c r="J24" s="3" t="s">
        <v>128</v>
      </c>
      <c r="K24" s="3" t="s">
        <v>129</v>
      </c>
      <c r="L24" s="3" t="s">
        <v>130</v>
      </c>
      <c r="M24" s="3" t="s">
        <v>131</v>
      </c>
      <c r="N24" s="3" t="s">
        <v>132</v>
      </c>
      <c r="O24" s="3" t="s">
        <v>167</v>
      </c>
      <c r="P24" s="3" t="s">
        <v>168</v>
      </c>
      <c r="Q24" s="3" t="s">
        <v>169</v>
      </c>
      <c r="R24" s="3" t="s">
        <v>170</v>
      </c>
    </row>
    <row r="25" spans="1:18">
      <c r="A25" t="s">
        <v>160</v>
      </c>
      <c r="B25" t="s">
        <v>99</v>
      </c>
      <c r="C25" t="s">
        <v>9</v>
      </c>
      <c r="D25">
        <v>65</v>
      </c>
      <c r="E25">
        <v>0.10149999999999999</v>
      </c>
      <c r="F25">
        <v>4.0599999999999997E-2</v>
      </c>
      <c r="G25">
        <v>6.0899999999999996E-2</v>
      </c>
      <c r="H25">
        <v>1.2E-2</v>
      </c>
      <c r="I25">
        <v>0.03</v>
      </c>
      <c r="J25">
        <v>3.0899999999999997E-2</v>
      </c>
      <c r="K25">
        <v>0.50738916256157629</v>
      </c>
      <c r="L25">
        <v>0.63190184049079745</v>
      </c>
      <c r="M25" t="s">
        <v>10</v>
      </c>
      <c r="N25" t="s">
        <v>10</v>
      </c>
      <c r="O25" s="39">
        <v>0.1135254</v>
      </c>
      <c r="P25">
        <f>O25*L25</f>
        <v>7.1736909202453972E-2</v>
      </c>
    </row>
    <row r="26" spans="1:18">
      <c r="A26" t="s">
        <v>160</v>
      </c>
      <c r="B26" t="s">
        <v>99</v>
      </c>
      <c r="C26" t="s">
        <v>9</v>
      </c>
      <c r="D26">
        <v>155</v>
      </c>
      <c r="E26">
        <v>0.10150000000000001</v>
      </c>
      <c r="F26">
        <v>4.0599999999999997E-2</v>
      </c>
      <c r="G26">
        <v>6.090000000000001E-2</v>
      </c>
      <c r="H26">
        <v>1.2E-2</v>
      </c>
      <c r="I26">
        <v>2.3E-2</v>
      </c>
      <c r="J26">
        <v>3.790000000000001E-2</v>
      </c>
      <c r="K26">
        <v>0.62233169129720856</v>
      </c>
      <c r="L26">
        <v>0.77505112474437632</v>
      </c>
      <c r="M26" t="s">
        <v>10</v>
      </c>
      <c r="N26" t="s">
        <v>10</v>
      </c>
      <c r="O26" s="39">
        <v>0.1135254</v>
      </c>
      <c r="P26">
        <f>O26*L26</f>
        <v>8.7987988957055216E-2</v>
      </c>
    </row>
    <row r="27" spans="1:18">
      <c r="K27" s="7" t="s">
        <v>171</v>
      </c>
      <c r="L27" s="3">
        <f>AVERAGE(L25:L26)</f>
        <v>0.70347648261758688</v>
      </c>
      <c r="M27" s="3"/>
      <c r="N27" s="3"/>
      <c r="O27" s="3"/>
      <c r="P27" s="3">
        <f>AVERAGE(P25:P26)</f>
        <v>7.9862449079754594E-2</v>
      </c>
      <c r="Q27" s="3">
        <f>STDEV(P25:P26)</f>
        <v>1.1491248696081974E-2</v>
      </c>
      <c r="R27" s="3">
        <f>Q27/SQRT(2)</f>
        <v>8.125539877300636E-3</v>
      </c>
    </row>
    <row r="28" spans="1:18">
      <c r="K28" s="7" t="s">
        <v>172</v>
      </c>
      <c r="L28" s="3">
        <f>STDEV(L25:L26)</f>
        <v>0.10122182961770605</v>
      </c>
    </row>
    <row r="29" spans="1:18">
      <c r="K29" s="7" t="s">
        <v>166</v>
      </c>
      <c r="L29" s="3">
        <f>L28/SQRT(2)</f>
        <v>7.1574642126789267E-2</v>
      </c>
    </row>
    <row r="31" spans="1:18">
      <c r="A31" s="3" t="s">
        <v>157</v>
      </c>
      <c r="B31" s="3" t="s">
        <v>121</v>
      </c>
      <c r="C31" s="3" t="s">
        <v>122</v>
      </c>
      <c r="D31" s="3" t="s">
        <v>123</v>
      </c>
      <c r="E31" s="3" t="s">
        <v>124</v>
      </c>
      <c r="F31" s="3" t="s">
        <v>125</v>
      </c>
      <c r="G31" s="3" t="s">
        <v>126</v>
      </c>
      <c r="H31" s="3" t="s">
        <v>135</v>
      </c>
      <c r="I31" s="3" t="s">
        <v>127</v>
      </c>
      <c r="J31" s="3" t="s">
        <v>128</v>
      </c>
      <c r="K31" s="3" t="s">
        <v>129</v>
      </c>
      <c r="L31" s="3" t="s">
        <v>130</v>
      </c>
      <c r="M31" s="3" t="s">
        <v>131</v>
      </c>
      <c r="N31" s="3" t="s">
        <v>132</v>
      </c>
      <c r="O31" s="3" t="s">
        <v>167</v>
      </c>
      <c r="P31" s="3" t="s">
        <v>168</v>
      </c>
      <c r="Q31" s="3" t="s">
        <v>169</v>
      </c>
      <c r="R31" s="3" t="s">
        <v>170</v>
      </c>
    </row>
    <row r="32" spans="1:18">
      <c r="A32" t="s">
        <v>158</v>
      </c>
      <c r="B32" t="s">
        <v>106</v>
      </c>
      <c r="C32" t="s">
        <v>9</v>
      </c>
      <c r="D32">
        <v>210</v>
      </c>
      <c r="E32">
        <v>0.10149999999999999</v>
      </c>
      <c r="F32">
        <v>6.0899999999999996E-2</v>
      </c>
      <c r="G32">
        <v>4.0599999999999997E-2</v>
      </c>
      <c r="H32">
        <v>8.0000000000000002E-3</v>
      </c>
      <c r="I32">
        <v>2.5049999999999999E-2</v>
      </c>
      <c r="J32">
        <v>1.5549999999999998E-2</v>
      </c>
      <c r="K32">
        <v>0.38300492610837433</v>
      </c>
      <c r="L32">
        <v>0.47699386503067481</v>
      </c>
      <c r="M32" t="s">
        <v>10</v>
      </c>
      <c r="N32" t="s">
        <v>10</v>
      </c>
      <c r="O32" s="40">
        <v>0.114</v>
      </c>
      <c r="P32">
        <f>O32*L32</f>
        <v>5.437730061349693E-2</v>
      </c>
    </row>
    <row r="33" spans="1:18">
      <c r="A33" t="s">
        <v>158</v>
      </c>
      <c r="B33" t="s">
        <v>106</v>
      </c>
      <c r="C33" t="s">
        <v>9</v>
      </c>
      <c r="D33">
        <v>249</v>
      </c>
      <c r="E33">
        <v>0.12179999999999999</v>
      </c>
      <c r="F33">
        <v>0.10149999999999999</v>
      </c>
      <c r="G33">
        <v>2.0299999999999999E-2</v>
      </c>
      <c r="H33">
        <v>4.0000000000000001E-3</v>
      </c>
      <c r="I33">
        <v>8.5000000000000006E-3</v>
      </c>
      <c r="J33">
        <v>1.1799999999999998E-2</v>
      </c>
      <c r="K33">
        <v>0.58128078817733986</v>
      </c>
      <c r="L33">
        <v>0.72392638036809809</v>
      </c>
      <c r="M33" t="s">
        <v>10</v>
      </c>
      <c r="N33" t="s">
        <v>10</v>
      </c>
      <c r="O33" s="40">
        <v>0.114</v>
      </c>
      <c r="P33">
        <f t="shared" ref="P33:P34" si="0">O33*L33</f>
        <v>8.2527607361963184E-2</v>
      </c>
    </row>
    <row r="34" spans="1:18">
      <c r="A34" t="s">
        <v>158</v>
      </c>
      <c r="B34" t="s">
        <v>106</v>
      </c>
      <c r="C34" t="s">
        <v>9</v>
      </c>
      <c r="D34">
        <v>210</v>
      </c>
      <c r="E34">
        <v>4.4400000000000004</v>
      </c>
      <c r="F34">
        <v>0.1</v>
      </c>
      <c r="G34">
        <v>4.3400000000000007</v>
      </c>
      <c r="H34">
        <v>8.4000000000000005E-2</v>
      </c>
      <c r="I34">
        <v>1.85</v>
      </c>
      <c r="J34">
        <v>2.4900000000000007</v>
      </c>
      <c r="K34">
        <v>0.57373271889400923</v>
      </c>
      <c r="L34">
        <v>0.58505639097744366</v>
      </c>
      <c r="M34" t="s">
        <v>10</v>
      </c>
      <c r="N34" t="s">
        <v>10</v>
      </c>
      <c r="O34" s="40">
        <v>0.114</v>
      </c>
      <c r="P34">
        <f t="shared" si="0"/>
        <v>6.6696428571428573E-2</v>
      </c>
    </row>
    <row r="35" spans="1:18">
      <c r="K35" s="7" t="s">
        <v>171</v>
      </c>
      <c r="L35" s="3">
        <f>AVERAGE(L32:L34)</f>
        <v>0.59532554545873884</v>
      </c>
      <c r="P35" s="3">
        <f>AVERAGE(P32:P34)</f>
        <v>6.7867112182296227E-2</v>
      </c>
      <c r="Q35" s="3">
        <f>STDEV(P32:P34)</f>
        <v>1.4111619949380401E-2</v>
      </c>
      <c r="R35" s="3">
        <f>Q35/SQRT(3)</f>
        <v>8.1473475764764682E-3</v>
      </c>
    </row>
    <row r="36" spans="1:18">
      <c r="K36" s="7" t="s">
        <v>172</v>
      </c>
      <c r="L36" s="3">
        <f>STDEV(L32:L34)</f>
        <v>0.12378613990684596</v>
      </c>
    </row>
    <row r="37" spans="1:18">
      <c r="K37" s="7" t="s">
        <v>166</v>
      </c>
      <c r="L37" s="3">
        <f>L36/SQRT(2)</f>
        <v>8.753001894503748E-2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150" zoomScaleNormal="150" zoomScalePageLayoutView="150" workbookViewId="0">
      <selection activeCell="B4" sqref="B4"/>
    </sheetView>
  </sheetViews>
  <sheetFormatPr baseColWidth="10" defaultRowHeight="15" x14ac:dyDescent="0"/>
  <cols>
    <col min="1" max="1" width="17.6640625" bestFit="1" customWidth="1"/>
    <col min="2" max="2" width="91.83203125" bestFit="1" customWidth="1"/>
    <col min="4" max="4" width="15.33203125" bestFit="1" customWidth="1"/>
  </cols>
  <sheetData>
    <row r="1" spans="1:4">
      <c r="A1" s="3" t="s">
        <v>146</v>
      </c>
      <c r="B1" s="3" t="s">
        <v>147</v>
      </c>
      <c r="C1" s="3" t="s">
        <v>148</v>
      </c>
      <c r="D1" s="3" t="s">
        <v>149</v>
      </c>
    </row>
    <row r="2" spans="1:4">
      <c r="A2" s="3" t="s">
        <v>121</v>
      </c>
      <c r="B2" s="23" t="s">
        <v>136</v>
      </c>
      <c r="C2" t="s">
        <v>150</v>
      </c>
      <c r="D2" s="5" t="s">
        <v>134</v>
      </c>
    </row>
    <row r="3" spans="1:4">
      <c r="A3" s="3" t="s">
        <v>122</v>
      </c>
      <c r="B3" s="23" t="s">
        <v>137</v>
      </c>
      <c r="C3" t="s">
        <v>150</v>
      </c>
      <c r="D3" s="5" t="s">
        <v>28</v>
      </c>
    </row>
    <row r="4" spans="1:4">
      <c r="A4" s="3" t="s">
        <v>123</v>
      </c>
      <c r="B4" s="23" t="s">
        <v>138</v>
      </c>
      <c r="C4" t="s">
        <v>151</v>
      </c>
      <c r="D4" s="23">
        <v>60</v>
      </c>
    </row>
    <row r="5" spans="1:4">
      <c r="A5" s="3" t="s">
        <v>124</v>
      </c>
      <c r="B5" s="23" t="s">
        <v>139</v>
      </c>
      <c r="C5" t="s">
        <v>151</v>
      </c>
      <c r="D5">
        <v>71.7</v>
      </c>
    </row>
    <row r="6" spans="1:4">
      <c r="A6" s="3" t="s">
        <v>125</v>
      </c>
      <c r="B6" s="23" t="s">
        <v>140</v>
      </c>
      <c r="C6" t="s">
        <v>151</v>
      </c>
      <c r="D6">
        <f>D5-D7</f>
        <v>48.980000000000004</v>
      </c>
    </row>
    <row r="7" spans="1:4">
      <c r="A7" s="3" t="s">
        <v>126</v>
      </c>
      <c r="B7" s="23" t="s">
        <v>141</v>
      </c>
      <c r="C7" t="s">
        <v>151</v>
      </c>
      <c r="D7">
        <f>16*1.42</f>
        <v>22.72</v>
      </c>
    </row>
    <row r="8" spans="1:4">
      <c r="A8" s="3" t="s">
        <v>135</v>
      </c>
      <c r="B8" s="23" t="s">
        <v>155</v>
      </c>
      <c r="C8" t="s">
        <v>151</v>
      </c>
      <c r="D8">
        <f>16*1.03</f>
        <v>16.48</v>
      </c>
    </row>
    <row r="9" spans="1:4">
      <c r="A9" s="3" t="s">
        <v>127</v>
      </c>
      <c r="B9" s="23" t="s">
        <v>142</v>
      </c>
      <c r="C9" t="s">
        <v>151</v>
      </c>
      <c r="D9">
        <v>1.44</v>
      </c>
    </row>
    <row r="10" spans="1:4">
      <c r="A10" s="3" t="s">
        <v>128</v>
      </c>
      <c r="B10" s="23" t="s">
        <v>156</v>
      </c>
      <c r="C10" t="s">
        <v>151</v>
      </c>
      <c r="D10">
        <f>D7-D8-D9</f>
        <v>4.7999999999999989</v>
      </c>
    </row>
    <row r="11" spans="1:4">
      <c r="A11" s="3" t="s">
        <v>129</v>
      </c>
      <c r="B11" s="23" t="s">
        <v>143</v>
      </c>
      <c r="C11" t="s">
        <v>152</v>
      </c>
      <c r="D11" s="13">
        <f>D10/D7</f>
        <v>0.21126760563380279</v>
      </c>
    </row>
    <row r="12" spans="1:4">
      <c r="A12" s="3" t="s">
        <v>130</v>
      </c>
      <c r="B12" s="23" t="s">
        <v>153</v>
      </c>
      <c r="C12" t="s">
        <v>152</v>
      </c>
      <c r="D12">
        <f>D10/(D7-D8)</f>
        <v>0.76923076923076927</v>
      </c>
    </row>
    <row r="13" spans="1:4">
      <c r="A13" s="3" t="s">
        <v>131</v>
      </c>
      <c r="B13" t="s">
        <v>145</v>
      </c>
      <c r="C13" t="s">
        <v>151</v>
      </c>
      <c r="D13">
        <v>20</v>
      </c>
    </row>
    <row r="14" spans="1:4">
      <c r="A14" s="3" t="s">
        <v>132</v>
      </c>
      <c r="B14" t="s">
        <v>144</v>
      </c>
      <c r="C14" t="s">
        <v>151</v>
      </c>
      <c r="D14">
        <v>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 leucomelas</vt:lpstr>
      <vt:lpstr>R. dicolorus</vt:lpstr>
      <vt:lpstr>R. toco</vt:lpstr>
      <vt:lpstr>Redes Unesp</vt:lpstr>
      <vt:lpstr>ALL</vt:lpstr>
      <vt:lpstr>FINAL</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dc:creator>
  <cp:lastModifiedBy>Elena</cp:lastModifiedBy>
  <dcterms:created xsi:type="dcterms:W3CDTF">2017-04-18T16:37:11Z</dcterms:created>
  <dcterms:modified xsi:type="dcterms:W3CDTF">2017-07-28T17:42:30Z</dcterms:modified>
</cp:coreProperties>
</file>