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9660" yWindow="-3740" windowWidth="38340" windowHeight="16660" tabRatio="500" activeTab="1"/>
  </bookViews>
  <sheets>
    <sheet name="ALL" sheetId="1" r:id="rId1"/>
    <sheet name="SELECTED VARIABLES" sheetId="2" r:id="rId2"/>
  </sheets>
  <externalReferences>
    <externalReference r:id="rId3"/>
  </externalReferences>
  <definedNames>
    <definedName name="_xlnm._FilterDatabase" localSheetId="1" hidden="1">'SELECTED VARIABLES'!$A$1:$AP$1</definedName>
  </definedNam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74" i="2" l="1"/>
  <c r="Y474" i="2"/>
  <c r="AB474" i="2"/>
  <c r="AA474" i="2"/>
  <c r="Z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H474" i="2"/>
  <c r="E474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Y76" i="1"/>
  <c r="H76" i="1"/>
  <c r="I76" i="1"/>
  <c r="Y75" i="1"/>
  <c r="H75" i="1"/>
  <c r="E540" i="1"/>
  <c r="I540" i="1"/>
  <c r="T76" i="1"/>
  <c r="U76" i="1"/>
  <c r="V76" i="1"/>
  <c r="W76" i="1"/>
  <c r="X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Y79" i="1"/>
  <c r="G79" i="1"/>
  <c r="H79" i="1"/>
  <c r="X102" i="2"/>
  <c r="Y102" i="2"/>
  <c r="AB102" i="2"/>
  <c r="M102" i="2"/>
  <c r="N102" i="2"/>
  <c r="O102" i="2"/>
  <c r="P102" i="2"/>
  <c r="Q102" i="2"/>
  <c r="R102" i="2"/>
  <c r="S102" i="2"/>
  <c r="T102" i="2"/>
  <c r="U102" i="2"/>
  <c r="V102" i="2"/>
  <c r="W102" i="2"/>
  <c r="Z102" i="2"/>
  <c r="AA102" i="2"/>
  <c r="L102" i="2"/>
  <c r="E102" i="2"/>
  <c r="H102" i="2"/>
  <c r="E472" i="2"/>
  <c r="H472" i="2"/>
  <c r="E473" i="2"/>
  <c r="H473" i="2"/>
  <c r="E475" i="2"/>
  <c r="H475" i="2"/>
  <c r="E476" i="2"/>
  <c r="H476" i="2"/>
  <c r="E477" i="2"/>
  <c r="H477" i="2"/>
  <c r="E478" i="2"/>
  <c r="H478" i="2"/>
  <c r="E479" i="2"/>
  <c r="H479" i="2"/>
  <c r="E481" i="2"/>
  <c r="H481" i="2"/>
  <c r="E482" i="2"/>
  <c r="H482" i="2"/>
  <c r="E483" i="2"/>
  <c r="H483" i="2"/>
  <c r="E484" i="2"/>
  <c r="H484" i="2"/>
  <c r="E485" i="2"/>
  <c r="H485" i="2"/>
  <c r="E486" i="2"/>
  <c r="H486" i="2"/>
  <c r="E487" i="2"/>
  <c r="H487" i="2"/>
  <c r="E488" i="2"/>
  <c r="H488" i="2"/>
  <c r="E489" i="2"/>
  <c r="H489" i="2"/>
  <c r="E490" i="2"/>
  <c r="H490" i="2"/>
  <c r="E491" i="2"/>
  <c r="H491" i="2"/>
  <c r="E492" i="2"/>
  <c r="H492" i="2"/>
  <c r="E493" i="2"/>
  <c r="H493" i="2"/>
  <c r="E463" i="2"/>
  <c r="H463" i="2"/>
  <c r="E464" i="2"/>
  <c r="H464" i="2"/>
  <c r="E465" i="2"/>
  <c r="H465" i="2"/>
  <c r="E466" i="2"/>
  <c r="H466" i="2"/>
  <c r="E467" i="2"/>
  <c r="H467" i="2"/>
  <c r="E510" i="2"/>
  <c r="H510" i="2"/>
  <c r="G469" i="2"/>
  <c r="E124" i="1"/>
  <c r="I124" i="1"/>
  <c r="E125" i="1"/>
  <c r="I125" i="1"/>
  <c r="E419" i="2"/>
  <c r="H419" i="2"/>
  <c r="E420" i="2"/>
  <c r="H420" i="2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T435" i="1"/>
  <c r="E435" i="1"/>
  <c r="I435" i="1"/>
  <c r="Y64" i="1"/>
  <c r="H64" i="1"/>
  <c r="Y52" i="1"/>
  <c r="H52" i="1"/>
  <c r="Y62" i="1"/>
  <c r="H62" i="1"/>
  <c r="Y53" i="1"/>
  <c r="H53" i="1"/>
  <c r="G70" i="1"/>
  <c r="Y70" i="1"/>
  <c r="H70" i="1"/>
  <c r="Y65" i="1"/>
  <c r="H65" i="1"/>
  <c r="G71" i="1"/>
  <c r="Y71" i="1"/>
  <c r="H71" i="1"/>
  <c r="Y54" i="1"/>
  <c r="H54" i="1"/>
  <c r="Y66" i="1"/>
  <c r="H66" i="1"/>
  <c r="G72" i="1"/>
  <c r="Y72" i="1"/>
  <c r="H72" i="1"/>
  <c r="Y55" i="1"/>
  <c r="H55" i="1"/>
  <c r="Y56" i="1"/>
  <c r="H56" i="1"/>
  <c r="G73" i="1"/>
  <c r="Y73" i="1"/>
  <c r="H73" i="1"/>
  <c r="Y61" i="1"/>
  <c r="H61" i="1"/>
  <c r="G63" i="1"/>
  <c r="Y63" i="1"/>
  <c r="H63" i="1"/>
  <c r="Y67" i="1"/>
  <c r="H67" i="1"/>
  <c r="Y57" i="1"/>
  <c r="H57" i="1"/>
  <c r="Y74" i="1"/>
  <c r="H74" i="1"/>
  <c r="Y58" i="1"/>
  <c r="H58" i="1"/>
  <c r="Y68" i="1"/>
  <c r="H68" i="1"/>
  <c r="G75" i="1"/>
  <c r="Y59" i="1"/>
  <c r="H59" i="1"/>
  <c r="Y60" i="1"/>
  <c r="H60" i="1"/>
  <c r="G77" i="1"/>
  <c r="Y77" i="1"/>
  <c r="H77" i="1"/>
  <c r="G78" i="1"/>
  <c r="Y78" i="1"/>
  <c r="H78" i="1"/>
  <c r="Y80" i="1"/>
  <c r="Y81" i="1"/>
  <c r="G69" i="1"/>
  <c r="Y69" i="1"/>
  <c r="H69" i="1"/>
  <c r="G183" i="2"/>
  <c r="H183" i="2"/>
  <c r="G175" i="2"/>
  <c r="H175" i="2"/>
  <c r="E501" i="2"/>
  <c r="H501" i="2"/>
  <c r="E484" i="1"/>
  <c r="E226" i="2"/>
  <c r="H226" i="2"/>
  <c r="E224" i="2"/>
  <c r="H224" i="2"/>
  <c r="G239" i="2"/>
  <c r="H239" i="2"/>
  <c r="H257" i="2"/>
  <c r="E446" i="2"/>
  <c r="E100" i="1"/>
  <c r="E136" i="1"/>
  <c r="E135" i="1"/>
  <c r="E134" i="1"/>
  <c r="E6" i="1"/>
  <c r="E7" i="1"/>
  <c r="E8" i="1"/>
  <c r="E88" i="1"/>
  <c r="I88" i="1"/>
  <c r="E89" i="1"/>
  <c r="I89" i="1"/>
  <c r="E96" i="1"/>
  <c r="E131" i="1"/>
  <c r="E132" i="1"/>
  <c r="I132" i="1"/>
  <c r="E133" i="1"/>
  <c r="I133" i="1"/>
  <c r="E239" i="1"/>
  <c r="E240" i="1"/>
  <c r="I240" i="1"/>
  <c r="E254" i="1"/>
  <c r="E255" i="1"/>
  <c r="E256" i="1"/>
  <c r="E275" i="1"/>
  <c r="E276" i="1"/>
  <c r="E277" i="1"/>
  <c r="E278" i="1"/>
  <c r="E279" i="1"/>
  <c r="E292" i="1"/>
  <c r="I292" i="1"/>
  <c r="E293" i="1"/>
  <c r="I293" i="1"/>
  <c r="E294" i="1"/>
  <c r="I294" i="1"/>
  <c r="E295" i="1"/>
  <c r="I295" i="1"/>
  <c r="E306" i="1"/>
  <c r="I306" i="1"/>
  <c r="E347" i="1"/>
  <c r="E348" i="1"/>
  <c r="I348" i="1"/>
  <c r="E349" i="1"/>
  <c r="I349" i="1"/>
  <c r="E350" i="1"/>
  <c r="E351" i="1"/>
  <c r="E359" i="1"/>
  <c r="I359" i="1"/>
  <c r="E360" i="1"/>
  <c r="I360" i="1"/>
  <c r="E361" i="1"/>
  <c r="I361" i="1"/>
  <c r="E362" i="1"/>
  <c r="I362" i="1"/>
  <c r="E388" i="1"/>
  <c r="E389" i="1"/>
  <c r="I389" i="1"/>
  <c r="E390" i="1"/>
  <c r="I390" i="1"/>
  <c r="E391" i="1"/>
  <c r="I391" i="1"/>
  <c r="E392" i="1"/>
  <c r="I392" i="1"/>
  <c r="E456" i="1"/>
  <c r="I456" i="1"/>
  <c r="E457" i="1"/>
  <c r="I457" i="1"/>
  <c r="E458" i="1"/>
  <c r="I458" i="1"/>
  <c r="E459" i="1"/>
  <c r="I459" i="1"/>
  <c r="E460" i="1"/>
  <c r="I460" i="1"/>
  <c r="E29" i="1"/>
  <c r="E30" i="1"/>
  <c r="E33" i="1"/>
  <c r="E34" i="1"/>
  <c r="E35" i="1"/>
  <c r="E118" i="1"/>
  <c r="E119" i="1"/>
  <c r="E120" i="1"/>
  <c r="E128" i="1"/>
  <c r="E129" i="1"/>
  <c r="E257" i="1"/>
  <c r="E267" i="1"/>
  <c r="E296" i="1"/>
  <c r="I296" i="1"/>
  <c r="E325" i="1"/>
  <c r="I325" i="1"/>
  <c r="E326" i="1"/>
  <c r="I326" i="1"/>
  <c r="E327" i="1"/>
  <c r="I327" i="1"/>
  <c r="E328" i="1"/>
  <c r="I328" i="1"/>
  <c r="E385" i="1"/>
  <c r="I385" i="1"/>
  <c r="E386" i="1"/>
  <c r="I386" i="1"/>
  <c r="E387" i="1"/>
  <c r="I387" i="1"/>
  <c r="E409" i="1"/>
  <c r="E410" i="1"/>
  <c r="I410" i="1"/>
  <c r="E411" i="1"/>
  <c r="I411" i="1"/>
  <c r="E412" i="1"/>
  <c r="E413" i="1"/>
  <c r="E414" i="1"/>
  <c r="E449" i="1"/>
  <c r="I449" i="1"/>
  <c r="E450" i="1"/>
  <c r="I450" i="1"/>
  <c r="E493" i="1"/>
  <c r="I493" i="1"/>
  <c r="E494" i="1"/>
  <c r="I494" i="1"/>
  <c r="E104" i="1"/>
  <c r="E105" i="1"/>
  <c r="E106" i="1"/>
  <c r="E244" i="1"/>
  <c r="E258" i="1"/>
  <c r="E259" i="1"/>
  <c r="E260" i="1"/>
  <c r="E393" i="1"/>
  <c r="E394" i="1"/>
  <c r="I394" i="1"/>
  <c r="E395" i="1"/>
  <c r="I395" i="1"/>
  <c r="E421" i="1"/>
  <c r="I421" i="1"/>
  <c r="E422" i="1"/>
  <c r="I422" i="1"/>
  <c r="E429" i="1"/>
  <c r="I429" i="1"/>
  <c r="E430" i="1"/>
  <c r="I430" i="1"/>
  <c r="E431" i="1"/>
  <c r="E432" i="1"/>
  <c r="I432" i="1"/>
  <c r="E433" i="1"/>
  <c r="I433" i="1"/>
  <c r="E434" i="1"/>
  <c r="I434" i="1"/>
  <c r="E461" i="1"/>
  <c r="E483" i="1"/>
  <c r="E485" i="1"/>
  <c r="E2" i="1"/>
  <c r="I2" i="1"/>
  <c r="E3" i="1"/>
  <c r="I3" i="1"/>
  <c r="E47" i="1"/>
  <c r="G47" i="1"/>
  <c r="I47" i="1"/>
  <c r="E48" i="1"/>
  <c r="I48" i="1"/>
  <c r="E77" i="1"/>
  <c r="I77" i="1"/>
  <c r="E78" i="1"/>
  <c r="I78" i="1"/>
  <c r="E79" i="1"/>
  <c r="I79" i="1"/>
  <c r="E252" i="1"/>
  <c r="I252" i="1"/>
  <c r="E253" i="1"/>
  <c r="I253" i="1"/>
  <c r="E287" i="1"/>
  <c r="G287" i="1"/>
  <c r="I287" i="1"/>
  <c r="E288" i="1"/>
  <c r="I288" i="1"/>
  <c r="E289" i="1"/>
  <c r="I289" i="1"/>
  <c r="E290" i="1"/>
  <c r="G290" i="1"/>
  <c r="I290" i="1"/>
  <c r="E428" i="1"/>
  <c r="I428" i="1"/>
  <c r="E462" i="1"/>
  <c r="G462" i="1"/>
  <c r="I462" i="1"/>
  <c r="E480" i="1"/>
  <c r="G480" i="1"/>
  <c r="I480" i="1"/>
  <c r="E492" i="1"/>
  <c r="I492" i="1"/>
  <c r="E500" i="1"/>
  <c r="I500" i="1"/>
  <c r="E501" i="1"/>
  <c r="I501" i="1"/>
  <c r="E512" i="1"/>
  <c r="G512" i="1"/>
  <c r="I512" i="1"/>
  <c r="E513" i="1"/>
  <c r="G513" i="1"/>
  <c r="I513" i="1"/>
  <c r="I134" i="1"/>
  <c r="I135" i="1"/>
  <c r="I136" i="1"/>
  <c r="E152" i="1"/>
  <c r="G152" i="1"/>
  <c r="I152" i="1"/>
  <c r="E154" i="1"/>
  <c r="G154" i="1"/>
  <c r="I154" i="1"/>
  <c r="E153" i="1"/>
  <c r="G153" i="1"/>
  <c r="I153" i="1"/>
  <c r="E156" i="1"/>
  <c r="G156" i="1"/>
  <c r="I156" i="1"/>
  <c r="E157" i="1"/>
  <c r="G157" i="1"/>
  <c r="I157" i="1"/>
  <c r="E155" i="1"/>
  <c r="G155" i="1"/>
  <c r="I155" i="1"/>
  <c r="E159" i="1"/>
  <c r="G159" i="1"/>
  <c r="I159" i="1"/>
  <c r="E160" i="1"/>
  <c r="G160" i="1"/>
  <c r="I160" i="1"/>
  <c r="E158" i="1"/>
  <c r="G158" i="1"/>
  <c r="I158" i="1"/>
  <c r="E161" i="1"/>
  <c r="G161" i="1"/>
  <c r="I161" i="1"/>
  <c r="E162" i="1"/>
  <c r="G162" i="1"/>
  <c r="I162" i="1"/>
  <c r="E163" i="1"/>
  <c r="I163" i="1"/>
  <c r="E164" i="1"/>
  <c r="I164" i="1"/>
  <c r="E165" i="1"/>
  <c r="I165" i="1"/>
  <c r="E166" i="1"/>
  <c r="G166" i="1"/>
  <c r="I166" i="1"/>
  <c r="E169" i="1"/>
  <c r="G169" i="1"/>
  <c r="I169" i="1"/>
  <c r="E168" i="1"/>
  <c r="I168" i="1"/>
  <c r="E167" i="1"/>
  <c r="G167" i="1"/>
  <c r="I167" i="1"/>
  <c r="E171" i="1"/>
  <c r="G171" i="1"/>
  <c r="I171" i="1"/>
  <c r="E172" i="1"/>
  <c r="G172" i="1"/>
  <c r="I172" i="1"/>
  <c r="E170" i="1"/>
  <c r="G170" i="1"/>
  <c r="I170" i="1"/>
  <c r="E174" i="1"/>
  <c r="G174" i="1"/>
  <c r="I174" i="1"/>
  <c r="E173" i="1"/>
  <c r="G173" i="1"/>
  <c r="I173" i="1"/>
  <c r="E280" i="1"/>
  <c r="G280" i="1"/>
  <c r="I280" i="1"/>
  <c r="E281" i="1"/>
  <c r="G281" i="1"/>
  <c r="I281" i="1"/>
  <c r="E282" i="1"/>
  <c r="G282" i="1"/>
  <c r="I282" i="1"/>
  <c r="E52" i="1"/>
  <c r="I52" i="1"/>
  <c r="E53" i="1"/>
  <c r="I53" i="1"/>
  <c r="E54" i="1"/>
  <c r="I54" i="1"/>
  <c r="E55" i="1"/>
  <c r="I55" i="1"/>
  <c r="E56" i="1"/>
  <c r="I56" i="1"/>
  <c r="E57" i="1"/>
  <c r="I57" i="1"/>
  <c r="E58" i="1"/>
  <c r="I58" i="1"/>
  <c r="E59" i="1"/>
  <c r="I59" i="1"/>
  <c r="E60" i="1"/>
  <c r="I60" i="1"/>
  <c r="E147" i="1"/>
  <c r="G147" i="1"/>
  <c r="I147" i="1"/>
  <c r="E148" i="1"/>
  <c r="I148" i="1"/>
  <c r="E271" i="1"/>
  <c r="I271" i="1"/>
  <c r="E272" i="1"/>
  <c r="I272" i="1"/>
  <c r="E356" i="1"/>
  <c r="G356" i="1"/>
  <c r="I356" i="1"/>
  <c r="E357" i="1"/>
  <c r="G357" i="1"/>
  <c r="I357" i="1"/>
  <c r="E358" i="1"/>
  <c r="I358" i="1"/>
  <c r="E149" i="1"/>
  <c r="I149" i="1"/>
  <c r="E90" i="1"/>
  <c r="I90" i="1"/>
  <c r="E91" i="1"/>
  <c r="I91" i="1"/>
  <c r="E92" i="1"/>
  <c r="I92" i="1"/>
  <c r="E121" i="1"/>
  <c r="I121" i="1"/>
  <c r="E122" i="1"/>
  <c r="I122" i="1"/>
  <c r="E266" i="1"/>
  <c r="I266" i="1"/>
  <c r="E297" i="1"/>
  <c r="I297" i="1"/>
  <c r="E298" i="1"/>
  <c r="I298" i="1"/>
  <c r="E330" i="1"/>
  <c r="I330" i="1"/>
  <c r="E331" i="1"/>
  <c r="I331" i="1"/>
  <c r="E332" i="1"/>
  <c r="I332" i="1"/>
  <c r="E352" i="1"/>
  <c r="I352" i="1"/>
  <c r="E363" i="1"/>
  <c r="I363" i="1"/>
  <c r="E364" i="1"/>
  <c r="I364" i="1"/>
  <c r="E365" i="1"/>
  <c r="I365" i="1"/>
  <c r="E539" i="1"/>
  <c r="I539" i="1"/>
  <c r="E178" i="1"/>
  <c r="G178" i="1"/>
  <c r="I178" i="1"/>
  <c r="E177" i="1"/>
  <c r="G177" i="1"/>
  <c r="I177" i="1"/>
  <c r="E180" i="1"/>
  <c r="G180" i="1"/>
  <c r="I180" i="1"/>
  <c r="E179" i="1"/>
  <c r="G179" i="1"/>
  <c r="I179" i="1"/>
  <c r="E181" i="1"/>
  <c r="G181" i="1"/>
  <c r="I181" i="1"/>
  <c r="E182" i="1"/>
  <c r="G182" i="1"/>
  <c r="I182" i="1"/>
  <c r="E183" i="1"/>
  <c r="G183" i="1"/>
  <c r="I183" i="1"/>
  <c r="E184" i="1"/>
  <c r="G184" i="1"/>
  <c r="I184" i="1"/>
  <c r="E185" i="1"/>
  <c r="G185" i="1"/>
  <c r="I185" i="1"/>
  <c r="E186" i="1"/>
  <c r="G186" i="1"/>
  <c r="I186" i="1"/>
  <c r="I142" i="1"/>
  <c r="I143" i="1"/>
  <c r="I144" i="1"/>
  <c r="I145" i="1"/>
  <c r="I146" i="1"/>
  <c r="E366" i="1"/>
  <c r="I366" i="1"/>
  <c r="E367" i="1"/>
  <c r="I367" i="1"/>
  <c r="E368" i="1"/>
  <c r="I368" i="1"/>
  <c r="E463" i="1"/>
  <c r="I463" i="1"/>
  <c r="E464" i="1"/>
  <c r="I464" i="1"/>
  <c r="E187" i="1"/>
  <c r="I187" i="1"/>
  <c r="E188" i="1"/>
  <c r="I188" i="1"/>
  <c r="E189" i="1"/>
  <c r="I189" i="1"/>
  <c r="E190" i="1"/>
  <c r="I190" i="1"/>
  <c r="E191" i="1"/>
  <c r="I191" i="1"/>
  <c r="E192" i="1"/>
  <c r="I192" i="1"/>
  <c r="E193" i="1"/>
  <c r="I193" i="1"/>
  <c r="I194" i="1"/>
  <c r="I195" i="1"/>
  <c r="I196" i="1"/>
  <c r="I197" i="1"/>
  <c r="I198" i="1"/>
  <c r="I199" i="1"/>
  <c r="I201" i="1"/>
  <c r="I200" i="1"/>
  <c r="E4" i="1"/>
  <c r="E61" i="1"/>
  <c r="I61" i="1"/>
  <c r="E202" i="1"/>
  <c r="I202" i="1"/>
  <c r="E203" i="1"/>
  <c r="I203" i="1"/>
  <c r="E307" i="1"/>
  <c r="E308" i="1"/>
  <c r="E309" i="1"/>
  <c r="I309" i="1"/>
  <c r="E310" i="1"/>
  <c r="I310" i="1"/>
  <c r="E311" i="1"/>
  <c r="I311" i="1"/>
  <c r="E396" i="1"/>
  <c r="E397" i="1"/>
  <c r="I397" i="1"/>
  <c r="E398" i="1"/>
  <c r="I398" i="1"/>
  <c r="E470" i="1"/>
  <c r="E246" i="1"/>
  <c r="E247" i="1"/>
  <c r="I247" i="1"/>
  <c r="E248" i="1"/>
  <c r="I248" i="1"/>
  <c r="E405" i="1"/>
  <c r="I405" i="1"/>
  <c r="E508" i="1"/>
  <c r="G508" i="1"/>
  <c r="I508" i="1"/>
  <c r="E509" i="1"/>
  <c r="G509" i="1"/>
  <c r="I509" i="1"/>
  <c r="E510" i="1"/>
  <c r="G510" i="1"/>
  <c r="I510" i="1"/>
  <c r="E511" i="1"/>
  <c r="G511" i="1"/>
  <c r="I511" i="1"/>
  <c r="E514" i="1"/>
  <c r="G514" i="1"/>
  <c r="I514" i="1"/>
  <c r="E515" i="1"/>
  <c r="G515" i="1"/>
  <c r="I515" i="1"/>
  <c r="E516" i="1"/>
  <c r="G516" i="1"/>
  <c r="I516" i="1"/>
  <c r="E532" i="1"/>
  <c r="G532" i="1"/>
  <c r="I532" i="1"/>
  <c r="E274" i="1"/>
  <c r="G274" i="1"/>
  <c r="I274" i="1"/>
  <c r="E302" i="1"/>
  <c r="G302" i="1"/>
  <c r="I302" i="1"/>
  <c r="E303" i="1"/>
  <c r="G303" i="1"/>
  <c r="I303" i="1"/>
  <c r="E304" i="1"/>
  <c r="G304" i="1"/>
  <c r="I304" i="1"/>
  <c r="E495" i="1"/>
  <c r="G495" i="1"/>
  <c r="I495" i="1"/>
  <c r="E496" i="1"/>
  <c r="G496" i="1"/>
  <c r="I496" i="1"/>
  <c r="E497" i="1"/>
  <c r="G497" i="1"/>
  <c r="I497" i="1"/>
  <c r="E498" i="1"/>
  <c r="G498" i="1"/>
  <c r="I498" i="1"/>
  <c r="E499" i="1"/>
  <c r="G499" i="1"/>
  <c r="I499" i="1"/>
  <c r="E21" i="1"/>
  <c r="I21" i="1"/>
  <c r="E22" i="1"/>
  <c r="I22" i="1"/>
  <c r="E23" i="1"/>
  <c r="I23" i="1"/>
  <c r="E31" i="1"/>
  <c r="E32" i="1"/>
  <c r="G32" i="1"/>
  <c r="I32" i="1"/>
  <c r="E49" i="1"/>
  <c r="I49" i="1"/>
  <c r="E63" i="1"/>
  <c r="I63" i="1"/>
  <c r="E87" i="1"/>
  <c r="E107" i="1"/>
  <c r="E130" i="1"/>
  <c r="E140" i="1"/>
  <c r="E141" i="1"/>
  <c r="E245" i="1"/>
  <c r="I245" i="1"/>
  <c r="E249" i="1"/>
  <c r="I249" i="1"/>
  <c r="E250" i="1"/>
  <c r="I250" i="1"/>
  <c r="E251" i="1"/>
  <c r="I251" i="1"/>
  <c r="E261" i="1"/>
  <c r="E264" i="1"/>
  <c r="E265" i="1"/>
  <c r="E323" i="1"/>
  <c r="I323" i="1"/>
  <c r="E324" i="1"/>
  <c r="I324" i="1"/>
  <c r="E354" i="1"/>
  <c r="E355" i="1"/>
  <c r="G355" i="1"/>
  <c r="I355" i="1"/>
  <c r="E415" i="1"/>
  <c r="E416" i="1"/>
  <c r="E417" i="1"/>
  <c r="I417" i="1"/>
  <c r="E442" i="1"/>
  <c r="G442" i="1"/>
  <c r="I442" i="1"/>
  <c r="E465" i="1"/>
  <c r="G465" i="1"/>
  <c r="I465" i="1"/>
  <c r="E466" i="1"/>
  <c r="I466" i="1"/>
  <c r="E467" i="1"/>
  <c r="I467" i="1"/>
  <c r="E479" i="1"/>
  <c r="I479" i="1"/>
  <c r="E537" i="1"/>
  <c r="G537" i="1"/>
  <c r="I537" i="1"/>
  <c r="E538" i="1"/>
  <c r="E109" i="1"/>
  <c r="E110" i="1"/>
  <c r="E312" i="1"/>
  <c r="E313" i="1"/>
  <c r="I313" i="1"/>
  <c r="E314" i="1"/>
  <c r="I314" i="1"/>
  <c r="E315" i="1"/>
  <c r="I315" i="1"/>
  <c r="G305" i="1"/>
  <c r="I305" i="1"/>
  <c r="G369" i="1"/>
  <c r="I369" i="1"/>
  <c r="G370" i="1"/>
  <c r="I370" i="1"/>
  <c r="G477" i="1"/>
  <c r="G478" i="1"/>
  <c r="G487" i="1"/>
  <c r="G488" i="1"/>
  <c r="E400" i="1"/>
  <c r="E401" i="1"/>
  <c r="I401" i="1"/>
  <c r="E402" i="1"/>
  <c r="I402" i="1"/>
  <c r="E403" i="1"/>
  <c r="I403" i="1"/>
  <c r="E404" i="1"/>
  <c r="I404" i="1"/>
  <c r="E150" i="1"/>
  <c r="I150" i="1"/>
  <c r="E64" i="1"/>
  <c r="I64" i="1"/>
  <c r="E65" i="1"/>
  <c r="I65" i="1"/>
  <c r="E66" i="1"/>
  <c r="I66" i="1"/>
  <c r="E67" i="1"/>
  <c r="I67" i="1"/>
  <c r="E68" i="1"/>
  <c r="I68" i="1"/>
  <c r="E205" i="1"/>
  <c r="I205" i="1"/>
  <c r="E206" i="1"/>
  <c r="I206" i="1"/>
  <c r="E207" i="1"/>
  <c r="I207" i="1"/>
  <c r="E208" i="1"/>
  <c r="I208" i="1"/>
  <c r="E209" i="1"/>
  <c r="I209" i="1"/>
  <c r="E210" i="1"/>
  <c r="I210" i="1"/>
  <c r="E211" i="1"/>
  <c r="I211" i="1"/>
  <c r="I212" i="1"/>
  <c r="E214" i="1"/>
  <c r="I214" i="1"/>
  <c r="E213" i="1"/>
  <c r="I213" i="1"/>
  <c r="E215" i="1"/>
  <c r="I215" i="1"/>
  <c r="E216" i="1"/>
  <c r="I216" i="1"/>
  <c r="E217" i="1"/>
  <c r="I217" i="1"/>
  <c r="E218" i="1"/>
  <c r="I218" i="1"/>
  <c r="E219" i="1"/>
  <c r="I219" i="1"/>
  <c r="E220" i="1"/>
  <c r="I220" i="1"/>
  <c r="E221" i="1"/>
  <c r="I221" i="1"/>
  <c r="E222" i="1"/>
  <c r="I222" i="1"/>
  <c r="E223" i="1"/>
  <c r="I223" i="1"/>
  <c r="E224" i="1"/>
  <c r="I224" i="1"/>
  <c r="E225" i="1"/>
  <c r="I225" i="1"/>
  <c r="E226" i="1"/>
  <c r="I226" i="1"/>
  <c r="E227" i="1"/>
  <c r="I227" i="1"/>
  <c r="E228" i="1"/>
  <c r="I228" i="1"/>
  <c r="E526" i="1"/>
  <c r="I526" i="1"/>
  <c r="E527" i="1"/>
  <c r="I528" i="1"/>
  <c r="E529" i="1"/>
  <c r="I529" i="1"/>
  <c r="E530" i="1"/>
  <c r="E531" i="1"/>
  <c r="I531" i="1"/>
  <c r="E229" i="1"/>
  <c r="I229" i="1"/>
  <c r="E82" i="1"/>
  <c r="G82" i="1"/>
  <c r="I82" i="1"/>
  <c r="E83" i="1"/>
  <c r="G83" i="1"/>
  <c r="I83" i="1"/>
  <c r="E94" i="1"/>
  <c r="I94" i="1"/>
  <c r="E98" i="1"/>
  <c r="G98" i="1"/>
  <c r="I98" i="1"/>
  <c r="E99" i="1"/>
  <c r="G99" i="1"/>
  <c r="I99" i="1"/>
  <c r="E284" i="1"/>
  <c r="G284" i="1"/>
  <c r="I284" i="1"/>
  <c r="E285" i="1"/>
  <c r="I285" i="1"/>
  <c r="E343" i="1"/>
  <c r="I343" i="1"/>
  <c r="E344" i="1"/>
  <c r="I344" i="1"/>
  <c r="E345" i="1"/>
  <c r="I345" i="1"/>
  <c r="E95" i="1"/>
  <c r="G95" i="1"/>
  <c r="I95" i="1"/>
  <c r="E418" i="1"/>
  <c r="I418" i="1"/>
  <c r="E419" i="1"/>
  <c r="I419" i="1"/>
  <c r="I100" i="1"/>
  <c r="E27" i="1"/>
  <c r="I27" i="1"/>
  <c r="E28" i="1"/>
  <c r="I28" i="1"/>
  <c r="E36" i="1"/>
  <c r="G36" i="1"/>
  <c r="I36" i="1"/>
  <c r="E37" i="1"/>
  <c r="G37" i="1"/>
  <c r="I37" i="1"/>
  <c r="E38" i="1"/>
  <c r="I38" i="1"/>
  <c r="E39" i="1"/>
  <c r="I39" i="1"/>
  <c r="E80" i="1"/>
  <c r="I80" i="1"/>
  <c r="E81" i="1"/>
  <c r="I81" i="1"/>
  <c r="E262" i="1"/>
  <c r="G262" i="1"/>
  <c r="I262" i="1"/>
  <c r="E263" i="1"/>
  <c r="I263" i="1"/>
  <c r="E322" i="1"/>
  <c r="I322" i="1"/>
  <c r="E329" i="1"/>
  <c r="I329" i="1"/>
  <c r="E406" i="1"/>
  <c r="I406" i="1"/>
  <c r="E407" i="1"/>
  <c r="I407" i="1"/>
  <c r="E420" i="1"/>
  <c r="G420" i="1"/>
  <c r="I420" i="1"/>
  <c r="E424" i="1"/>
  <c r="I424" i="1"/>
  <c r="E425" i="1"/>
  <c r="I425" i="1"/>
  <c r="E426" i="1"/>
  <c r="I426" i="1"/>
  <c r="E427" i="1"/>
  <c r="I427" i="1"/>
  <c r="E436" i="1"/>
  <c r="I436" i="1"/>
  <c r="E437" i="1"/>
  <c r="I437" i="1"/>
  <c r="E438" i="1"/>
  <c r="I438" i="1"/>
  <c r="E439" i="1"/>
  <c r="I439" i="1"/>
  <c r="E440" i="1"/>
  <c r="I440" i="1"/>
  <c r="E441" i="1"/>
  <c r="I441" i="1"/>
  <c r="E448" i="1"/>
  <c r="I448" i="1"/>
  <c r="E451" i="1"/>
  <c r="I451" i="1"/>
  <c r="E452" i="1"/>
  <c r="I452" i="1"/>
  <c r="E453" i="1"/>
  <c r="I453" i="1"/>
  <c r="E454" i="1"/>
  <c r="I454" i="1"/>
  <c r="E455" i="1"/>
  <c r="I455" i="1"/>
  <c r="E482" i="1"/>
  <c r="I482" i="1"/>
  <c r="I533" i="1"/>
  <c r="E534" i="1"/>
  <c r="G534" i="1"/>
  <c r="I534" i="1"/>
  <c r="E535" i="1"/>
  <c r="G535" i="1"/>
  <c r="I535" i="1"/>
  <c r="E536" i="1"/>
  <c r="I536" i="1"/>
  <c r="E408" i="1"/>
  <c r="I408" i="1"/>
  <c r="E268" i="1"/>
  <c r="G268" i="1"/>
  <c r="I268" i="1"/>
  <c r="E269" i="1"/>
  <c r="G269" i="1"/>
  <c r="I269" i="1"/>
  <c r="E270" i="1"/>
  <c r="G270" i="1"/>
  <c r="I270" i="1"/>
  <c r="E346" i="1"/>
  <c r="G346" i="1"/>
  <c r="I346" i="1"/>
  <c r="E371" i="1"/>
  <c r="G371" i="1"/>
  <c r="I371" i="1"/>
  <c r="E372" i="1"/>
  <c r="G372" i="1"/>
  <c r="I372" i="1"/>
  <c r="E373" i="1"/>
  <c r="G373" i="1"/>
  <c r="I373" i="1"/>
  <c r="E490" i="1"/>
  <c r="G490" i="1"/>
  <c r="I490" i="1"/>
  <c r="E491" i="1"/>
  <c r="G491" i="1"/>
  <c r="I491" i="1"/>
  <c r="I286" i="1"/>
  <c r="E9" i="1"/>
  <c r="I9" i="1"/>
  <c r="E10" i="1"/>
  <c r="I10" i="1"/>
  <c r="E11" i="1"/>
  <c r="I11" i="1"/>
  <c r="E12" i="1"/>
  <c r="I12" i="1"/>
  <c r="E111" i="1"/>
  <c r="E112" i="1"/>
  <c r="E113" i="1"/>
  <c r="E114" i="1"/>
  <c r="E115" i="1"/>
  <c r="E116" i="1"/>
  <c r="E299" i="1"/>
  <c r="E300" i="1"/>
  <c r="E301" i="1"/>
  <c r="I301" i="1"/>
  <c r="E316" i="1"/>
  <c r="I316" i="1"/>
  <c r="E317" i="1"/>
  <c r="E318" i="1"/>
  <c r="I318" i="1"/>
  <c r="E319" i="1"/>
  <c r="I319" i="1"/>
  <c r="E320" i="1"/>
  <c r="I320" i="1"/>
  <c r="E321" i="1"/>
  <c r="I321" i="1"/>
  <c r="E333" i="1"/>
  <c r="I333" i="1"/>
  <c r="E334" i="1"/>
  <c r="I334" i="1"/>
  <c r="E335" i="1"/>
  <c r="I335" i="1"/>
  <c r="E341" i="1"/>
  <c r="I341" i="1"/>
  <c r="E342" i="1"/>
  <c r="I342" i="1"/>
  <c r="I24" i="1"/>
  <c r="I25" i="1"/>
  <c r="I26" i="1"/>
  <c r="E126" i="1"/>
  <c r="I126" i="1"/>
  <c r="E127" i="1"/>
  <c r="I127" i="1"/>
  <c r="E336" i="1"/>
  <c r="I336" i="1"/>
  <c r="E338" i="1"/>
  <c r="I338" i="1"/>
  <c r="E337" i="1"/>
  <c r="I337" i="1"/>
  <c r="E340" i="1"/>
  <c r="I340" i="1"/>
  <c r="E339" i="1"/>
  <c r="I339" i="1"/>
  <c r="E13" i="1"/>
  <c r="I13" i="1"/>
  <c r="I14" i="1"/>
  <c r="I15" i="1"/>
  <c r="E374" i="1"/>
  <c r="I374" i="1"/>
  <c r="E375" i="1"/>
  <c r="I375" i="1"/>
  <c r="E376" i="1"/>
  <c r="I376" i="1"/>
  <c r="E377" i="1"/>
  <c r="G377" i="1"/>
  <c r="I377" i="1"/>
  <c r="E40" i="1"/>
  <c r="E41" i="1"/>
  <c r="I41" i="1"/>
  <c r="E42" i="1"/>
  <c r="G42" i="1"/>
  <c r="I42" i="1"/>
  <c r="E43" i="1"/>
  <c r="I43" i="1"/>
  <c r="E44" i="1"/>
  <c r="I44" i="1"/>
  <c r="E45" i="1"/>
  <c r="I45" i="1"/>
  <c r="E46" i="1"/>
  <c r="I46" i="1"/>
  <c r="E50" i="1"/>
  <c r="I50" i="1"/>
  <c r="E51" i="1"/>
  <c r="G51" i="1"/>
  <c r="I51" i="1"/>
  <c r="E137" i="1"/>
  <c r="E138" i="1"/>
  <c r="G138" i="1"/>
  <c r="I138" i="1"/>
  <c r="E139" i="1"/>
  <c r="G139" i="1"/>
  <c r="I139" i="1"/>
  <c r="E97" i="1"/>
  <c r="E69" i="1"/>
  <c r="I69" i="1"/>
  <c r="E70" i="1"/>
  <c r="I70" i="1"/>
  <c r="E71" i="1"/>
  <c r="I71" i="1"/>
  <c r="E72" i="1"/>
  <c r="I72" i="1"/>
  <c r="E73" i="1"/>
  <c r="I73" i="1"/>
  <c r="E74" i="1"/>
  <c r="I74" i="1"/>
  <c r="E75" i="1"/>
  <c r="I75" i="1"/>
  <c r="E241" i="1"/>
  <c r="G241" i="1"/>
  <c r="I241" i="1"/>
  <c r="E242" i="1"/>
  <c r="G242" i="1"/>
  <c r="I242" i="1"/>
  <c r="E101" i="1"/>
  <c r="G101" i="1"/>
  <c r="I101" i="1"/>
  <c r="E102" i="1"/>
  <c r="G102" i="1"/>
  <c r="I102" i="1"/>
  <c r="E103" i="1"/>
  <c r="G103" i="1"/>
  <c r="I103" i="1"/>
  <c r="E151" i="1"/>
  <c r="G151" i="1"/>
  <c r="I151" i="1"/>
  <c r="E468" i="1"/>
  <c r="G468" i="1"/>
  <c r="I468" i="1"/>
  <c r="E469" i="1"/>
  <c r="I469" i="1"/>
  <c r="E481" i="1"/>
  <c r="G481" i="1"/>
  <c r="I481" i="1"/>
  <c r="E502" i="1"/>
  <c r="I502" i="1"/>
  <c r="E503" i="1"/>
  <c r="G503" i="1"/>
  <c r="I503" i="1"/>
  <c r="G230" i="1"/>
  <c r="E230" i="1"/>
  <c r="I230" i="1"/>
  <c r="E231" i="1"/>
  <c r="I231" i="1"/>
  <c r="G232" i="1"/>
  <c r="E232" i="1"/>
  <c r="I232" i="1"/>
  <c r="E233" i="1"/>
  <c r="I233" i="1"/>
  <c r="I234" i="1"/>
  <c r="I235" i="1"/>
  <c r="G236" i="1"/>
  <c r="I236" i="1"/>
  <c r="G237" i="1"/>
  <c r="I237" i="1"/>
  <c r="G238" i="1"/>
  <c r="I238" i="1"/>
  <c r="G471" i="1"/>
  <c r="I471" i="1"/>
  <c r="G472" i="1"/>
  <c r="I472" i="1"/>
  <c r="E473" i="1"/>
  <c r="G473" i="1"/>
  <c r="I473" i="1"/>
  <c r="E474" i="1"/>
  <c r="G474" i="1"/>
  <c r="I474" i="1"/>
  <c r="G475" i="1"/>
  <c r="I475" i="1"/>
  <c r="G476" i="1"/>
  <c r="I476" i="1"/>
  <c r="G517" i="1"/>
  <c r="I517" i="1"/>
  <c r="G518" i="1"/>
  <c r="I518" i="1"/>
  <c r="G519" i="1"/>
  <c r="I519" i="1"/>
  <c r="G520" i="1"/>
  <c r="I520" i="1"/>
  <c r="G521" i="1"/>
  <c r="I521" i="1"/>
  <c r="G522" i="1"/>
  <c r="I522" i="1"/>
  <c r="G523" i="1"/>
  <c r="I523" i="1"/>
  <c r="E443" i="1"/>
  <c r="E444" i="1"/>
  <c r="E445" i="1"/>
  <c r="I16" i="1"/>
  <c r="I17" i="1"/>
  <c r="I18" i="1"/>
  <c r="I19" i="1"/>
  <c r="I20" i="1"/>
  <c r="E378" i="1"/>
  <c r="G378" i="1"/>
  <c r="I378" i="1"/>
  <c r="E379" i="1"/>
  <c r="G379" i="1"/>
  <c r="I379" i="1"/>
  <c r="E380" i="1"/>
  <c r="G380" i="1"/>
  <c r="I380" i="1"/>
  <c r="E381" i="1"/>
  <c r="G381" i="1"/>
  <c r="I381" i="1"/>
  <c r="E382" i="1"/>
  <c r="G382" i="1"/>
  <c r="I382" i="1"/>
  <c r="E383" i="1"/>
  <c r="G383" i="1"/>
  <c r="I383" i="1"/>
  <c r="E384" i="1"/>
  <c r="G384" i="1"/>
  <c r="I384" i="1"/>
  <c r="E504" i="1"/>
  <c r="G504" i="1"/>
  <c r="I504" i="1"/>
  <c r="E505" i="1"/>
  <c r="G505" i="1"/>
  <c r="I505" i="1"/>
  <c r="E506" i="1"/>
  <c r="G506" i="1"/>
  <c r="I506" i="1"/>
  <c r="E507" i="1"/>
  <c r="G507" i="1"/>
  <c r="I507" i="1"/>
  <c r="E5" i="1"/>
  <c r="E413" i="2"/>
  <c r="E412" i="2"/>
  <c r="E408" i="2"/>
  <c r="E523" i="2"/>
  <c r="H523" i="2"/>
  <c r="G4" i="2"/>
  <c r="G9" i="2"/>
  <c r="G7" i="2"/>
  <c r="G8" i="2"/>
  <c r="G25" i="2"/>
  <c r="G24" i="2"/>
  <c r="G23" i="2"/>
  <c r="G22" i="2"/>
  <c r="G21" i="2"/>
  <c r="G20" i="2"/>
  <c r="G19" i="2"/>
  <c r="G30" i="2"/>
  <c r="G28" i="2"/>
  <c r="G29" i="2"/>
  <c r="G27" i="2"/>
  <c r="G26" i="2"/>
  <c r="G34" i="2"/>
  <c r="G33" i="2"/>
  <c r="G32" i="2"/>
  <c r="G31" i="2"/>
  <c r="G42" i="2"/>
  <c r="G39" i="2"/>
  <c r="G40" i="2"/>
  <c r="G37" i="2"/>
  <c r="G36" i="2"/>
  <c r="G35" i="2"/>
  <c r="G49" i="2"/>
  <c r="G47" i="2"/>
  <c r="G45" i="2"/>
  <c r="G44" i="2"/>
  <c r="G43" i="2"/>
  <c r="G50" i="2"/>
  <c r="G54" i="2"/>
  <c r="G53" i="2"/>
  <c r="G56" i="2"/>
  <c r="G55" i="2"/>
  <c r="G62" i="2"/>
  <c r="G63" i="2"/>
  <c r="G66" i="2"/>
  <c r="G65" i="2"/>
  <c r="G72" i="2"/>
  <c r="G71" i="2"/>
  <c r="G70" i="2"/>
  <c r="G69" i="2"/>
  <c r="G68" i="2"/>
  <c r="G67" i="2"/>
  <c r="G82" i="2"/>
  <c r="G75" i="2"/>
  <c r="G76" i="2"/>
  <c r="G101" i="2"/>
  <c r="G123" i="2"/>
  <c r="G180" i="2"/>
  <c r="G184" i="2"/>
  <c r="G174" i="2"/>
  <c r="G178" i="2"/>
  <c r="G168" i="2"/>
  <c r="G172" i="2"/>
  <c r="G166" i="2"/>
  <c r="G164" i="2"/>
  <c r="G163" i="2"/>
  <c r="G162" i="2"/>
  <c r="G159" i="2"/>
  <c r="G186" i="2"/>
  <c r="G185" i="2"/>
  <c r="G189" i="2"/>
  <c r="G197" i="2"/>
  <c r="G241" i="2"/>
  <c r="G240" i="2"/>
  <c r="G238" i="2"/>
  <c r="G256" i="2"/>
  <c r="G254" i="2"/>
  <c r="G253" i="2"/>
  <c r="G259" i="2"/>
  <c r="G263" i="2"/>
  <c r="G262" i="2"/>
  <c r="G261" i="2"/>
  <c r="G269" i="2"/>
  <c r="G275" i="2"/>
  <c r="G274" i="2"/>
  <c r="G273" i="2"/>
  <c r="G280" i="2"/>
  <c r="G292" i="2"/>
  <c r="G290" i="2"/>
  <c r="G303" i="2"/>
  <c r="G302" i="2"/>
  <c r="G387" i="2"/>
  <c r="G390" i="2"/>
  <c r="G391" i="2"/>
  <c r="G389" i="2"/>
  <c r="G372" i="2"/>
  <c r="G375" i="2"/>
  <c r="G376" i="2"/>
  <c r="G379" i="2"/>
  <c r="G380" i="2"/>
  <c r="G374" i="2"/>
  <c r="G378" i="2"/>
  <c r="G363" i="2"/>
  <c r="G369" i="2"/>
  <c r="G371" i="2"/>
  <c r="G367" i="2"/>
  <c r="G358" i="2"/>
  <c r="G349" i="2"/>
  <c r="G351" i="2"/>
  <c r="G352" i="2"/>
  <c r="G341" i="2"/>
  <c r="G340" i="2"/>
  <c r="G343" i="2"/>
  <c r="G338" i="2"/>
  <c r="G339" i="2"/>
  <c r="G332" i="2"/>
  <c r="G336" i="2"/>
  <c r="G333" i="2"/>
  <c r="G334" i="2"/>
  <c r="G326" i="2"/>
  <c r="G322" i="2"/>
  <c r="G325" i="2"/>
  <c r="G324" i="2"/>
  <c r="G320" i="2"/>
  <c r="G310" i="2"/>
  <c r="G396" i="2"/>
  <c r="G394" i="2"/>
  <c r="G407" i="2"/>
  <c r="G406" i="2"/>
  <c r="G445" i="2"/>
  <c r="G444" i="2"/>
  <c r="G443" i="2"/>
  <c r="G442" i="2"/>
  <c r="G441" i="2"/>
  <c r="G453" i="2"/>
  <c r="G462" i="2"/>
  <c r="G461" i="2"/>
  <c r="G497" i="2"/>
  <c r="G498" i="2"/>
  <c r="G494" i="2"/>
  <c r="G505" i="2"/>
  <c r="G502" i="2"/>
  <c r="G515" i="2"/>
  <c r="G544" i="2"/>
  <c r="G543" i="2"/>
  <c r="T254" i="1"/>
  <c r="E528" i="2"/>
  <c r="H528" i="2"/>
  <c r="E544" i="2"/>
  <c r="H544" i="2"/>
  <c r="E530" i="2"/>
  <c r="H530" i="2"/>
  <c r="E533" i="2"/>
  <c r="H533" i="2"/>
  <c r="E537" i="2"/>
  <c r="H537" i="2"/>
  <c r="E526" i="2"/>
  <c r="H526" i="2"/>
  <c r="H531" i="2"/>
  <c r="H535" i="2"/>
  <c r="H527" i="2"/>
  <c r="H529" i="2"/>
  <c r="H532" i="2"/>
  <c r="H534" i="2"/>
  <c r="H536" i="2"/>
  <c r="E524" i="2"/>
  <c r="H524" i="2"/>
  <c r="E525" i="2"/>
  <c r="H525" i="2"/>
  <c r="H520" i="2"/>
  <c r="H521" i="2"/>
  <c r="H522" i="2"/>
  <c r="E518" i="2"/>
  <c r="H518" i="2"/>
  <c r="E519" i="2"/>
  <c r="H519" i="2"/>
  <c r="E516" i="2"/>
  <c r="E517" i="2"/>
  <c r="E514" i="2"/>
  <c r="E515" i="2"/>
  <c r="H515" i="2"/>
  <c r="E511" i="2"/>
  <c r="E512" i="2"/>
  <c r="E513" i="2"/>
  <c r="E502" i="2"/>
  <c r="H502" i="2"/>
  <c r="E505" i="2"/>
  <c r="H505" i="2"/>
  <c r="E508" i="2"/>
  <c r="H508" i="2"/>
  <c r="E509" i="2"/>
  <c r="H509" i="2"/>
  <c r="E500" i="2"/>
  <c r="E503" i="2"/>
  <c r="E504" i="2"/>
  <c r="H504" i="2"/>
  <c r="E506" i="2"/>
  <c r="H506" i="2"/>
  <c r="E507" i="2"/>
  <c r="H507" i="2"/>
  <c r="E494" i="2"/>
  <c r="H494" i="2"/>
  <c r="E498" i="2"/>
  <c r="H498" i="2"/>
  <c r="E499" i="2"/>
  <c r="H499" i="2"/>
  <c r="E496" i="2"/>
  <c r="H496" i="2"/>
  <c r="E495" i="2"/>
  <c r="H495" i="2"/>
  <c r="E497" i="2"/>
  <c r="H497" i="2"/>
  <c r="E470" i="2"/>
  <c r="H470" i="2"/>
  <c r="E543" i="2"/>
  <c r="H543" i="2"/>
  <c r="V544" i="2"/>
  <c r="W544" i="2"/>
  <c r="V542" i="2"/>
  <c r="W542" i="2"/>
  <c r="V538" i="2"/>
  <c r="W538" i="2"/>
  <c r="X538" i="2"/>
  <c r="Y538" i="2"/>
  <c r="AB538" i="2"/>
  <c r="V539" i="2"/>
  <c r="W539" i="2"/>
  <c r="X539" i="2"/>
  <c r="Y539" i="2"/>
  <c r="AB539" i="2"/>
  <c r="V540" i="2"/>
  <c r="W540" i="2"/>
  <c r="X540" i="2"/>
  <c r="Y540" i="2"/>
  <c r="AB540" i="2"/>
  <c r="V541" i="2"/>
  <c r="W541" i="2"/>
  <c r="X541" i="2"/>
  <c r="Y541" i="2"/>
  <c r="AB541" i="2"/>
  <c r="V528" i="2"/>
  <c r="W528" i="2"/>
  <c r="V530" i="2"/>
  <c r="W530" i="2"/>
  <c r="V533" i="2"/>
  <c r="W533" i="2"/>
  <c r="V537" i="2"/>
  <c r="W537" i="2"/>
  <c r="V526" i="2"/>
  <c r="W526" i="2"/>
  <c r="V531" i="2"/>
  <c r="W531" i="2"/>
  <c r="V535" i="2"/>
  <c r="W535" i="2"/>
  <c r="V527" i="2"/>
  <c r="W527" i="2"/>
  <c r="V529" i="2"/>
  <c r="W529" i="2"/>
  <c r="V532" i="2"/>
  <c r="W532" i="2"/>
  <c r="V534" i="2"/>
  <c r="W534" i="2"/>
  <c r="V536" i="2"/>
  <c r="W536" i="2"/>
  <c r="V523" i="2"/>
  <c r="W523" i="2"/>
  <c r="V524" i="2"/>
  <c r="W524" i="2"/>
  <c r="V525" i="2"/>
  <c r="W525" i="2"/>
  <c r="V520" i="2"/>
  <c r="W520" i="2"/>
  <c r="X520" i="2"/>
  <c r="Y520" i="2"/>
  <c r="AB520" i="2"/>
  <c r="V521" i="2"/>
  <c r="W521" i="2"/>
  <c r="X521" i="2"/>
  <c r="Y521" i="2"/>
  <c r="AB521" i="2"/>
  <c r="V522" i="2"/>
  <c r="W522" i="2"/>
  <c r="X522" i="2"/>
  <c r="Y522" i="2"/>
  <c r="AB522" i="2"/>
  <c r="V518" i="2"/>
  <c r="W518" i="2"/>
  <c r="V519" i="2"/>
  <c r="W519" i="2"/>
  <c r="V516" i="2"/>
  <c r="W516" i="2"/>
  <c r="V517" i="2"/>
  <c r="W517" i="2"/>
  <c r="V514" i="2"/>
  <c r="W514" i="2"/>
  <c r="V515" i="2"/>
  <c r="W515" i="2"/>
  <c r="V511" i="2"/>
  <c r="W511" i="2"/>
  <c r="X511" i="2"/>
  <c r="Y511" i="2"/>
  <c r="AB511" i="2"/>
  <c r="V512" i="2"/>
  <c r="W512" i="2"/>
  <c r="X512" i="2"/>
  <c r="Y512" i="2"/>
  <c r="AB512" i="2"/>
  <c r="V513" i="2"/>
  <c r="W513" i="2"/>
  <c r="X513" i="2"/>
  <c r="Y513" i="2"/>
  <c r="AB513" i="2"/>
  <c r="V502" i="2"/>
  <c r="W502" i="2"/>
  <c r="X502" i="2"/>
  <c r="Y502" i="2"/>
  <c r="AB502" i="2"/>
  <c r="V505" i="2"/>
  <c r="W505" i="2"/>
  <c r="X505" i="2"/>
  <c r="Y505" i="2"/>
  <c r="AB505" i="2"/>
  <c r="V508" i="2"/>
  <c r="W508" i="2"/>
  <c r="X508" i="2"/>
  <c r="Y508" i="2"/>
  <c r="AB508" i="2"/>
  <c r="V509" i="2"/>
  <c r="W509" i="2"/>
  <c r="X509" i="2"/>
  <c r="Y509" i="2"/>
  <c r="AB509" i="2"/>
  <c r="V500" i="2"/>
  <c r="W500" i="2"/>
  <c r="X500" i="2"/>
  <c r="Y500" i="2"/>
  <c r="AB500" i="2"/>
  <c r="V501" i="2"/>
  <c r="W501" i="2"/>
  <c r="X501" i="2"/>
  <c r="Y501" i="2"/>
  <c r="AB501" i="2"/>
  <c r="V503" i="2"/>
  <c r="W503" i="2"/>
  <c r="X503" i="2"/>
  <c r="Y503" i="2"/>
  <c r="AB503" i="2"/>
  <c r="V504" i="2"/>
  <c r="W504" i="2"/>
  <c r="X504" i="2"/>
  <c r="Y504" i="2"/>
  <c r="AB504" i="2"/>
  <c r="V506" i="2"/>
  <c r="W506" i="2"/>
  <c r="X506" i="2"/>
  <c r="Y506" i="2"/>
  <c r="AB506" i="2"/>
  <c r="V507" i="2"/>
  <c r="W507" i="2"/>
  <c r="X507" i="2"/>
  <c r="Y507" i="2"/>
  <c r="AB507" i="2"/>
  <c r="V510" i="2"/>
  <c r="W510" i="2"/>
  <c r="X510" i="2"/>
  <c r="Y510" i="2"/>
  <c r="AB510" i="2"/>
  <c r="V494" i="2"/>
  <c r="W494" i="2"/>
  <c r="V498" i="2"/>
  <c r="W498" i="2"/>
  <c r="V499" i="2"/>
  <c r="W499" i="2"/>
  <c r="V496" i="2"/>
  <c r="W496" i="2"/>
  <c r="V495" i="2"/>
  <c r="W495" i="2"/>
  <c r="V497" i="2"/>
  <c r="W497" i="2"/>
  <c r="V470" i="2"/>
  <c r="W470" i="2"/>
  <c r="X470" i="2"/>
  <c r="Y470" i="2"/>
  <c r="AB470" i="2"/>
  <c r="V473" i="2"/>
  <c r="W473" i="2"/>
  <c r="X473" i="2"/>
  <c r="Y473" i="2"/>
  <c r="AB473" i="2"/>
  <c r="V479" i="2"/>
  <c r="W479" i="2"/>
  <c r="X479" i="2"/>
  <c r="Y479" i="2"/>
  <c r="AB479" i="2"/>
  <c r="V481" i="2"/>
  <c r="W481" i="2"/>
  <c r="X481" i="2"/>
  <c r="Y481" i="2"/>
  <c r="AB481" i="2"/>
  <c r="V483" i="2"/>
  <c r="W483" i="2"/>
  <c r="X483" i="2"/>
  <c r="Y483" i="2"/>
  <c r="AB483" i="2"/>
  <c r="V487" i="2"/>
  <c r="W487" i="2"/>
  <c r="X487" i="2"/>
  <c r="Y487" i="2"/>
  <c r="AB487" i="2"/>
  <c r="V489" i="2"/>
  <c r="W489" i="2"/>
  <c r="X489" i="2"/>
  <c r="Y489" i="2"/>
  <c r="AB489" i="2"/>
  <c r="V490" i="2"/>
  <c r="W490" i="2"/>
  <c r="X490" i="2"/>
  <c r="Y490" i="2"/>
  <c r="AB490" i="2"/>
  <c r="V493" i="2"/>
  <c r="W493" i="2"/>
  <c r="X493" i="2"/>
  <c r="Y493" i="2"/>
  <c r="AB493" i="2"/>
  <c r="V485" i="2"/>
  <c r="W485" i="2"/>
  <c r="X485" i="2"/>
  <c r="Y485" i="2"/>
  <c r="AB485" i="2"/>
  <c r="V468" i="2"/>
  <c r="W468" i="2"/>
  <c r="X468" i="2"/>
  <c r="Y468" i="2"/>
  <c r="AB468" i="2"/>
  <c r="V484" i="2"/>
  <c r="W484" i="2"/>
  <c r="X484" i="2"/>
  <c r="Y484" i="2"/>
  <c r="AB484" i="2"/>
  <c r="V471" i="2"/>
  <c r="W471" i="2"/>
  <c r="X471" i="2"/>
  <c r="Y471" i="2"/>
  <c r="AB471" i="2"/>
  <c r="V476" i="2"/>
  <c r="W476" i="2"/>
  <c r="X476" i="2"/>
  <c r="Y476" i="2"/>
  <c r="AB476" i="2"/>
  <c r="V478" i="2"/>
  <c r="W478" i="2"/>
  <c r="X478" i="2"/>
  <c r="Y478" i="2"/>
  <c r="AB478" i="2"/>
  <c r="V488" i="2"/>
  <c r="W488" i="2"/>
  <c r="X488" i="2"/>
  <c r="Y488" i="2"/>
  <c r="AB488" i="2"/>
  <c r="V492" i="2"/>
  <c r="W492" i="2"/>
  <c r="X492" i="2"/>
  <c r="Y492" i="2"/>
  <c r="AB492" i="2"/>
  <c r="V469" i="2"/>
  <c r="W469" i="2"/>
  <c r="X469" i="2"/>
  <c r="Y469" i="2"/>
  <c r="AB469" i="2"/>
  <c r="V472" i="2"/>
  <c r="W472" i="2"/>
  <c r="X472" i="2"/>
  <c r="Y472" i="2"/>
  <c r="AB472" i="2"/>
  <c r="V475" i="2"/>
  <c r="W475" i="2"/>
  <c r="X475" i="2"/>
  <c r="Y475" i="2"/>
  <c r="AB475" i="2"/>
  <c r="V477" i="2"/>
  <c r="W477" i="2"/>
  <c r="X477" i="2"/>
  <c r="Y477" i="2"/>
  <c r="AB477" i="2"/>
  <c r="V482" i="2"/>
  <c r="W482" i="2"/>
  <c r="X482" i="2"/>
  <c r="Y482" i="2"/>
  <c r="AB482" i="2"/>
  <c r="V486" i="2"/>
  <c r="W486" i="2"/>
  <c r="X486" i="2"/>
  <c r="Y486" i="2"/>
  <c r="AB486" i="2"/>
  <c r="V491" i="2"/>
  <c r="W491" i="2"/>
  <c r="X491" i="2"/>
  <c r="Y491" i="2"/>
  <c r="AB491" i="2"/>
  <c r="V463" i="2"/>
  <c r="W463" i="2"/>
  <c r="V465" i="2"/>
  <c r="W465" i="2"/>
  <c r="V466" i="2"/>
  <c r="W466" i="2"/>
  <c r="V464" i="2"/>
  <c r="W464" i="2"/>
  <c r="V467" i="2"/>
  <c r="W467" i="2"/>
  <c r="V461" i="2"/>
  <c r="W461" i="2"/>
  <c r="V462" i="2"/>
  <c r="W462" i="2"/>
  <c r="V460" i="2"/>
  <c r="W460" i="2"/>
  <c r="V458" i="2"/>
  <c r="W458" i="2"/>
  <c r="V459" i="2"/>
  <c r="W459" i="2"/>
  <c r="V457" i="2"/>
  <c r="W457" i="2"/>
  <c r="V452" i="2"/>
  <c r="W452" i="2"/>
  <c r="V454" i="2"/>
  <c r="W454" i="2"/>
  <c r="V450" i="2"/>
  <c r="W450" i="2"/>
  <c r="V451" i="2"/>
  <c r="W451" i="2"/>
  <c r="V456" i="2"/>
  <c r="W456" i="2"/>
  <c r="V449" i="2"/>
  <c r="W449" i="2"/>
  <c r="V455" i="2"/>
  <c r="W455" i="2"/>
  <c r="V453" i="2"/>
  <c r="W453" i="2"/>
  <c r="V447" i="2"/>
  <c r="W447" i="2"/>
  <c r="X447" i="2"/>
  <c r="Y447" i="2"/>
  <c r="AB447" i="2"/>
  <c r="V448" i="2"/>
  <c r="W448" i="2"/>
  <c r="X448" i="2"/>
  <c r="Y448" i="2"/>
  <c r="AB448" i="2"/>
  <c r="V441" i="2"/>
  <c r="W441" i="2"/>
  <c r="V444" i="2"/>
  <c r="W444" i="2"/>
  <c r="V446" i="2"/>
  <c r="W446" i="2"/>
  <c r="V442" i="2"/>
  <c r="W442" i="2"/>
  <c r="V443" i="2"/>
  <c r="W443" i="2"/>
  <c r="V445" i="2"/>
  <c r="W445" i="2"/>
  <c r="V438" i="2"/>
  <c r="W438" i="2"/>
  <c r="X438" i="2"/>
  <c r="Y438" i="2"/>
  <c r="AB438" i="2"/>
  <c r="V439" i="2"/>
  <c r="W439" i="2"/>
  <c r="X439" i="2"/>
  <c r="Y439" i="2"/>
  <c r="AB439" i="2"/>
  <c r="V440" i="2"/>
  <c r="W440" i="2"/>
  <c r="X440" i="2"/>
  <c r="Y440" i="2"/>
  <c r="AB440" i="2"/>
  <c r="V437" i="2"/>
  <c r="W437" i="2"/>
  <c r="V436" i="2"/>
  <c r="W436" i="2"/>
  <c r="V429" i="2"/>
  <c r="W429" i="2"/>
  <c r="X429" i="2"/>
  <c r="Y429" i="2"/>
  <c r="AB429" i="2"/>
  <c r="V434" i="2"/>
  <c r="W434" i="2"/>
  <c r="X434" i="2"/>
  <c r="Y434" i="2"/>
  <c r="AB434" i="2"/>
  <c r="V428" i="2"/>
  <c r="W428" i="2"/>
  <c r="X428" i="2"/>
  <c r="Y428" i="2"/>
  <c r="AB428" i="2"/>
  <c r="V430" i="2"/>
  <c r="W430" i="2"/>
  <c r="X430" i="2"/>
  <c r="Y430" i="2"/>
  <c r="AB430" i="2"/>
  <c r="V431" i="2"/>
  <c r="W431" i="2"/>
  <c r="X431" i="2"/>
  <c r="Y431" i="2"/>
  <c r="AB431" i="2"/>
  <c r="V432" i="2"/>
  <c r="W432" i="2"/>
  <c r="X432" i="2"/>
  <c r="Y432" i="2"/>
  <c r="AB432" i="2"/>
  <c r="V433" i="2"/>
  <c r="W433" i="2"/>
  <c r="X433" i="2"/>
  <c r="Y433" i="2"/>
  <c r="AB433" i="2"/>
  <c r="V435" i="2"/>
  <c r="W435" i="2"/>
  <c r="X435" i="2"/>
  <c r="Y435" i="2"/>
  <c r="AB435" i="2"/>
  <c r="V427" i="2"/>
  <c r="W427" i="2"/>
  <c r="X427" i="2"/>
  <c r="Y427" i="2"/>
  <c r="AB427" i="2"/>
  <c r="V424" i="2"/>
  <c r="W424" i="2"/>
  <c r="V425" i="2"/>
  <c r="W425" i="2"/>
  <c r="V426" i="2"/>
  <c r="W426" i="2"/>
  <c r="V418" i="2"/>
  <c r="W418" i="2"/>
  <c r="V423" i="2"/>
  <c r="W423" i="2"/>
  <c r="V417" i="2"/>
  <c r="W417" i="2"/>
  <c r="V419" i="2"/>
  <c r="W419" i="2"/>
  <c r="V420" i="2"/>
  <c r="W420" i="2"/>
  <c r="V421" i="2"/>
  <c r="W421" i="2"/>
  <c r="V422" i="2"/>
  <c r="W422" i="2"/>
  <c r="V415" i="2"/>
  <c r="W415" i="2"/>
  <c r="V416" i="2"/>
  <c r="W416" i="2"/>
  <c r="V414" i="2"/>
  <c r="W414" i="2"/>
  <c r="V409" i="2"/>
  <c r="W409" i="2"/>
  <c r="V410" i="2"/>
  <c r="W410" i="2"/>
  <c r="V411" i="2"/>
  <c r="W411" i="2"/>
  <c r="V408" i="2"/>
  <c r="W408" i="2"/>
  <c r="V412" i="2"/>
  <c r="W412" i="2"/>
  <c r="V413" i="2"/>
  <c r="W413" i="2"/>
  <c r="V405" i="2"/>
  <c r="W405" i="2"/>
  <c r="V406" i="2"/>
  <c r="W406" i="2"/>
  <c r="V407" i="2"/>
  <c r="W407" i="2"/>
  <c r="V403" i="2"/>
  <c r="W403" i="2"/>
  <c r="V404" i="2"/>
  <c r="W404" i="2"/>
  <c r="V398" i="2"/>
  <c r="W398" i="2"/>
  <c r="X398" i="2"/>
  <c r="Y398" i="2"/>
  <c r="AB398" i="2"/>
  <c r="V399" i="2"/>
  <c r="W399" i="2"/>
  <c r="X399" i="2"/>
  <c r="Y399" i="2"/>
  <c r="AB399" i="2"/>
  <c r="V400" i="2"/>
  <c r="W400" i="2"/>
  <c r="X400" i="2"/>
  <c r="Y400" i="2"/>
  <c r="AB400" i="2"/>
  <c r="V401" i="2"/>
  <c r="W401" i="2"/>
  <c r="X401" i="2"/>
  <c r="Y401" i="2"/>
  <c r="AB401" i="2"/>
  <c r="V402" i="2"/>
  <c r="W402" i="2"/>
  <c r="X402" i="2"/>
  <c r="Y402" i="2"/>
  <c r="AB402" i="2"/>
  <c r="V394" i="2"/>
  <c r="W394" i="2"/>
  <c r="V397" i="2"/>
  <c r="W397" i="2"/>
  <c r="V393" i="2"/>
  <c r="W393" i="2"/>
  <c r="V395" i="2"/>
  <c r="W395" i="2"/>
  <c r="V396" i="2"/>
  <c r="W396" i="2"/>
  <c r="V320" i="2"/>
  <c r="W320" i="2"/>
  <c r="X320" i="2"/>
  <c r="Y320" i="2"/>
  <c r="AB320" i="2"/>
  <c r="V324" i="2"/>
  <c r="W324" i="2"/>
  <c r="X324" i="2"/>
  <c r="Y324" i="2"/>
  <c r="AB324" i="2"/>
  <c r="V325" i="2"/>
  <c r="W325" i="2"/>
  <c r="X325" i="2"/>
  <c r="Y325" i="2"/>
  <c r="AB325" i="2"/>
  <c r="V334" i="2"/>
  <c r="W334" i="2"/>
  <c r="X334" i="2"/>
  <c r="Y334" i="2"/>
  <c r="AB334" i="2"/>
  <c r="V333" i="2"/>
  <c r="W333" i="2"/>
  <c r="X333" i="2"/>
  <c r="Y333" i="2"/>
  <c r="AB333" i="2"/>
  <c r="V336" i="2"/>
  <c r="W336" i="2"/>
  <c r="X336" i="2"/>
  <c r="Y336" i="2"/>
  <c r="AB336" i="2"/>
  <c r="V339" i="2"/>
  <c r="W339" i="2"/>
  <c r="X339" i="2"/>
  <c r="Y339" i="2"/>
  <c r="AB339" i="2"/>
  <c r="V338" i="2"/>
  <c r="W338" i="2"/>
  <c r="X338" i="2"/>
  <c r="Y338" i="2"/>
  <c r="AB338" i="2"/>
  <c r="V343" i="2"/>
  <c r="W343" i="2"/>
  <c r="X343" i="2"/>
  <c r="Y343" i="2"/>
  <c r="AB343" i="2"/>
  <c r="V352" i="2"/>
  <c r="W352" i="2"/>
  <c r="X352" i="2"/>
  <c r="Y352" i="2"/>
  <c r="AB352" i="2"/>
  <c r="V351" i="2"/>
  <c r="W351" i="2"/>
  <c r="X351" i="2"/>
  <c r="Y351" i="2"/>
  <c r="AB351" i="2"/>
  <c r="V353" i="2"/>
  <c r="W353" i="2"/>
  <c r="X353" i="2"/>
  <c r="Y353" i="2"/>
  <c r="AB353" i="2"/>
  <c r="V356" i="2"/>
  <c r="W356" i="2"/>
  <c r="X356" i="2"/>
  <c r="Y356" i="2"/>
  <c r="AB356" i="2"/>
  <c r="V357" i="2"/>
  <c r="W357" i="2"/>
  <c r="X357" i="2"/>
  <c r="Y357" i="2"/>
  <c r="AB357" i="2"/>
  <c r="V358" i="2"/>
  <c r="W358" i="2"/>
  <c r="X358" i="2"/>
  <c r="Y358" i="2"/>
  <c r="AB358" i="2"/>
  <c r="V367" i="2"/>
  <c r="W367" i="2"/>
  <c r="X367" i="2"/>
  <c r="Y367" i="2"/>
  <c r="AB367" i="2"/>
  <c r="V368" i="2"/>
  <c r="W368" i="2"/>
  <c r="X368" i="2"/>
  <c r="Y368" i="2"/>
  <c r="AB368" i="2"/>
  <c r="V371" i="2"/>
  <c r="W371" i="2"/>
  <c r="X371" i="2"/>
  <c r="Y371" i="2"/>
  <c r="AB371" i="2"/>
  <c r="V378" i="2"/>
  <c r="W378" i="2"/>
  <c r="X378" i="2"/>
  <c r="Y378" i="2"/>
  <c r="AB378" i="2"/>
  <c r="V374" i="2"/>
  <c r="W374" i="2"/>
  <c r="X374" i="2"/>
  <c r="Y374" i="2"/>
  <c r="AB374" i="2"/>
  <c r="V380" i="2"/>
  <c r="W380" i="2"/>
  <c r="X380" i="2"/>
  <c r="Y380" i="2"/>
  <c r="AB380" i="2"/>
  <c r="V389" i="2"/>
  <c r="W389" i="2"/>
  <c r="X389" i="2"/>
  <c r="Y389" i="2"/>
  <c r="AB389" i="2"/>
  <c r="V391" i="2"/>
  <c r="W391" i="2"/>
  <c r="X391" i="2"/>
  <c r="Y391" i="2"/>
  <c r="AB391" i="2"/>
  <c r="V306" i="2"/>
  <c r="W306" i="2"/>
  <c r="X306" i="2"/>
  <c r="Y306" i="2"/>
  <c r="AB306" i="2"/>
  <c r="V315" i="2"/>
  <c r="W315" i="2"/>
  <c r="X315" i="2"/>
  <c r="Y315" i="2"/>
  <c r="AB315" i="2"/>
  <c r="V322" i="2"/>
  <c r="W322" i="2"/>
  <c r="X322" i="2"/>
  <c r="Y322" i="2"/>
  <c r="AB322" i="2"/>
  <c r="V326" i="2"/>
  <c r="W326" i="2"/>
  <c r="X326" i="2"/>
  <c r="Y326" i="2"/>
  <c r="AB326" i="2"/>
  <c r="V340" i="2"/>
  <c r="W340" i="2"/>
  <c r="X340" i="2"/>
  <c r="Y340" i="2"/>
  <c r="AB340" i="2"/>
  <c r="V341" i="2"/>
  <c r="W341" i="2"/>
  <c r="X341" i="2"/>
  <c r="Y341" i="2"/>
  <c r="AB341" i="2"/>
  <c r="V349" i="2"/>
  <c r="W349" i="2"/>
  <c r="X349" i="2"/>
  <c r="Y349" i="2"/>
  <c r="AB349" i="2"/>
  <c r="V369" i="2"/>
  <c r="W369" i="2"/>
  <c r="X369" i="2"/>
  <c r="Y369" i="2"/>
  <c r="AB369" i="2"/>
  <c r="V379" i="2"/>
  <c r="W379" i="2"/>
  <c r="X379" i="2"/>
  <c r="Y379" i="2"/>
  <c r="AB379" i="2"/>
  <c r="V376" i="2"/>
  <c r="W376" i="2"/>
  <c r="X376" i="2"/>
  <c r="Y376" i="2"/>
  <c r="AB376" i="2"/>
  <c r="V375" i="2"/>
  <c r="W375" i="2"/>
  <c r="X375" i="2"/>
  <c r="Y375" i="2"/>
  <c r="AB375" i="2"/>
  <c r="V390" i="2"/>
  <c r="W390" i="2"/>
  <c r="X390" i="2"/>
  <c r="Y390" i="2"/>
  <c r="AB390" i="2"/>
  <c r="V309" i="2"/>
  <c r="W309" i="2"/>
  <c r="X309" i="2"/>
  <c r="Y309" i="2"/>
  <c r="AB309" i="2"/>
  <c r="V313" i="2"/>
  <c r="W313" i="2"/>
  <c r="X313" i="2"/>
  <c r="Y313" i="2"/>
  <c r="AB313" i="2"/>
  <c r="V317" i="2"/>
  <c r="W317" i="2"/>
  <c r="X317" i="2"/>
  <c r="Y317" i="2"/>
  <c r="AB317" i="2"/>
  <c r="V321" i="2"/>
  <c r="W321" i="2"/>
  <c r="X321" i="2"/>
  <c r="Y321" i="2"/>
  <c r="AB321" i="2"/>
  <c r="V331" i="2"/>
  <c r="W331" i="2"/>
  <c r="X331" i="2"/>
  <c r="Y331" i="2"/>
  <c r="AB331" i="2"/>
  <c r="V337" i="2"/>
  <c r="W337" i="2"/>
  <c r="X337" i="2"/>
  <c r="Y337" i="2"/>
  <c r="AB337" i="2"/>
  <c r="V347" i="2"/>
  <c r="W347" i="2"/>
  <c r="X347" i="2"/>
  <c r="Y347" i="2"/>
  <c r="AB347" i="2"/>
  <c r="V355" i="2"/>
  <c r="W355" i="2"/>
  <c r="X355" i="2"/>
  <c r="Y355" i="2"/>
  <c r="AB355" i="2"/>
  <c r="V359" i="2"/>
  <c r="W359" i="2"/>
  <c r="X359" i="2"/>
  <c r="Y359" i="2"/>
  <c r="AB359" i="2"/>
  <c r="V370" i="2"/>
  <c r="W370" i="2"/>
  <c r="X370" i="2"/>
  <c r="Y370" i="2"/>
  <c r="AB370" i="2"/>
  <c r="V364" i="2"/>
  <c r="W364" i="2"/>
  <c r="X364" i="2"/>
  <c r="Y364" i="2"/>
  <c r="AB364" i="2"/>
  <c r="V377" i="2"/>
  <c r="W377" i="2"/>
  <c r="X377" i="2"/>
  <c r="Y377" i="2"/>
  <c r="AB377" i="2"/>
  <c r="V373" i="2"/>
  <c r="W373" i="2"/>
  <c r="X373" i="2"/>
  <c r="Y373" i="2"/>
  <c r="AB373" i="2"/>
  <c r="V385" i="2"/>
  <c r="W385" i="2"/>
  <c r="X385" i="2"/>
  <c r="Y385" i="2"/>
  <c r="AB385" i="2"/>
  <c r="V386" i="2"/>
  <c r="W386" i="2"/>
  <c r="X386" i="2"/>
  <c r="Y386" i="2"/>
  <c r="AB386" i="2"/>
  <c r="V318" i="2"/>
  <c r="W318" i="2"/>
  <c r="X318" i="2"/>
  <c r="Y318" i="2"/>
  <c r="AB318" i="2"/>
  <c r="V382" i="2"/>
  <c r="W382" i="2"/>
  <c r="X382" i="2"/>
  <c r="Y382" i="2"/>
  <c r="AB382" i="2"/>
  <c r="V307" i="2"/>
  <c r="W307" i="2"/>
  <c r="X307" i="2"/>
  <c r="Y307" i="2"/>
  <c r="AB307" i="2"/>
  <c r="V311" i="2"/>
  <c r="W311" i="2"/>
  <c r="X311" i="2"/>
  <c r="Y311" i="2"/>
  <c r="AB311" i="2"/>
  <c r="V308" i="2"/>
  <c r="W308" i="2"/>
  <c r="X308" i="2"/>
  <c r="Y308" i="2"/>
  <c r="AB308" i="2"/>
  <c r="V314" i="2"/>
  <c r="W314" i="2"/>
  <c r="X314" i="2"/>
  <c r="Y314" i="2"/>
  <c r="AB314" i="2"/>
  <c r="V312" i="2"/>
  <c r="W312" i="2"/>
  <c r="X312" i="2"/>
  <c r="Y312" i="2"/>
  <c r="AB312" i="2"/>
  <c r="V319" i="2"/>
  <c r="W319" i="2"/>
  <c r="X319" i="2"/>
  <c r="Y319" i="2"/>
  <c r="AB319" i="2"/>
  <c r="V328" i="2"/>
  <c r="W328" i="2"/>
  <c r="X328" i="2"/>
  <c r="Y328" i="2"/>
  <c r="AB328" i="2"/>
  <c r="V327" i="2"/>
  <c r="W327" i="2"/>
  <c r="X327" i="2"/>
  <c r="Y327" i="2"/>
  <c r="AB327" i="2"/>
  <c r="V335" i="2"/>
  <c r="W335" i="2"/>
  <c r="X335" i="2"/>
  <c r="Y335" i="2"/>
  <c r="AB335" i="2"/>
  <c r="V329" i="2"/>
  <c r="W329" i="2"/>
  <c r="X329" i="2"/>
  <c r="Y329" i="2"/>
  <c r="AB329" i="2"/>
  <c r="V330" i="2"/>
  <c r="W330" i="2"/>
  <c r="X330" i="2"/>
  <c r="Y330" i="2"/>
  <c r="AB330" i="2"/>
  <c r="V342" i="2"/>
  <c r="W342" i="2"/>
  <c r="X342" i="2"/>
  <c r="Y342" i="2"/>
  <c r="AB342" i="2"/>
  <c r="V350" i="2"/>
  <c r="W350" i="2"/>
  <c r="X350" i="2"/>
  <c r="Y350" i="2"/>
  <c r="AB350" i="2"/>
  <c r="V348" i="2"/>
  <c r="W348" i="2"/>
  <c r="X348" i="2"/>
  <c r="Y348" i="2"/>
  <c r="AB348" i="2"/>
  <c r="V345" i="2"/>
  <c r="W345" i="2"/>
  <c r="X345" i="2"/>
  <c r="Y345" i="2"/>
  <c r="AB345" i="2"/>
  <c r="V361" i="2"/>
  <c r="W361" i="2"/>
  <c r="X361" i="2"/>
  <c r="Y361" i="2"/>
  <c r="AB361" i="2"/>
  <c r="V360" i="2"/>
  <c r="W360" i="2"/>
  <c r="X360" i="2"/>
  <c r="Y360" i="2"/>
  <c r="AB360" i="2"/>
  <c r="V366" i="2"/>
  <c r="W366" i="2"/>
  <c r="X366" i="2"/>
  <c r="Y366" i="2"/>
  <c r="AB366" i="2"/>
  <c r="V365" i="2"/>
  <c r="W365" i="2"/>
  <c r="X365" i="2"/>
  <c r="Y365" i="2"/>
  <c r="AB365" i="2"/>
  <c r="V362" i="2"/>
  <c r="W362" i="2"/>
  <c r="X362" i="2"/>
  <c r="Y362" i="2"/>
  <c r="AB362" i="2"/>
  <c r="V383" i="2"/>
  <c r="W383" i="2"/>
  <c r="X383" i="2"/>
  <c r="Y383" i="2"/>
  <c r="AB383" i="2"/>
  <c r="V381" i="2"/>
  <c r="W381" i="2"/>
  <c r="X381" i="2"/>
  <c r="Y381" i="2"/>
  <c r="AB381" i="2"/>
  <c r="V392" i="2"/>
  <c r="W392" i="2"/>
  <c r="X392" i="2"/>
  <c r="Y392" i="2"/>
  <c r="AB392" i="2"/>
  <c r="V388" i="2"/>
  <c r="W388" i="2"/>
  <c r="X388" i="2"/>
  <c r="Y388" i="2"/>
  <c r="AB388" i="2"/>
  <c r="V384" i="2"/>
  <c r="W384" i="2"/>
  <c r="X384" i="2"/>
  <c r="Y384" i="2"/>
  <c r="AB384" i="2"/>
  <c r="V316" i="2"/>
  <c r="W316" i="2"/>
  <c r="X316" i="2"/>
  <c r="Y316" i="2"/>
  <c r="AB316" i="2"/>
  <c r="V310" i="2"/>
  <c r="W310" i="2"/>
  <c r="X310" i="2"/>
  <c r="Y310" i="2"/>
  <c r="AB310" i="2"/>
  <c r="V323" i="2"/>
  <c r="W323" i="2"/>
  <c r="X323" i="2"/>
  <c r="Y323" i="2"/>
  <c r="AB323" i="2"/>
  <c r="V332" i="2"/>
  <c r="W332" i="2"/>
  <c r="X332" i="2"/>
  <c r="Y332" i="2"/>
  <c r="AB332" i="2"/>
  <c r="V344" i="2"/>
  <c r="W344" i="2"/>
  <c r="X344" i="2"/>
  <c r="Y344" i="2"/>
  <c r="AB344" i="2"/>
  <c r="V346" i="2"/>
  <c r="W346" i="2"/>
  <c r="X346" i="2"/>
  <c r="Y346" i="2"/>
  <c r="AB346" i="2"/>
  <c r="V354" i="2"/>
  <c r="W354" i="2"/>
  <c r="X354" i="2"/>
  <c r="Y354" i="2"/>
  <c r="AB354" i="2"/>
  <c r="V363" i="2"/>
  <c r="W363" i="2"/>
  <c r="X363" i="2"/>
  <c r="Y363" i="2"/>
  <c r="AB363" i="2"/>
  <c r="V372" i="2"/>
  <c r="W372" i="2"/>
  <c r="X372" i="2"/>
  <c r="Y372" i="2"/>
  <c r="AB372" i="2"/>
  <c r="V387" i="2"/>
  <c r="W387" i="2"/>
  <c r="X387" i="2"/>
  <c r="Y387" i="2"/>
  <c r="AB387" i="2"/>
  <c r="V304" i="2"/>
  <c r="W304" i="2"/>
  <c r="V305" i="2"/>
  <c r="W305" i="2"/>
  <c r="V302" i="2"/>
  <c r="W302" i="2"/>
  <c r="V303" i="2"/>
  <c r="W303" i="2"/>
  <c r="V301" i="2"/>
  <c r="W301" i="2"/>
  <c r="V300" i="2"/>
  <c r="W300" i="2"/>
  <c r="V299" i="2"/>
  <c r="W299" i="2"/>
  <c r="X299" i="2"/>
  <c r="Y299" i="2"/>
  <c r="AB299" i="2"/>
  <c r="V293" i="2"/>
  <c r="W293" i="2"/>
  <c r="V294" i="2"/>
  <c r="W294" i="2"/>
  <c r="V296" i="2"/>
  <c r="W296" i="2"/>
  <c r="V295" i="2"/>
  <c r="W295" i="2"/>
  <c r="V297" i="2"/>
  <c r="W297" i="2"/>
  <c r="V298" i="2"/>
  <c r="W298" i="2"/>
  <c r="V290" i="2"/>
  <c r="W290" i="2"/>
  <c r="V292" i="2"/>
  <c r="W292" i="2"/>
  <c r="V291" i="2"/>
  <c r="W291" i="2"/>
  <c r="V284" i="2"/>
  <c r="W284" i="2"/>
  <c r="X284" i="2"/>
  <c r="Y284" i="2"/>
  <c r="AB284" i="2"/>
  <c r="V287" i="2"/>
  <c r="W287" i="2"/>
  <c r="X287" i="2"/>
  <c r="Y287" i="2"/>
  <c r="AB287" i="2"/>
  <c r="V289" i="2"/>
  <c r="W289" i="2"/>
  <c r="X289" i="2"/>
  <c r="Y289" i="2"/>
  <c r="AB289" i="2"/>
  <c r="V285" i="2"/>
  <c r="W285" i="2"/>
  <c r="X285" i="2"/>
  <c r="Y285" i="2"/>
  <c r="AB285" i="2"/>
  <c r="V283" i="2"/>
  <c r="W283" i="2"/>
  <c r="X283" i="2"/>
  <c r="Y283" i="2"/>
  <c r="AB283" i="2"/>
  <c r="V286" i="2"/>
  <c r="W286" i="2"/>
  <c r="X286" i="2"/>
  <c r="Y286" i="2"/>
  <c r="AB286" i="2"/>
  <c r="V288" i="2"/>
  <c r="W288" i="2"/>
  <c r="X288" i="2"/>
  <c r="Y288" i="2"/>
  <c r="AB288" i="2"/>
  <c r="V282" i="2"/>
  <c r="W282" i="2"/>
  <c r="X282" i="2"/>
  <c r="Y282" i="2"/>
  <c r="AB282" i="2"/>
  <c r="V280" i="2"/>
  <c r="W280" i="2"/>
  <c r="V281" i="2"/>
  <c r="W281" i="2"/>
  <c r="V278" i="2"/>
  <c r="W278" i="2"/>
  <c r="V279" i="2"/>
  <c r="W279" i="2"/>
  <c r="V277" i="2"/>
  <c r="W277" i="2"/>
  <c r="V276" i="2"/>
  <c r="W276" i="2"/>
  <c r="V273" i="2"/>
  <c r="W273" i="2"/>
  <c r="V274" i="2"/>
  <c r="W274" i="2"/>
  <c r="V275" i="2"/>
  <c r="W275" i="2"/>
  <c r="V271" i="2"/>
  <c r="W271" i="2"/>
  <c r="V272" i="2"/>
  <c r="W272" i="2"/>
  <c r="V270" i="2"/>
  <c r="W270" i="2"/>
  <c r="V269" i="2"/>
  <c r="W269" i="2"/>
  <c r="V264" i="2"/>
  <c r="W264" i="2"/>
  <c r="V265" i="2"/>
  <c r="W265" i="2"/>
  <c r="V266" i="2"/>
  <c r="W266" i="2"/>
  <c r="V267" i="2"/>
  <c r="W267" i="2"/>
  <c r="V268" i="2"/>
  <c r="W268" i="2"/>
  <c r="V261" i="2"/>
  <c r="W261" i="2"/>
  <c r="X261" i="2"/>
  <c r="Y261" i="2"/>
  <c r="AB261" i="2"/>
  <c r="V262" i="2"/>
  <c r="W262" i="2"/>
  <c r="X262" i="2"/>
  <c r="Y262" i="2"/>
  <c r="AB262" i="2"/>
  <c r="V263" i="2"/>
  <c r="W263" i="2"/>
  <c r="X263" i="2"/>
  <c r="Y263" i="2"/>
  <c r="AB263" i="2"/>
  <c r="V258" i="2"/>
  <c r="W258" i="2"/>
  <c r="V259" i="2"/>
  <c r="W259" i="2"/>
  <c r="V260" i="2"/>
  <c r="W260" i="2"/>
  <c r="V257" i="2"/>
  <c r="W257" i="2"/>
  <c r="V253" i="2"/>
  <c r="W253" i="2"/>
  <c r="V254" i="2"/>
  <c r="W254" i="2"/>
  <c r="V255" i="2"/>
  <c r="W255" i="2"/>
  <c r="V256" i="2"/>
  <c r="W256" i="2"/>
  <c r="V252" i="2"/>
  <c r="W252" i="2"/>
  <c r="V246" i="2"/>
  <c r="W246" i="2"/>
  <c r="V247" i="2"/>
  <c r="W247" i="2"/>
  <c r="V249" i="2"/>
  <c r="W249" i="2"/>
  <c r="V251" i="2"/>
  <c r="W251" i="2"/>
  <c r="V248" i="2"/>
  <c r="W248" i="2"/>
  <c r="V245" i="2"/>
  <c r="W245" i="2"/>
  <c r="V250" i="2"/>
  <c r="W250" i="2"/>
  <c r="V242" i="2"/>
  <c r="W242" i="2"/>
  <c r="V243" i="2"/>
  <c r="W243" i="2"/>
  <c r="V244" i="2"/>
  <c r="W244" i="2"/>
  <c r="V238" i="2"/>
  <c r="W238" i="2"/>
  <c r="V240" i="2"/>
  <c r="W240" i="2"/>
  <c r="V241" i="2"/>
  <c r="W241" i="2"/>
  <c r="V239" i="2"/>
  <c r="W239" i="2"/>
  <c r="V228" i="2"/>
  <c r="W228" i="2"/>
  <c r="V222" i="2"/>
  <c r="W222" i="2"/>
  <c r="V225" i="2"/>
  <c r="W225" i="2"/>
  <c r="V232" i="2"/>
  <c r="W232" i="2"/>
  <c r="V234" i="2"/>
  <c r="W234" i="2"/>
  <c r="V237" i="2"/>
  <c r="W237" i="2"/>
  <c r="V223" i="2"/>
  <c r="W223" i="2"/>
  <c r="V226" i="2"/>
  <c r="W226" i="2"/>
  <c r="V233" i="2"/>
  <c r="W233" i="2"/>
  <c r="V236" i="2"/>
  <c r="W236" i="2"/>
  <c r="V224" i="2"/>
  <c r="W224" i="2"/>
  <c r="V227" i="2"/>
  <c r="W227" i="2"/>
  <c r="V229" i="2"/>
  <c r="W229" i="2"/>
  <c r="V230" i="2"/>
  <c r="W230" i="2"/>
  <c r="V231" i="2"/>
  <c r="W231" i="2"/>
  <c r="V235" i="2"/>
  <c r="W235" i="2"/>
  <c r="V221" i="2"/>
  <c r="W221" i="2"/>
  <c r="V219" i="2"/>
  <c r="W219" i="2"/>
  <c r="V220" i="2"/>
  <c r="W220" i="2"/>
  <c r="V215" i="2"/>
  <c r="W215" i="2"/>
  <c r="V216" i="2"/>
  <c r="W216" i="2"/>
  <c r="V217" i="2"/>
  <c r="W217" i="2"/>
  <c r="V218" i="2"/>
  <c r="W218" i="2"/>
  <c r="V214" i="2"/>
  <c r="W214" i="2"/>
  <c r="V211" i="2"/>
  <c r="W211" i="2"/>
  <c r="V212" i="2"/>
  <c r="W212" i="2"/>
  <c r="V213" i="2"/>
  <c r="W213" i="2"/>
  <c r="V210" i="2"/>
  <c r="W210" i="2"/>
  <c r="X210" i="2"/>
  <c r="Y210" i="2"/>
  <c r="AB210" i="2"/>
  <c r="V206" i="2"/>
  <c r="W206" i="2"/>
  <c r="V209" i="2"/>
  <c r="W209" i="2"/>
  <c r="V203" i="2"/>
  <c r="W203" i="2"/>
  <c r="V204" i="2"/>
  <c r="W204" i="2"/>
  <c r="V205" i="2"/>
  <c r="W205" i="2"/>
  <c r="V207" i="2"/>
  <c r="W207" i="2"/>
  <c r="V208" i="2"/>
  <c r="W208" i="2"/>
  <c r="V201" i="2"/>
  <c r="W201" i="2"/>
  <c r="V202" i="2"/>
  <c r="W202" i="2"/>
  <c r="V198" i="2"/>
  <c r="W198" i="2"/>
  <c r="V199" i="2"/>
  <c r="W199" i="2"/>
  <c r="V200" i="2"/>
  <c r="W200" i="2"/>
  <c r="V197" i="2"/>
  <c r="W197" i="2"/>
  <c r="V191" i="2"/>
  <c r="W191" i="2"/>
  <c r="X191" i="2"/>
  <c r="Y191" i="2"/>
  <c r="AB191" i="2"/>
  <c r="V192" i="2"/>
  <c r="W192" i="2"/>
  <c r="X192" i="2"/>
  <c r="Y192" i="2"/>
  <c r="AB192" i="2"/>
  <c r="V194" i="2"/>
  <c r="W194" i="2"/>
  <c r="X194" i="2"/>
  <c r="Y194" i="2"/>
  <c r="AB194" i="2"/>
  <c r="V195" i="2"/>
  <c r="W195" i="2"/>
  <c r="X195" i="2"/>
  <c r="Y195" i="2"/>
  <c r="AB195" i="2"/>
  <c r="V196" i="2"/>
  <c r="W196" i="2"/>
  <c r="X196" i="2"/>
  <c r="Y196" i="2"/>
  <c r="AB196" i="2"/>
  <c r="V193" i="2"/>
  <c r="W193" i="2"/>
  <c r="X193" i="2"/>
  <c r="Y193" i="2"/>
  <c r="AB193" i="2"/>
  <c r="V190" i="2"/>
  <c r="W190" i="2"/>
  <c r="X190" i="2"/>
  <c r="Y190" i="2"/>
  <c r="AB190" i="2"/>
  <c r="V188" i="2"/>
  <c r="W188" i="2"/>
  <c r="V189" i="2"/>
  <c r="W189" i="2"/>
  <c r="V185" i="2"/>
  <c r="W185" i="2"/>
  <c r="V186" i="2"/>
  <c r="W186" i="2"/>
  <c r="V187" i="2"/>
  <c r="W187" i="2"/>
  <c r="V161" i="2"/>
  <c r="W161" i="2"/>
  <c r="X161" i="2"/>
  <c r="Y161" i="2"/>
  <c r="AB161" i="2"/>
  <c r="V170" i="2"/>
  <c r="W170" i="2"/>
  <c r="X170" i="2"/>
  <c r="Y170" i="2"/>
  <c r="AB170" i="2"/>
  <c r="V176" i="2"/>
  <c r="W176" i="2"/>
  <c r="X176" i="2"/>
  <c r="Y176" i="2"/>
  <c r="AB176" i="2"/>
  <c r="V182" i="2"/>
  <c r="W182" i="2"/>
  <c r="X182" i="2"/>
  <c r="Y182" i="2"/>
  <c r="AB182" i="2"/>
  <c r="V160" i="2"/>
  <c r="W160" i="2"/>
  <c r="X160" i="2"/>
  <c r="Y160" i="2"/>
  <c r="AB160" i="2"/>
  <c r="V165" i="2"/>
  <c r="W165" i="2"/>
  <c r="X165" i="2"/>
  <c r="Y165" i="2"/>
  <c r="AB165" i="2"/>
  <c r="V171" i="2"/>
  <c r="W171" i="2"/>
  <c r="X171" i="2"/>
  <c r="Y171" i="2"/>
  <c r="AB171" i="2"/>
  <c r="V169" i="2"/>
  <c r="W169" i="2"/>
  <c r="X169" i="2"/>
  <c r="Y169" i="2"/>
  <c r="AB169" i="2"/>
  <c r="V177" i="2"/>
  <c r="W177" i="2"/>
  <c r="X177" i="2"/>
  <c r="Y177" i="2"/>
  <c r="AB177" i="2"/>
  <c r="V181" i="2"/>
  <c r="W181" i="2"/>
  <c r="X181" i="2"/>
  <c r="Y181" i="2"/>
  <c r="AB181" i="2"/>
  <c r="V175" i="2"/>
  <c r="W175" i="2"/>
  <c r="X175" i="2"/>
  <c r="Y175" i="2"/>
  <c r="AB175" i="2"/>
  <c r="V183" i="2"/>
  <c r="W183" i="2"/>
  <c r="X183" i="2"/>
  <c r="Y183" i="2"/>
  <c r="AB183" i="2"/>
  <c r="V172" i="2"/>
  <c r="W172" i="2"/>
  <c r="X172" i="2"/>
  <c r="Y172" i="2"/>
  <c r="AB172" i="2"/>
  <c r="V178" i="2"/>
  <c r="W178" i="2"/>
  <c r="X178" i="2"/>
  <c r="Y178" i="2"/>
  <c r="AB178" i="2"/>
  <c r="V184" i="2"/>
  <c r="W184" i="2"/>
  <c r="X184" i="2"/>
  <c r="Y184" i="2"/>
  <c r="AB184" i="2"/>
  <c r="V167" i="2"/>
  <c r="W167" i="2"/>
  <c r="X167" i="2"/>
  <c r="Y167" i="2"/>
  <c r="AB167" i="2"/>
  <c r="V173" i="2"/>
  <c r="W173" i="2"/>
  <c r="X173" i="2"/>
  <c r="Y173" i="2"/>
  <c r="AB173" i="2"/>
  <c r="V179" i="2"/>
  <c r="W179" i="2"/>
  <c r="X179" i="2"/>
  <c r="Y179" i="2"/>
  <c r="AB179" i="2"/>
  <c r="V163" i="2"/>
  <c r="W163" i="2"/>
  <c r="X163" i="2"/>
  <c r="Y163" i="2"/>
  <c r="AB163" i="2"/>
  <c r="V159" i="2"/>
  <c r="W159" i="2"/>
  <c r="X159" i="2"/>
  <c r="Y159" i="2"/>
  <c r="AB159" i="2"/>
  <c r="V162" i="2"/>
  <c r="W162" i="2"/>
  <c r="X162" i="2"/>
  <c r="Y162" i="2"/>
  <c r="AB162" i="2"/>
  <c r="V164" i="2"/>
  <c r="W164" i="2"/>
  <c r="X164" i="2"/>
  <c r="Y164" i="2"/>
  <c r="AB164" i="2"/>
  <c r="V166" i="2"/>
  <c r="W166" i="2"/>
  <c r="X166" i="2"/>
  <c r="Y166" i="2"/>
  <c r="AB166" i="2"/>
  <c r="V168" i="2"/>
  <c r="W168" i="2"/>
  <c r="X168" i="2"/>
  <c r="Y168" i="2"/>
  <c r="AB168" i="2"/>
  <c r="V174" i="2"/>
  <c r="W174" i="2"/>
  <c r="X174" i="2"/>
  <c r="Y174" i="2"/>
  <c r="AB174" i="2"/>
  <c r="V180" i="2"/>
  <c r="W180" i="2"/>
  <c r="X180" i="2"/>
  <c r="Y180" i="2"/>
  <c r="AB180" i="2"/>
  <c r="V156" i="2"/>
  <c r="W156" i="2"/>
  <c r="X156" i="2"/>
  <c r="Y156" i="2"/>
  <c r="AB156" i="2"/>
  <c r="V157" i="2"/>
  <c r="W157" i="2"/>
  <c r="X157" i="2"/>
  <c r="Y157" i="2"/>
  <c r="AB157" i="2"/>
  <c r="V158" i="2"/>
  <c r="W158" i="2"/>
  <c r="X158" i="2"/>
  <c r="Y158" i="2"/>
  <c r="AB158" i="2"/>
  <c r="V148" i="2"/>
  <c r="W148" i="2"/>
  <c r="X148" i="2"/>
  <c r="Y148" i="2"/>
  <c r="AB148" i="2"/>
  <c r="V151" i="2"/>
  <c r="W151" i="2"/>
  <c r="X151" i="2"/>
  <c r="Y151" i="2"/>
  <c r="AB151" i="2"/>
  <c r="V152" i="2"/>
  <c r="W152" i="2"/>
  <c r="X152" i="2"/>
  <c r="Y152" i="2"/>
  <c r="AB152" i="2"/>
  <c r="V154" i="2"/>
  <c r="W154" i="2"/>
  <c r="X154" i="2"/>
  <c r="Y154" i="2"/>
  <c r="AB154" i="2"/>
  <c r="V155" i="2"/>
  <c r="W155" i="2"/>
  <c r="X155" i="2"/>
  <c r="Y155" i="2"/>
  <c r="AB155" i="2"/>
  <c r="V149" i="2"/>
  <c r="W149" i="2"/>
  <c r="X149" i="2"/>
  <c r="Y149" i="2"/>
  <c r="AB149" i="2"/>
  <c r="V150" i="2"/>
  <c r="W150" i="2"/>
  <c r="X150" i="2"/>
  <c r="Y150" i="2"/>
  <c r="AB150" i="2"/>
  <c r="V153" i="2"/>
  <c r="W153" i="2"/>
  <c r="X153" i="2"/>
  <c r="Y153" i="2"/>
  <c r="AB153" i="2"/>
  <c r="V145" i="2"/>
  <c r="W145" i="2"/>
  <c r="V146" i="2"/>
  <c r="W146" i="2"/>
  <c r="V147" i="2"/>
  <c r="W147" i="2"/>
  <c r="V139" i="2"/>
  <c r="W139" i="2"/>
  <c r="V140" i="2"/>
  <c r="W140" i="2"/>
  <c r="V141" i="2"/>
  <c r="W141" i="2"/>
  <c r="V142" i="2"/>
  <c r="W142" i="2"/>
  <c r="V143" i="2"/>
  <c r="W143" i="2"/>
  <c r="V144" i="2"/>
  <c r="W144" i="2"/>
  <c r="V138" i="2"/>
  <c r="W138" i="2"/>
  <c r="X138" i="2"/>
  <c r="Y138" i="2"/>
  <c r="AB138" i="2"/>
  <c r="V135" i="2"/>
  <c r="W135" i="2"/>
  <c r="V136" i="2"/>
  <c r="W136" i="2"/>
  <c r="V137" i="2"/>
  <c r="W137" i="2"/>
  <c r="V132" i="2"/>
  <c r="W132" i="2"/>
  <c r="V133" i="2"/>
  <c r="W133" i="2"/>
  <c r="V134" i="2"/>
  <c r="W134" i="2"/>
  <c r="V129" i="2"/>
  <c r="W129" i="2"/>
  <c r="X129" i="2"/>
  <c r="Y129" i="2"/>
  <c r="AB129" i="2"/>
  <c r="V130" i="2"/>
  <c r="W130" i="2"/>
  <c r="X130" i="2"/>
  <c r="Y130" i="2"/>
  <c r="AB130" i="2"/>
  <c r="V131" i="2"/>
  <c r="W131" i="2"/>
  <c r="X131" i="2"/>
  <c r="Y131" i="2"/>
  <c r="AB131" i="2"/>
  <c r="V126" i="2"/>
  <c r="W126" i="2"/>
  <c r="V127" i="2"/>
  <c r="W127" i="2"/>
  <c r="V128" i="2"/>
  <c r="W128" i="2"/>
  <c r="V124" i="2"/>
  <c r="W124" i="2"/>
  <c r="V125" i="2"/>
  <c r="W125" i="2"/>
  <c r="V123" i="2"/>
  <c r="W123" i="2"/>
  <c r="V121" i="2"/>
  <c r="W121" i="2"/>
  <c r="V122" i="2"/>
  <c r="W122" i="2"/>
  <c r="V120" i="2"/>
  <c r="W120" i="2"/>
  <c r="X120" i="2"/>
  <c r="Y120" i="2"/>
  <c r="AB120" i="2"/>
  <c r="V116" i="2"/>
  <c r="W116" i="2"/>
  <c r="V117" i="2"/>
  <c r="W117" i="2"/>
  <c r="V118" i="2"/>
  <c r="W118" i="2"/>
  <c r="V119" i="2"/>
  <c r="W119" i="2"/>
  <c r="V115" i="2"/>
  <c r="W115" i="2"/>
  <c r="V103" i="2"/>
  <c r="W103" i="2"/>
  <c r="X103" i="2"/>
  <c r="Y103" i="2"/>
  <c r="AB103" i="2"/>
  <c r="V104" i="2"/>
  <c r="W104" i="2"/>
  <c r="X104" i="2"/>
  <c r="Y104" i="2"/>
  <c r="AB104" i="2"/>
  <c r="V106" i="2"/>
  <c r="W106" i="2"/>
  <c r="X106" i="2"/>
  <c r="Y106" i="2"/>
  <c r="AB106" i="2"/>
  <c r="V108" i="2"/>
  <c r="W108" i="2"/>
  <c r="X108" i="2"/>
  <c r="Y108" i="2"/>
  <c r="AB108" i="2"/>
  <c r="V109" i="2"/>
  <c r="W109" i="2"/>
  <c r="X109" i="2"/>
  <c r="Y109" i="2"/>
  <c r="AB109" i="2"/>
  <c r="V112" i="2"/>
  <c r="W112" i="2"/>
  <c r="X112" i="2"/>
  <c r="Y112" i="2"/>
  <c r="AB112" i="2"/>
  <c r="V105" i="2"/>
  <c r="W105" i="2"/>
  <c r="X105" i="2"/>
  <c r="Y105" i="2"/>
  <c r="AB105" i="2"/>
  <c r="V107" i="2"/>
  <c r="W107" i="2"/>
  <c r="X107" i="2"/>
  <c r="Y107" i="2"/>
  <c r="AB107" i="2"/>
  <c r="V110" i="2"/>
  <c r="W110" i="2"/>
  <c r="X110" i="2"/>
  <c r="Y110" i="2"/>
  <c r="AB110" i="2"/>
  <c r="V111" i="2"/>
  <c r="W111" i="2"/>
  <c r="X111" i="2"/>
  <c r="Y111" i="2"/>
  <c r="AB111" i="2"/>
  <c r="V113" i="2"/>
  <c r="W113" i="2"/>
  <c r="X113" i="2"/>
  <c r="Y113" i="2"/>
  <c r="AB113" i="2"/>
  <c r="V114" i="2"/>
  <c r="W114" i="2"/>
  <c r="X114" i="2"/>
  <c r="Y114" i="2"/>
  <c r="AB114" i="2"/>
  <c r="V101" i="2"/>
  <c r="W101" i="2"/>
  <c r="V98" i="2"/>
  <c r="W98" i="2"/>
  <c r="X98" i="2"/>
  <c r="Y98" i="2"/>
  <c r="AB98" i="2"/>
  <c r="V99" i="2"/>
  <c r="W99" i="2"/>
  <c r="X99" i="2"/>
  <c r="Y99" i="2"/>
  <c r="AB99" i="2"/>
  <c r="V100" i="2"/>
  <c r="W100" i="2"/>
  <c r="X100" i="2"/>
  <c r="Y100" i="2"/>
  <c r="AB100" i="2"/>
  <c r="V97" i="2"/>
  <c r="W97" i="2"/>
  <c r="X97" i="2"/>
  <c r="Y97" i="2"/>
  <c r="AB97" i="2"/>
  <c r="V96" i="2"/>
  <c r="W96" i="2"/>
  <c r="X96" i="2"/>
  <c r="Y96" i="2"/>
  <c r="AB96" i="2"/>
  <c r="V95" i="2"/>
  <c r="W95" i="2"/>
  <c r="V90" i="2"/>
  <c r="W90" i="2"/>
  <c r="V94" i="2"/>
  <c r="W94" i="2"/>
  <c r="V88" i="2"/>
  <c r="W88" i="2"/>
  <c r="V89" i="2"/>
  <c r="W89" i="2"/>
  <c r="V91" i="2"/>
  <c r="W91" i="2"/>
  <c r="V92" i="2"/>
  <c r="W92" i="2"/>
  <c r="V93" i="2"/>
  <c r="W93" i="2"/>
  <c r="V77" i="2"/>
  <c r="W77" i="2"/>
  <c r="X77" i="2"/>
  <c r="Y77" i="2"/>
  <c r="AB77" i="2"/>
  <c r="V78" i="2"/>
  <c r="W78" i="2"/>
  <c r="X78" i="2"/>
  <c r="Y78" i="2"/>
  <c r="AB78" i="2"/>
  <c r="V81" i="2"/>
  <c r="W81" i="2"/>
  <c r="X81" i="2"/>
  <c r="Y81" i="2"/>
  <c r="AB81" i="2"/>
  <c r="V83" i="2"/>
  <c r="W83" i="2"/>
  <c r="X83" i="2"/>
  <c r="Y83" i="2"/>
  <c r="AB83" i="2"/>
  <c r="V85" i="2"/>
  <c r="W85" i="2"/>
  <c r="X85" i="2"/>
  <c r="Y85" i="2"/>
  <c r="AB85" i="2"/>
  <c r="V74" i="2"/>
  <c r="W74" i="2"/>
  <c r="X74" i="2"/>
  <c r="Y74" i="2"/>
  <c r="AB74" i="2"/>
  <c r="V76" i="2"/>
  <c r="W76" i="2"/>
  <c r="X76" i="2"/>
  <c r="Y76" i="2"/>
  <c r="AB76" i="2"/>
  <c r="V80" i="2"/>
  <c r="W80" i="2"/>
  <c r="X80" i="2"/>
  <c r="Y80" i="2"/>
  <c r="AB80" i="2"/>
  <c r="V84" i="2"/>
  <c r="W84" i="2"/>
  <c r="X84" i="2"/>
  <c r="Y84" i="2"/>
  <c r="AB84" i="2"/>
  <c r="V75" i="2"/>
  <c r="W75" i="2"/>
  <c r="X75" i="2"/>
  <c r="Y75" i="2"/>
  <c r="AB75" i="2"/>
  <c r="V79" i="2"/>
  <c r="W79" i="2"/>
  <c r="X79" i="2"/>
  <c r="Y79" i="2"/>
  <c r="AB79" i="2"/>
  <c r="V86" i="2"/>
  <c r="W86" i="2"/>
  <c r="X86" i="2"/>
  <c r="Y86" i="2"/>
  <c r="AB86" i="2"/>
  <c r="V82" i="2"/>
  <c r="W82" i="2"/>
  <c r="X82" i="2"/>
  <c r="Y82" i="2"/>
  <c r="AB82" i="2"/>
  <c r="V87" i="2"/>
  <c r="W87" i="2"/>
  <c r="X87" i="2"/>
  <c r="Y87" i="2"/>
  <c r="AB87" i="2"/>
  <c r="V73" i="2"/>
  <c r="W73" i="2"/>
  <c r="V67" i="2"/>
  <c r="W67" i="2"/>
  <c r="V68" i="2"/>
  <c r="W68" i="2"/>
  <c r="V69" i="2"/>
  <c r="W69" i="2"/>
  <c r="V70" i="2"/>
  <c r="W70" i="2"/>
  <c r="V71" i="2"/>
  <c r="W71" i="2"/>
  <c r="V72" i="2"/>
  <c r="W72" i="2"/>
  <c r="V65" i="2"/>
  <c r="W65" i="2"/>
  <c r="V66" i="2"/>
  <c r="W66" i="2"/>
  <c r="V64" i="2"/>
  <c r="W64" i="2"/>
  <c r="V63" i="2"/>
  <c r="W63" i="2"/>
  <c r="V62" i="2"/>
  <c r="W62" i="2"/>
  <c r="V61" i="2"/>
  <c r="W61" i="2"/>
  <c r="V59" i="2"/>
  <c r="W59" i="2"/>
  <c r="V58" i="2"/>
  <c r="W58" i="2"/>
  <c r="V60" i="2"/>
  <c r="W60" i="2"/>
  <c r="V57" i="2"/>
  <c r="W57" i="2"/>
  <c r="V55" i="2"/>
  <c r="W55" i="2"/>
  <c r="V56" i="2"/>
  <c r="W56" i="2"/>
  <c r="V52" i="2"/>
  <c r="W52" i="2"/>
  <c r="V53" i="2"/>
  <c r="W53" i="2"/>
  <c r="V54" i="2"/>
  <c r="W54" i="2"/>
  <c r="V50" i="2"/>
  <c r="W50" i="2"/>
  <c r="V51" i="2"/>
  <c r="W51" i="2"/>
  <c r="V46" i="2"/>
  <c r="W46" i="2"/>
  <c r="X46" i="2"/>
  <c r="Y46" i="2"/>
  <c r="AB46" i="2"/>
  <c r="V48" i="2"/>
  <c r="W48" i="2"/>
  <c r="X48" i="2"/>
  <c r="Y48" i="2"/>
  <c r="AB48" i="2"/>
  <c r="V43" i="2"/>
  <c r="W43" i="2"/>
  <c r="X43" i="2"/>
  <c r="Y43" i="2"/>
  <c r="AB43" i="2"/>
  <c r="V44" i="2"/>
  <c r="W44" i="2"/>
  <c r="X44" i="2"/>
  <c r="Y44" i="2"/>
  <c r="AB44" i="2"/>
  <c r="V45" i="2"/>
  <c r="W45" i="2"/>
  <c r="X45" i="2"/>
  <c r="Y45" i="2"/>
  <c r="AB45" i="2"/>
  <c r="V47" i="2"/>
  <c r="W47" i="2"/>
  <c r="X47" i="2"/>
  <c r="Y47" i="2"/>
  <c r="AB47" i="2"/>
  <c r="V49" i="2"/>
  <c r="W49" i="2"/>
  <c r="X49" i="2"/>
  <c r="Y49" i="2"/>
  <c r="AB49" i="2"/>
  <c r="V35" i="2"/>
  <c r="W35" i="2"/>
  <c r="X35" i="2"/>
  <c r="Y35" i="2"/>
  <c r="AB35" i="2"/>
  <c r="V41" i="2"/>
  <c r="W41" i="2"/>
  <c r="X41" i="2"/>
  <c r="Y41" i="2"/>
  <c r="AB41" i="2"/>
  <c r="V38" i="2"/>
  <c r="W38" i="2"/>
  <c r="X38" i="2"/>
  <c r="Y38" i="2"/>
  <c r="AB38" i="2"/>
  <c r="V40" i="2"/>
  <c r="W40" i="2"/>
  <c r="X40" i="2"/>
  <c r="Y40" i="2"/>
  <c r="AB40" i="2"/>
  <c r="V36" i="2"/>
  <c r="W36" i="2"/>
  <c r="X36" i="2"/>
  <c r="Y36" i="2"/>
  <c r="AB36" i="2"/>
  <c r="V37" i="2"/>
  <c r="W37" i="2"/>
  <c r="X37" i="2"/>
  <c r="Y37" i="2"/>
  <c r="AB37" i="2"/>
  <c r="V39" i="2"/>
  <c r="W39" i="2"/>
  <c r="X39" i="2"/>
  <c r="Y39" i="2"/>
  <c r="AB39" i="2"/>
  <c r="V42" i="2"/>
  <c r="W42" i="2"/>
  <c r="X42" i="2"/>
  <c r="Y42" i="2"/>
  <c r="AB42" i="2"/>
  <c r="V31" i="2"/>
  <c r="W31" i="2"/>
  <c r="V32" i="2"/>
  <c r="W32" i="2"/>
  <c r="V33" i="2"/>
  <c r="W33" i="2"/>
  <c r="V34" i="2"/>
  <c r="W34" i="2"/>
  <c r="V26" i="2"/>
  <c r="W26" i="2"/>
  <c r="V29" i="2"/>
  <c r="W29" i="2"/>
  <c r="V27" i="2"/>
  <c r="W27" i="2"/>
  <c r="V28" i="2"/>
  <c r="W28" i="2"/>
  <c r="V30" i="2"/>
  <c r="W30" i="2"/>
  <c r="V19" i="2"/>
  <c r="W19" i="2"/>
  <c r="X19" i="2"/>
  <c r="Y19" i="2"/>
  <c r="AB19" i="2"/>
  <c r="V20" i="2"/>
  <c r="W20" i="2"/>
  <c r="X20" i="2"/>
  <c r="Y20" i="2"/>
  <c r="AB20" i="2"/>
  <c r="V21" i="2"/>
  <c r="W21" i="2"/>
  <c r="X21" i="2"/>
  <c r="Y21" i="2"/>
  <c r="AB21" i="2"/>
  <c r="V22" i="2"/>
  <c r="W22" i="2"/>
  <c r="X22" i="2"/>
  <c r="Y22" i="2"/>
  <c r="AB22" i="2"/>
  <c r="V23" i="2"/>
  <c r="W23" i="2"/>
  <c r="X23" i="2"/>
  <c r="Y23" i="2"/>
  <c r="AB23" i="2"/>
  <c r="V24" i="2"/>
  <c r="W24" i="2"/>
  <c r="X24" i="2"/>
  <c r="Y24" i="2"/>
  <c r="AB24" i="2"/>
  <c r="V25" i="2"/>
  <c r="W25" i="2"/>
  <c r="X25" i="2"/>
  <c r="Y25" i="2"/>
  <c r="AB25" i="2"/>
  <c r="V18" i="2"/>
  <c r="W18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8" i="2"/>
  <c r="W8" i="2"/>
  <c r="V6" i="2"/>
  <c r="W6" i="2"/>
  <c r="V7" i="2"/>
  <c r="W7" i="2"/>
  <c r="V9" i="2"/>
  <c r="W9" i="2"/>
  <c r="V10" i="2"/>
  <c r="W10" i="2"/>
  <c r="V4" i="2"/>
  <c r="W4" i="2"/>
  <c r="X4" i="2"/>
  <c r="Y4" i="2"/>
  <c r="AB4" i="2"/>
  <c r="V5" i="2"/>
  <c r="W5" i="2"/>
  <c r="X5" i="2"/>
  <c r="Y5" i="2"/>
  <c r="AB5" i="2"/>
  <c r="V2" i="2"/>
  <c r="W2" i="2"/>
  <c r="V3" i="2"/>
  <c r="W3" i="2"/>
  <c r="V543" i="2"/>
  <c r="W543" i="2"/>
  <c r="E471" i="2"/>
  <c r="H471" i="2"/>
  <c r="E469" i="2"/>
  <c r="H469" i="2"/>
  <c r="E461" i="2"/>
  <c r="H461" i="2"/>
  <c r="E462" i="2"/>
  <c r="H462" i="2"/>
  <c r="E457" i="2"/>
  <c r="E452" i="2"/>
  <c r="H452" i="2"/>
  <c r="E454" i="2"/>
  <c r="H454" i="2"/>
  <c r="E450" i="2"/>
  <c r="H450" i="2"/>
  <c r="E451" i="2"/>
  <c r="H451" i="2"/>
  <c r="E456" i="2"/>
  <c r="H456" i="2"/>
  <c r="E455" i="2"/>
  <c r="H455" i="2"/>
  <c r="E453" i="2"/>
  <c r="H453" i="2"/>
  <c r="E447" i="2"/>
  <c r="E448" i="2"/>
  <c r="E441" i="2"/>
  <c r="H441" i="2"/>
  <c r="E444" i="2"/>
  <c r="H444" i="2"/>
  <c r="H446" i="2"/>
  <c r="E442" i="2"/>
  <c r="H442" i="2"/>
  <c r="E443" i="2"/>
  <c r="H443" i="2"/>
  <c r="E445" i="2"/>
  <c r="H445" i="2"/>
  <c r="E438" i="2"/>
  <c r="E439" i="2"/>
  <c r="E440" i="2"/>
  <c r="E437" i="2"/>
  <c r="E429" i="2"/>
  <c r="E434" i="2"/>
  <c r="E428" i="2"/>
  <c r="E430" i="2"/>
  <c r="E431" i="2"/>
  <c r="E432" i="2"/>
  <c r="E433" i="2"/>
  <c r="E435" i="2"/>
  <c r="E424" i="2"/>
  <c r="E425" i="2"/>
  <c r="E426" i="2"/>
  <c r="E418" i="2"/>
  <c r="H418" i="2"/>
  <c r="E423" i="2"/>
  <c r="H423" i="2"/>
  <c r="E421" i="2"/>
  <c r="H421" i="2"/>
  <c r="E422" i="2"/>
  <c r="H422" i="2"/>
  <c r="E415" i="2"/>
  <c r="E416" i="2"/>
  <c r="E414" i="2"/>
  <c r="E409" i="2"/>
  <c r="E410" i="2"/>
  <c r="H410" i="2"/>
  <c r="E411" i="2"/>
  <c r="H411" i="2"/>
  <c r="H408" i="2"/>
  <c r="H412" i="2"/>
  <c r="H413" i="2"/>
  <c r="E405" i="2"/>
  <c r="E406" i="2"/>
  <c r="H406" i="2"/>
  <c r="E407" i="2"/>
  <c r="H407" i="2"/>
  <c r="E403" i="2"/>
  <c r="E404" i="2"/>
  <c r="H398" i="2"/>
  <c r="H399" i="2"/>
  <c r="H400" i="2"/>
  <c r="H401" i="2"/>
  <c r="H402" i="2"/>
  <c r="E394" i="2"/>
  <c r="H394" i="2"/>
  <c r="E397" i="2"/>
  <c r="H397" i="2"/>
  <c r="E393" i="2"/>
  <c r="H393" i="2"/>
  <c r="E395" i="2"/>
  <c r="H395" i="2"/>
  <c r="E396" i="2"/>
  <c r="H396" i="2"/>
  <c r="E320" i="2"/>
  <c r="H320" i="2"/>
  <c r="E324" i="2"/>
  <c r="H324" i="2"/>
  <c r="E325" i="2"/>
  <c r="H325" i="2"/>
  <c r="E334" i="2"/>
  <c r="H334" i="2"/>
  <c r="E333" i="2"/>
  <c r="H333" i="2"/>
  <c r="E336" i="2"/>
  <c r="H336" i="2"/>
  <c r="E339" i="2"/>
  <c r="H339" i="2"/>
  <c r="E338" i="2"/>
  <c r="H338" i="2"/>
  <c r="E343" i="2"/>
  <c r="H343" i="2"/>
  <c r="E352" i="2"/>
  <c r="H352" i="2"/>
  <c r="E351" i="2"/>
  <c r="H351" i="2"/>
  <c r="E353" i="2"/>
  <c r="H353" i="2"/>
  <c r="E356" i="2"/>
  <c r="H356" i="2"/>
  <c r="E357" i="2"/>
  <c r="H357" i="2"/>
  <c r="E358" i="2"/>
  <c r="H358" i="2"/>
  <c r="E367" i="2"/>
  <c r="H367" i="2"/>
  <c r="E368" i="2"/>
  <c r="H368" i="2"/>
  <c r="E371" i="2"/>
  <c r="H371" i="2"/>
  <c r="E378" i="2"/>
  <c r="H378" i="2"/>
  <c r="E374" i="2"/>
  <c r="H374" i="2"/>
  <c r="E380" i="2"/>
  <c r="H380" i="2"/>
  <c r="E389" i="2"/>
  <c r="H389" i="2"/>
  <c r="E391" i="2"/>
  <c r="H391" i="2"/>
  <c r="E322" i="2"/>
  <c r="H322" i="2"/>
  <c r="E326" i="2"/>
  <c r="H326" i="2"/>
  <c r="E340" i="2"/>
  <c r="H340" i="2"/>
  <c r="E341" i="2"/>
  <c r="H341" i="2"/>
  <c r="E349" i="2"/>
  <c r="H349" i="2"/>
  <c r="E369" i="2"/>
  <c r="H369" i="2"/>
  <c r="E379" i="2"/>
  <c r="H379" i="2"/>
  <c r="E376" i="2"/>
  <c r="H376" i="2"/>
  <c r="E375" i="2"/>
  <c r="H375" i="2"/>
  <c r="E390" i="2"/>
  <c r="H390" i="2"/>
  <c r="E309" i="2"/>
  <c r="H309" i="2"/>
  <c r="E313" i="2"/>
  <c r="H313" i="2"/>
  <c r="E317" i="2"/>
  <c r="H317" i="2"/>
  <c r="E321" i="2"/>
  <c r="H321" i="2"/>
  <c r="E331" i="2"/>
  <c r="H331" i="2"/>
  <c r="E337" i="2"/>
  <c r="H337" i="2"/>
  <c r="E347" i="2"/>
  <c r="H347" i="2"/>
  <c r="H355" i="2"/>
  <c r="H359" i="2"/>
  <c r="H370" i="2"/>
  <c r="H364" i="2"/>
  <c r="H377" i="2"/>
  <c r="H373" i="2"/>
  <c r="H385" i="2"/>
  <c r="H386" i="2"/>
  <c r="E318" i="2"/>
  <c r="H318" i="2"/>
  <c r="E382" i="2"/>
  <c r="H382" i="2"/>
  <c r="E311" i="2"/>
  <c r="H311" i="2"/>
  <c r="E308" i="2"/>
  <c r="H308" i="2"/>
  <c r="E314" i="2"/>
  <c r="H314" i="2"/>
  <c r="E312" i="2"/>
  <c r="H312" i="2"/>
  <c r="E319" i="2"/>
  <c r="H319" i="2"/>
  <c r="E328" i="2"/>
  <c r="H328" i="2"/>
  <c r="E327" i="2"/>
  <c r="H327" i="2"/>
  <c r="H335" i="2"/>
  <c r="E329" i="2"/>
  <c r="H329" i="2"/>
  <c r="E330" i="2"/>
  <c r="H330" i="2"/>
  <c r="E342" i="2"/>
  <c r="H342" i="2"/>
  <c r="E350" i="2"/>
  <c r="H350" i="2"/>
  <c r="E348" i="2"/>
  <c r="H348" i="2"/>
  <c r="E345" i="2"/>
  <c r="H345" i="2"/>
  <c r="E361" i="2"/>
  <c r="H361" i="2"/>
  <c r="E360" i="2"/>
  <c r="H360" i="2"/>
  <c r="E366" i="2"/>
  <c r="H366" i="2"/>
  <c r="E365" i="2"/>
  <c r="H365" i="2"/>
  <c r="E362" i="2"/>
  <c r="H362" i="2"/>
  <c r="E383" i="2"/>
  <c r="H383" i="2"/>
  <c r="E381" i="2"/>
  <c r="H381" i="2"/>
  <c r="E392" i="2"/>
  <c r="H392" i="2"/>
  <c r="E388" i="2"/>
  <c r="H388" i="2"/>
  <c r="E384" i="2"/>
  <c r="H384" i="2"/>
  <c r="E316" i="2"/>
  <c r="H316" i="2"/>
  <c r="E310" i="2"/>
  <c r="H310" i="2"/>
  <c r="E323" i="2"/>
  <c r="H323" i="2"/>
  <c r="E332" i="2"/>
  <c r="H332" i="2"/>
  <c r="E344" i="2"/>
  <c r="H344" i="2"/>
  <c r="H346" i="2"/>
  <c r="H354" i="2"/>
  <c r="H363" i="2"/>
  <c r="H372" i="2"/>
  <c r="H387" i="2"/>
  <c r="E304" i="2"/>
  <c r="E305" i="2"/>
  <c r="H305" i="2"/>
  <c r="E302" i="2"/>
  <c r="H302" i="2"/>
  <c r="E303" i="2"/>
  <c r="H303" i="2"/>
  <c r="E300" i="2"/>
  <c r="E299" i="2"/>
  <c r="H299" i="2"/>
  <c r="E293" i="2"/>
  <c r="E294" i="2"/>
  <c r="H294" i="2"/>
  <c r="E296" i="2"/>
  <c r="H296" i="2"/>
  <c r="E295" i="2"/>
  <c r="H295" i="2"/>
  <c r="E297" i="2"/>
  <c r="H297" i="2"/>
  <c r="E298" i="2"/>
  <c r="H298" i="2"/>
  <c r="E290" i="2"/>
  <c r="H290" i="2"/>
  <c r="E292" i="2"/>
  <c r="H292" i="2"/>
  <c r="E291" i="2"/>
  <c r="H291" i="2"/>
  <c r="E284" i="2"/>
  <c r="E287" i="2"/>
  <c r="E289" i="2"/>
  <c r="E285" i="2"/>
  <c r="E283" i="2"/>
  <c r="E286" i="2"/>
  <c r="E288" i="2"/>
  <c r="E282" i="2"/>
  <c r="E280" i="2"/>
  <c r="H280" i="2"/>
  <c r="E281" i="2"/>
  <c r="H281" i="2"/>
  <c r="E278" i="2"/>
  <c r="E279" i="2"/>
  <c r="E277" i="2"/>
  <c r="H277" i="2"/>
  <c r="E276" i="2"/>
  <c r="E273" i="2"/>
  <c r="H273" i="2"/>
  <c r="E274" i="2"/>
  <c r="H274" i="2"/>
  <c r="E275" i="2"/>
  <c r="H275" i="2"/>
  <c r="E271" i="2"/>
  <c r="H271" i="2"/>
  <c r="E272" i="2"/>
  <c r="H272" i="2"/>
  <c r="E269" i="2"/>
  <c r="H269" i="2"/>
  <c r="E264" i="2"/>
  <c r="E265" i="2"/>
  <c r="E266" i="2"/>
  <c r="E267" i="2"/>
  <c r="E268" i="2"/>
  <c r="E261" i="2"/>
  <c r="H261" i="2"/>
  <c r="E262" i="2"/>
  <c r="H262" i="2"/>
  <c r="E263" i="2"/>
  <c r="H263" i="2"/>
  <c r="E259" i="2"/>
  <c r="H259" i="2"/>
  <c r="E260" i="2"/>
  <c r="H260" i="2"/>
  <c r="E253" i="2"/>
  <c r="H253" i="2"/>
  <c r="E254" i="2"/>
  <c r="H254" i="2"/>
  <c r="E255" i="2"/>
  <c r="H255" i="2"/>
  <c r="E256" i="2"/>
  <c r="H256" i="2"/>
  <c r="E246" i="2"/>
  <c r="H246" i="2"/>
  <c r="E247" i="2"/>
  <c r="H247" i="2"/>
  <c r="E249" i="2"/>
  <c r="H249" i="2"/>
  <c r="E251" i="2"/>
  <c r="H251" i="2"/>
  <c r="E248" i="2"/>
  <c r="H248" i="2"/>
  <c r="E245" i="2"/>
  <c r="H245" i="2"/>
  <c r="E250" i="2"/>
  <c r="H250" i="2"/>
  <c r="E242" i="2"/>
  <c r="E243" i="2"/>
  <c r="E244" i="2"/>
  <c r="H244" i="2"/>
  <c r="E238" i="2"/>
  <c r="H238" i="2"/>
  <c r="E240" i="2"/>
  <c r="H240" i="2"/>
  <c r="E241" i="2"/>
  <c r="H241" i="2"/>
  <c r="E228" i="2"/>
  <c r="H228" i="2"/>
  <c r="E222" i="2"/>
  <c r="E225" i="2"/>
  <c r="E232" i="2"/>
  <c r="H232" i="2"/>
  <c r="E234" i="2"/>
  <c r="H234" i="2"/>
  <c r="E237" i="2"/>
  <c r="H237" i="2"/>
  <c r="E223" i="2"/>
  <c r="E233" i="2"/>
  <c r="H233" i="2"/>
  <c r="E236" i="2"/>
  <c r="H236" i="2"/>
  <c r="E227" i="2"/>
  <c r="E229" i="2"/>
  <c r="H229" i="2"/>
  <c r="E230" i="2"/>
  <c r="H230" i="2"/>
  <c r="E231" i="2"/>
  <c r="H231" i="2"/>
  <c r="E235" i="2"/>
  <c r="H235" i="2"/>
  <c r="E221" i="2"/>
  <c r="H221" i="2"/>
  <c r="E219" i="2"/>
  <c r="H219" i="2"/>
  <c r="E220" i="2"/>
  <c r="H220" i="2"/>
  <c r="E215" i="2"/>
  <c r="H215" i="2"/>
  <c r="E216" i="2"/>
  <c r="H216" i="2"/>
  <c r="E217" i="2"/>
  <c r="H217" i="2"/>
  <c r="E218" i="2"/>
  <c r="H218" i="2"/>
  <c r="E214" i="2"/>
  <c r="H214" i="2"/>
  <c r="E211" i="2"/>
  <c r="H211" i="2"/>
  <c r="E212" i="2"/>
  <c r="H212" i="2"/>
  <c r="E213" i="2"/>
  <c r="H213" i="2"/>
  <c r="E210" i="2"/>
  <c r="H210" i="2"/>
  <c r="E206" i="2"/>
  <c r="H206" i="2"/>
  <c r="E209" i="2"/>
  <c r="H209" i="2"/>
  <c r="E203" i="2"/>
  <c r="H203" i="2"/>
  <c r="E204" i="2"/>
  <c r="H204" i="2"/>
  <c r="E205" i="2"/>
  <c r="H205" i="2"/>
  <c r="E207" i="2"/>
  <c r="H207" i="2"/>
  <c r="E208" i="2"/>
  <c r="H208" i="2"/>
  <c r="E201" i="2"/>
  <c r="H201" i="2"/>
  <c r="E202" i="2"/>
  <c r="H202" i="2"/>
  <c r="E198" i="2"/>
  <c r="H198" i="2"/>
  <c r="E199" i="2"/>
  <c r="H199" i="2"/>
  <c r="E200" i="2"/>
  <c r="H200" i="2"/>
  <c r="E197" i="2"/>
  <c r="H197" i="2"/>
  <c r="E191" i="2"/>
  <c r="E192" i="2"/>
  <c r="H192" i="2"/>
  <c r="E194" i="2"/>
  <c r="H194" i="2"/>
  <c r="E195" i="2"/>
  <c r="E196" i="2"/>
  <c r="E193" i="2"/>
  <c r="H193" i="2"/>
  <c r="E188" i="2"/>
  <c r="E189" i="2"/>
  <c r="H189" i="2"/>
  <c r="E185" i="2"/>
  <c r="H185" i="2"/>
  <c r="E186" i="2"/>
  <c r="H186" i="2"/>
  <c r="E187" i="2"/>
  <c r="H187" i="2"/>
  <c r="E161" i="2"/>
  <c r="H161" i="2"/>
  <c r="E170" i="2"/>
  <c r="H170" i="2"/>
  <c r="E176" i="2"/>
  <c r="H176" i="2"/>
  <c r="E182" i="2"/>
  <c r="H182" i="2"/>
  <c r="E160" i="2"/>
  <c r="H160" i="2"/>
  <c r="E165" i="2"/>
  <c r="H165" i="2"/>
  <c r="E171" i="2"/>
  <c r="H171" i="2"/>
  <c r="E169" i="2"/>
  <c r="H169" i="2"/>
  <c r="E177" i="2"/>
  <c r="H177" i="2"/>
  <c r="E181" i="2"/>
  <c r="H181" i="2"/>
  <c r="E172" i="2"/>
  <c r="H172" i="2"/>
  <c r="E178" i="2"/>
  <c r="H178" i="2"/>
  <c r="E184" i="2"/>
  <c r="H184" i="2"/>
  <c r="E167" i="2"/>
  <c r="H167" i="2"/>
  <c r="E173" i="2"/>
  <c r="H173" i="2"/>
  <c r="E179" i="2"/>
  <c r="H179" i="2"/>
  <c r="E163" i="2"/>
  <c r="H163" i="2"/>
  <c r="E159" i="2"/>
  <c r="H159" i="2"/>
  <c r="E162" i="2"/>
  <c r="H162" i="2"/>
  <c r="E164" i="2"/>
  <c r="H164" i="2"/>
  <c r="E166" i="2"/>
  <c r="H166" i="2"/>
  <c r="E168" i="2"/>
  <c r="H168" i="2"/>
  <c r="E174" i="2"/>
  <c r="H174" i="2"/>
  <c r="E180" i="2"/>
  <c r="H180" i="2"/>
  <c r="E156" i="2"/>
  <c r="H156" i="2"/>
  <c r="E157" i="2"/>
  <c r="H157" i="2"/>
  <c r="E158" i="2"/>
  <c r="H158" i="2"/>
  <c r="E148" i="2"/>
  <c r="E151" i="2"/>
  <c r="H151" i="2"/>
  <c r="E152" i="2"/>
  <c r="H152" i="2"/>
  <c r="E154" i="2"/>
  <c r="H154" i="2"/>
  <c r="E155" i="2"/>
  <c r="H155" i="2"/>
  <c r="E149" i="2"/>
  <c r="E150" i="2"/>
  <c r="H150" i="2"/>
  <c r="E153" i="2"/>
  <c r="H153" i="2"/>
  <c r="E145" i="2"/>
  <c r="E146" i="2"/>
  <c r="H146" i="2"/>
  <c r="E147" i="2"/>
  <c r="H147" i="2"/>
  <c r="E140" i="2"/>
  <c r="E141" i="2"/>
  <c r="H141" i="2"/>
  <c r="E142" i="2"/>
  <c r="H142" i="2"/>
  <c r="E143" i="2"/>
  <c r="H143" i="2"/>
  <c r="E144" i="2"/>
  <c r="H144" i="2"/>
  <c r="E138" i="2"/>
  <c r="H138" i="2"/>
  <c r="E135" i="2"/>
  <c r="H135" i="2"/>
  <c r="E136" i="2"/>
  <c r="H136" i="2"/>
  <c r="E137" i="2"/>
  <c r="H137" i="2"/>
  <c r="E132" i="2"/>
  <c r="E133" i="2"/>
  <c r="H133" i="2"/>
  <c r="E134" i="2"/>
  <c r="H134" i="2"/>
  <c r="E129" i="2"/>
  <c r="E130" i="2"/>
  <c r="E131" i="2"/>
  <c r="E126" i="2"/>
  <c r="E127" i="2"/>
  <c r="E128" i="2"/>
  <c r="H128" i="2"/>
  <c r="E124" i="2"/>
  <c r="H124" i="2"/>
  <c r="E125" i="2"/>
  <c r="H125" i="2"/>
  <c r="E123" i="2"/>
  <c r="H123" i="2"/>
  <c r="E121" i="2"/>
  <c r="H121" i="2"/>
  <c r="E122" i="2"/>
  <c r="H122" i="2"/>
  <c r="E116" i="2"/>
  <c r="H116" i="2"/>
  <c r="E117" i="2"/>
  <c r="H117" i="2"/>
  <c r="E118" i="2"/>
  <c r="H118" i="2"/>
  <c r="E119" i="2"/>
  <c r="H119" i="2"/>
  <c r="E115" i="2"/>
  <c r="H115" i="2"/>
  <c r="E103" i="2"/>
  <c r="H103" i="2"/>
  <c r="E104" i="2"/>
  <c r="H104" i="2"/>
  <c r="E106" i="2"/>
  <c r="E108" i="2"/>
  <c r="H108" i="2"/>
  <c r="E109" i="2"/>
  <c r="H109" i="2"/>
  <c r="E112" i="2"/>
  <c r="H112" i="2"/>
  <c r="E105" i="2"/>
  <c r="H105" i="2"/>
  <c r="E107" i="2"/>
  <c r="H107" i="2"/>
  <c r="E110" i="2"/>
  <c r="H110" i="2"/>
  <c r="E111" i="2"/>
  <c r="H111" i="2"/>
  <c r="E113" i="2"/>
  <c r="H113" i="2"/>
  <c r="E114" i="2"/>
  <c r="H114" i="2"/>
  <c r="E101" i="2"/>
  <c r="H101" i="2"/>
  <c r="E98" i="2"/>
  <c r="E99" i="2"/>
  <c r="E100" i="2"/>
  <c r="E95" i="2"/>
  <c r="H95" i="2"/>
  <c r="E90" i="2"/>
  <c r="H90" i="2"/>
  <c r="E94" i="2"/>
  <c r="H94" i="2"/>
  <c r="E88" i="2"/>
  <c r="H88" i="2"/>
  <c r="E89" i="2"/>
  <c r="H89" i="2"/>
  <c r="E91" i="2"/>
  <c r="H91" i="2"/>
  <c r="E92" i="2"/>
  <c r="H92" i="2"/>
  <c r="E93" i="2"/>
  <c r="H93" i="2"/>
  <c r="E77" i="2"/>
  <c r="H77" i="2"/>
  <c r="E78" i="2"/>
  <c r="H78" i="2"/>
  <c r="E81" i="2"/>
  <c r="H81" i="2"/>
  <c r="E83" i="2"/>
  <c r="H83" i="2"/>
  <c r="E85" i="2"/>
  <c r="H85" i="2"/>
  <c r="E74" i="2"/>
  <c r="E76" i="2"/>
  <c r="H76" i="2"/>
  <c r="E80" i="2"/>
  <c r="H80" i="2"/>
  <c r="E84" i="2"/>
  <c r="H84" i="2"/>
  <c r="E75" i="2"/>
  <c r="H75" i="2"/>
  <c r="E79" i="2"/>
  <c r="H79" i="2"/>
  <c r="E86" i="2"/>
  <c r="H86" i="2"/>
  <c r="E82" i="2"/>
  <c r="H82" i="2"/>
  <c r="E87" i="2"/>
  <c r="H87" i="2"/>
  <c r="E73" i="2"/>
  <c r="H67" i="2"/>
  <c r="H68" i="2"/>
  <c r="E69" i="2"/>
  <c r="H69" i="2"/>
  <c r="E70" i="2"/>
  <c r="H70" i="2"/>
  <c r="H71" i="2"/>
  <c r="H72" i="2"/>
  <c r="E64" i="2"/>
  <c r="H64" i="2"/>
  <c r="E63" i="2"/>
  <c r="H63" i="2"/>
  <c r="E62" i="2"/>
  <c r="H62" i="2"/>
  <c r="E61" i="2"/>
  <c r="H61" i="2"/>
  <c r="E59" i="2"/>
  <c r="E58" i="2"/>
  <c r="E60" i="2"/>
  <c r="E53" i="2"/>
  <c r="H53" i="2"/>
  <c r="E54" i="2"/>
  <c r="H54" i="2"/>
  <c r="E50" i="2"/>
  <c r="H50" i="2"/>
  <c r="E51" i="2"/>
  <c r="H51" i="2"/>
  <c r="E46" i="2"/>
  <c r="H46" i="2"/>
  <c r="E48" i="2"/>
  <c r="H48" i="2"/>
  <c r="E43" i="2"/>
  <c r="H43" i="2"/>
  <c r="E44" i="2"/>
  <c r="H44" i="2"/>
  <c r="E45" i="2"/>
  <c r="H45" i="2"/>
  <c r="E47" i="2"/>
  <c r="H47" i="2"/>
  <c r="E49" i="2"/>
  <c r="H49" i="2"/>
  <c r="E35" i="2"/>
  <c r="H35" i="2"/>
  <c r="E41" i="2"/>
  <c r="H41" i="2"/>
  <c r="E38" i="2"/>
  <c r="H38" i="2"/>
  <c r="E40" i="2"/>
  <c r="H40" i="2"/>
  <c r="E36" i="2"/>
  <c r="H36" i="2"/>
  <c r="E37" i="2"/>
  <c r="H37" i="2"/>
  <c r="E39" i="2"/>
  <c r="H39" i="2"/>
  <c r="E42" i="2"/>
  <c r="H42" i="2"/>
  <c r="E31" i="2"/>
  <c r="H31" i="2"/>
  <c r="E32" i="2"/>
  <c r="H32" i="2"/>
  <c r="E33" i="2"/>
  <c r="H33" i="2"/>
  <c r="E34" i="2"/>
  <c r="H34" i="2"/>
  <c r="E26" i="2"/>
  <c r="H26" i="2"/>
  <c r="E29" i="2"/>
  <c r="H29" i="2"/>
  <c r="E27" i="2"/>
  <c r="H27" i="2"/>
  <c r="E28" i="2"/>
  <c r="H28" i="2"/>
  <c r="E30" i="2"/>
  <c r="H30" i="2"/>
  <c r="H19" i="2"/>
  <c r="H20" i="2"/>
  <c r="H21" i="2"/>
  <c r="H22" i="2"/>
  <c r="H23" i="2"/>
  <c r="H24" i="2"/>
  <c r="H25" i="2"/>
  <c r="E12" i="2"/>
  <c r="H12" i="2"/>
  <c r="E13" i="2"/>
  <c r="H14" i="2"/>
  <c r="E15" i="2"/>
  <c r="H15" i="2"/>
  <c r="E16" i="2"/>
  <c r="E17" i="2"/>
  <c r="H17" i="2"/>
  <c r="E8" i="2"/>
  <c r="H8" i="2"/>
  <c r="H6" i="2"/>
  <c r="E7" i="2"/>
  <c r="H7" i="2"/>
  <c r="E9" i="2"/>
  <c r="H9" i="2"/>
  <c r="E10" i="2"/>
  <c r="H10" i="2"/>
  <c r="E4" i="2"/>
  <c r="H4" i="2"/>
  <c r="E2" i="2"/>
  <c r="H2" i="2"/>
  <c r="E3" i="2"/>
  <c r="H3" i="2"/>
  <c r="R538" i="2"/>
  <c r="R539" i="2"/>
  <c r="R284" i="2"/>
  <c r="R191" i="2"/>
  <c r="R161" i="2"/>
  <c r="R151" i="2"/>
  <c r="R77" i="2"/>
  <c r="R192" i="2"/>
  <c r="R78" i="2"/>
  <c r="R194" i="2"/>
  <c r="R170" i="2"/>
  <c r="R152" i="2"/>
  <c r="R81" i="2"/>
  <c r="R540" i="2"/>
  <c r="R287" i="2"/>
  <c r="R195" i="2"/>
  <c r="R176" i="2"/>
  <c r="R154" i="2"/>
  <c r="R83" i="2"/>
  <c r="R541" i="2"/>
  <c r="R289" i="2"/>
  <c r="R196" i="2"/>
  <c r="R182" i="2"/>
  <c r="R155" i="2"/>
  <c r="R85" i="2"/>
  <c r="R511" i="2"/>
  <c r="R156" i="2"/>
  <c r="R129" i="2"/>
  <c r="R46" i="2"/>
  <c r="R130" i="2"/>
  <c r="R512" i="2"/>
  <c r="R157" i="2"/>
  <c r="R131" i="2"/>
  <c r="R48" i="2"/>
  <c r="R513" i="2"/>
  <c r="R285" i="2"/>
  <c r="R158" i="2"/>
  <c r="R103" i="2"/>
  <c r="R438" i="2"/>
  <c r="R283" i="2"/>
  <c r="R149" i="2"/>
  <c r="R104" i="2"/>
  <c r="R74" i="2"/>
  <c r="R106" i="2"/>
  <c r="R150" i="2"/>
  <c r="R108" i="2"/>
  <c r="R439" i="2"/>
  <c r="R109" i="2"/>
  <c r="R440" i="2"/>
  <c r="R286" i="2"/>
  <c r="R153" i="2"/>
  <c r="R112" i="2"/>
  <c r="R288" i="2"/>
  <c r="R76" i="2"/>
  <c r="R35" i="2"/>
  <c r="R41" i="2"/>
  <c r="R320" i="2"/>
  <c r="R324" i="2"/>
  <c r="R325" i="2"/>
  <c r="R334" i="2"/>
  <c r="R333" i="2"/>
  <c r="R336" i="2"/>
  <c r="R339" i="2"/>
  <c r="R338" i="2"/>
  <c r="R343" i="2"/>
  <c r="R352" i="2"/>
  <c r="R351" i="2"/>
  <c r="R353" i="2"/>
  <c r="R356" i="2"/>
  <c r="R357" i="2"/>
  <c r="R358" i="2"/>
  <c r="R367" i="2"/>
  <c r="R368" i="2"/>
  <c r="R371" i="2"/>
  <c r="R378" i="2"/>
  <c r="R374" i="2"/>
  <c r="R380" i="2"/>
  <c r="R389" i="2"/>
  <c r="R391" i="2"/>
  <c r="R306" i="2"/>
  <c r="R315" i="2"/>
  <c r="R190" i="2"/>
  <c r="R97" i="2"/>
  <c r="R261" i="2"/>
  <c r="R262" i="2"/>
  <c r="R263" i="2"/>
  <c r="R470" i="2"/>
  <c r="R473" i="2"/>
  <c r="R479" i="2"/>
  <c r="R481" i="2"/>
  <c r="R483" i="2"/>
  <c r="R487" i="2"/>
  <c r="R489" i="2"/>
  <c r="R490" i="2"/>
  <c r="R493" i="2"/>
  <c r="R160" i="2"/>
  <c r="R193" i="2"/>
  <c r="R165" i="2"/>
  <c r="R171" i="2"/>
  <c r="R322" i="2"/>
  <c r="R326" i="2"/>
  <c r="R340" i="2"/>
  <c r="R341" i="2"/>
  <c r="R349" i="2"/>
  <c r="R369" i="2"/>
  <c r="R379" i="2"/>
  <c r="R376" i="2"/>
  <c r="R375" i="2"/>
  <c r="R390" i="2"/>
  <c r="R398" i="2"/>
  <c r="R399" i="2"/>
  <c r="R400" i="2"/>
  <c r="R401" i="2"/>
  <c r="R402" i="2"/>
  <c r="R169" i="2"/>
  <c r="R80" i="2"/>
  <c r="R177" i="2"/>
  <c r="R181" i="2"/>
  <c r="R84" i="2"/>
  <c r="R309" i="2"/>
  <c r="R313" i="2"/>
  <c r="R317" i="2"/>
  <c r="R321" i="2"/>
  <c r="R331" i="2"/>
  <c r="R337" i="2"/>
  <c r="R347" i="2"/>
  <c r="R355" i="2"/>
  <c r="R359" i="2"/>
  <c r="R370" i="2"/>
  <c r="R364" i="2"/>
  <c r="R377" i="2"/>
  <c r="R373" i="2"/>
  <c r="R385" i="2"/>
  <c r="R386" i="2"/>
  <c r="R318" i="2"/>
  <c r="R485" i="2"/>
  <c r="R382" i="2"/>
  <c r="R138" i="2"/>
  <c r="R468" i="2"/>
  <c r="R427" i="2"/>
  <c r="R307" i="2"/>
  <c r="R120" i="2"/>
  <c r="R96" i="2"/>
  <c r="R43" i="2"/>
  <c r="R44" i="2"/>
  <c r="R45" i="2"/>
  <c r="R47" i="2"/>
  <c r="R49" i="2"/>
  <c r="R4" i="2"/>
  <c r="R75" i="2"/>
  <c r="R484" i="2"/>
  <c r="R299" i="2"/>
  <c r="R79" i="2"/>
  <c r="R5" i="2"/>
  <c r="R282" i="2"/>
  <c r="R86" i="2"/>
  <c r="R429" i="2"/>
  <c r="R434" i="2"/>
  <c r="R175" i="2"/>
  <c r="R183" i="2"/>
  <c r="R471" i="2"/>
  <c r="R311" i="2"/>
  <c r="R308" i="2"/>
  <c r="R314" i="2"/>
  <c r="R312" i="2"/>
  <c r="R319" i="2"/>
  <c r="R328" i="2"/>
  <c r="R327" i="2"/>
  <c r="R476" i="2"/>
  <c r="R335" i="2"/>
  <c r="R329" i="2"/>
  <c r="R330" i="2"/>
  <c r="R342" i="2"/>
  <c r="R478" i="2"/>
  <c r="R350" i="2"/>
  <c r="R348" i="2"/>
  <c r="R345" i="2"/>
  <c r="R488" i="2"/>
  <c r="R361" i="2"/>
  <c r="R360" i="2"/>
  <c r="R492" i="2"/>
  <c r="R366" i="2"/>
  <c r="R365" i="2"/>
  <c r="R362" i="2"/>
  <c r="R383" i="2"/>
  <c r="R381" i="2"/>
  <c r="R392" i="2"/>
  <c r="R388" i="2"/>
  <c r="R384" i="2"/>
  <c r="R316" i="2"/>
  <c r="R105" i="2"/>
  <c r="R502" i="2"/>
  <c r="R107" i="2"/>
  <c r="R110" i="2"/>
  <c r="R111" i="2"/>
  <c r="R505" i="2"/>
  <c r="R508" i="2"/>
  <c r="R113" i="2"/>
  <c r="R509" i="2"/>
  <c r="R114" i="2"/>
  <c r="R172" i="2"/>
  <c r="R178" i="2"/>
  <c r="R184" i="2"/>
  <c r="R428" i="2"/>
  <c r="R430" i="2"/>
  <c r="R431" i="2"/>
  <c r="R432" i="2"/>
  <c r="R433" i="2"/>
  <c r="R435" i="2"/>
  <c r="R210" i="2"/>
  <c r="R520" i="2"/>
  <c r="R521" i="2"/>
  <c r="R522" i="2"/>
  <c r="R167" i="2"/>
  <c r="R173" i="2"/>
  <c r="R179" i="2"/>
  <c r="R163" i="2"/>
  <c r="R500" i="2"/>
  <c r="R501" i="2"/>
  <c r="R503" i="2"/>
  <c r="R504" i="2"/>
  <c r="R506" i="2"/>
  <c r="R507" i="2"/>
  <c r="R510" i="2"/>
  <c r="R448" i="2"/>
  <c r="R469" i="2"/>
  <c r="R472" i="2"/>
  <c r="R475" i="2"/>
  <c r="R477" i="2"/>
  <c r="R482" i="2"/>
  <c r="R486" i="2"/>
  <c r="R491" i="2"/>
  <c r="R38" i="2"/>
  <c r="R82" i="2"/>
  <c r="R40" i="2"/>
  <c r="R87" i="2"/>
  <c r="R310" i="2"/>
  <c r="R19" i="2"/>
  <c r="R323" i="2"/>
  <c r="R332" i="2"/>
  <c r="R344" i="2"/>
  <c r="R20" i="2"/>
  <c r="R346" i="2"/>
  <c r="R21" i="2"/>
  <c r="R354" i="2"/>
  <c r="R22" i="2"/>
  <c r="R363" i="2"/>
  <c r="R23" i="2"/>
  <c r="R372" i="2"/>
  <c r="R24" i="2"/>
  <c r="R387" i="2"/>
  <c r="R25" i="2"/>
  <c r="R98" i="2"/>
  <c r="R99" i="2"/>
  <c r="R100" i="2"/>
  <c r="R159" i="2"/>
  <c r="R162" i="2"/>
  <c r="R36" i="2"/>
  <c r="R164" i="2"/>
  <c r="R166" i="2"/>
  <c r="R37" i="2"/>
  <c r="R168" i="2"/>
  <c r="R39" i="2"/>
  <c r="R174" i="2"/>
  <c r="R180" i="2"/>
  <c r="R42" i="2"/>
  <c r="R264" i="2"/>
  <c r="X264" i="2"/>
  <c r="Y264" i="2"/>
  <c r="R409" i="2"/>
  <c r="X409" i="2"/>
  <c r="Y409" i="2"/>
  <c r="R246" i="2"/>
  <c r="X246" i="2"/>
  <c r="Y246" i="2"/>
  <c r="R228" i="2"/>
  <c r="X228" i="2"/>
  <c r="Y228" i="2"/>
  <c r="R265" i="2"/>
  <c r="X265" i="2"/>
  <c r="Y265" i="2"/>
  <c r="R247" i="2"/>
  <c r="X247" i="2"/>
  <c r="Y247" i="2"/>
  <c r="R452" i="2"/>
  <c r="X452" i="2"/>
  <c r="Y452" i="2"/>
  <c r="R410" i="2"/>
  <c r="X410" i="2"/>
  <c r="Y410" i="2"/>
  <c r="R304" i="2"/>
  <c r="X304" i="2"/>
  <c r="Y304" i="2"/>
  <c r="R266" i="2"/>
  <c r="X266" i="2"/>
  <c r="Y266" i="2"/>
  <c r="R249" i="2"/>
  <c r="X249" i="2"/>
  <c r="Y249" i="2"/>
  <c r="R454" i="2"/>
  <c r="X454" i="2"/>
  <c r="Y454" i="2"/>
  <c r="R411" i="2"/>
  <c r="X411" i="2"/>
  <c r="Y411" i="2"/>
  <c r="R267" i="2"/>
  <c r="X267" i="2"/>
  <c r="Y267" i="2"/>
  <c r="R251" i="2"/>
  <c r="X251" i="2"/>
  <c r="Y251" i="2"/>
  <c r="R305" i="2"/>
  <c r="X305" i="2"/>
  <c r="Y305" i="2"/>
  <c r="R268" i="2"/>
  <c r="X268" i="2"/>
  <c r="Y268" i="2"/>
  <c r="R516" i="2"/>
  <c r="X516" i="2"/>
  <c r="Y516" i="2"/>
  <c r="R424" i="2"/>
  <c r="X424" i="2"/>
  <c r="Y424" i="2"/>
  <c r="R276" i="2"/>
  <c r="X276" i="2"/>
  <c r="Y276" i="2"/>
  <c r="R215" i="2"/>
  <c r="X215" i="2"/>
  <c r="Y215" i="2"/>
  <c r="R132" i="2"/>
  <c r="X132" i="2"/>
  <c r="Y132" i="2"/>
  <c r="R517" i="2"/>
  <c r="X517" i="2"/>
  <c r="Y517" i="2"/>
  <c r="R425" i="2"/>
  <c r="X425" i="2"/>
  <c r="Y425" i="2"/>
  <c r="R415" i="2"/>
  <c r="X415" i="2"/>
  <c r="Y415" i="2"/>
  <c r="R248" i="2"/>
  <c r="X248" i="2"/>
  <c r="Y248" i="2"/>
  <c r="R216" i="2"/>
  <c r="X216" i="2"/>
  <c r="Y216" i="2"/>
  <c r="R133" i="2"/>
  <c r="X133" i="2"/>
  <c r="Y133" i="2"/>
  <c r="R90" i="2"/>
  <c r="X90" i="2"/>
  <c r="Y90" i="2"/>
  <c r="R426" i="2"/>
  <c r="X426" i="2"/>
  <c r="Y426" i="2"/>
  <c r="R416" i="2"/>
  <c r="X416" i="2"/>
  <c r="Y416" i="2"/>
  <c r="R217" i="2"/>
  <c r="X217" i="2"/>
  <c r="Y217" i="2"/>
  <c r="R134" i="2"/>
  <c r="X134" i="2"/>
  <c r="Y134" i="2"/>
  <c r="R218" i="2"/>
  <c r="X218" i="2"/>
  <c r="Y218" i="2"/>
  <c r="R94" i="2"/>
  <c r="X94" i="2"/>
  <c r="Y94" i="2"/>
  <c r="R121" i="2"/>
  <c r="X121" i="2"/>
  <c r="Y121" i="2"/>
  <c r="R300" i="2"/>
  <c r="X300" i="2"/>
  <c r="Y300" i="2"/>
  <c r="R270" i="2"/>
  <c r="X270" i="2"/>
  <c r="Y270" i="2"/>
  <c r="R122" i="2"/>
  <c r="X122" i="2"/>
  <c r="Y122" i="2"/>
  <c r="R59" i="2"/>
  <c r="X59" i="2"/>
  <c r="Y59" i="2"/>
  <c r="R58" i="2"/>
  <c r="X58" i="2"/>
  <c r="Y58" i="2"/>
  <c r="R60" i="2"/>
  <c r="X60" i="2"/>
  <c r="Y60" i="2"/>
  <c r="R253" i="2"/>
  <c r="X253" i="2"/>
  <c r="Y253" i="2"/>
  <c r="R543" i="2"/>
  <c r="X543" i="2"/>
  <c r="Y543" i="2"/>
  <c r="R494" i="2"/>
  <c r="X494" i="2"/>
  <c r="Y494" i="2"/>
  <c r="R463" i="2"/>
  <c r="X463" i="2"/>
  <c r="Y463" i="2"/>
  <c r="R290" i="2"/>
  <c r="X290" i="2"/>
  <c r="Y290" i="2"/>
  <c r="R254" i="2"/>
  <c r="X254" i="2"/>
  <c r="Y254" i="2"/>
  <c r="R26" i="2"/>
  <c r="X26" i="2"/>
  <c r="Y26" i="2"/>
  <c r="R465" i="2"/>
  <c r="X465" i="2"/>
  <c r="Y465" i="2"/>
  <c r="R544" i="2"/>
  <c r="X544" i="2"/>
  <c r="Y544" i="2"/>
  <c r="R498" i="2"/>
  <c r="X498" i="2"/>
  <c r="Y498" i="2"/>
  <c r="R499" i="2"/>
  <c r="X499" i="2"/>
  <c r="Y499" i="2"/>
  <c r="R466" i="2"/>
  <c r="X466" i="2"/>
  <c r="Y466" i="2"/>
  <c r="R292" i="2"/>
  <c r="X292" i="2"/>
  <c r="Y292" i="2"/>
  <c r="R291" i="2"/>
  <c r="X291" i="2"/>
  <c r="Y291" i="2"/>
  <c r="R255" i="2"/>
  <c r="X255" i="2"/>
  <c r="Y255" i="2"/>
  <c r="R115" i="2"/>
  <c r="X115" i="2"/>
  <c r="Y115" i="2"/>
  <c r="R63" i="2"/>
  <c r="X63" i="2"/>
  <c r="Y63" i="2"/>
  <c r="R50" i="2"/>
  <c r="X50" i="2"/>
  <c r="Y50" i="2"/>
  <c r="R51" i="2"/>
  <c r="X51" i="2"/>
  <c r="Y51" i="2"/>
  <c r="R29" i="2"/>
  <c r="X29" i="2"/>
  <c r="Y29" i="2"/>
  <c r="R256" i="2"/>
  <c r="X256" i="2"/>
  <c r="Y256" i="2"/>
  <c r="R408" i="2"/>
  <c r="X408" i="2"/>
  <c r="Y408" i="2"/>
  <c r="R412" i="2"/>
  <c r="X412" i="2"/>
  <c r="Y412" i="2"/>
  <c r="R413" i="2"/>
  <c r="X413" i="2"/>
  <c r="Y413" i="2"/>
  <c r="R458" i="2"/>
  <c r="X458" i="2"/>
  <c r="Y458" i="2"/>
  <c r="R52" i="2"/>
  <c r="X52" i="2"/>
  <c r="Y52" i="2"/>
  <c r="R394" i="2"/>
  <c r="X394" i="2"/>
  <c r="Y394" i="2"/>
  <c r="R271" i="2"/>
  <c r="X271" i="2"/>
  <c r="Y271" i="2"/>
  <c r="R185" i="2"/>
  <c r="X185" i="2"/>
  <c r="Y185" i="2"/>
  <c r="R186" i="2"/>
  <c r="X186" i="2"/>
  <c r="Y186" i="2"/>
  <c r="R397" i="2"/>
  <c r="X397" i="2"/>
  <c r="Y397" i="2"/>
  <c r="R272" i="2"/>
  <c r="X272" i="2"/>
  <c r="Y272" i="2"/>
  <c r="R187" i="2"/>
  <c r="X187" i="2"/>
  <c r="Y187" i="2"/>
  <c r="R393" i="2"/>
  <c r="X393" i="2"/>
  <c r="Y393" i="2"/>
  <c r="R418" i="2"/>
  <c r="X418" i="2"/>
  <c r="Y418" i="2"/>
  <c r="R450" i="2"/>
  <c r="X450" i="2"/>
  <c r="Y450" i="2"/>
  <c r="R277" i="2"/>
  <c r="X277" i="2"/>
  <c r="Y277" i="2"/>
  <c r="R245" i="2"/>
  <c r="X245" i="2"/>
  <c r="Y245" i="2"/>
  <c r="R211" i="2"/>
  <c r="X211" i="2"/>
  <c r="Y211" i="2"/>
  <c r="R212" i="2"/>
  <c r="X212" i="2"/>
  <c r="Y212" i="2"/>
  <c r="R2" i="2"/>
  <c r="X2" i="2"/>
  <c r="Y2" i="2"/>
  <c r="R451" i="2"/>
  <c r="X451" i="2"/>
  <c r="Y451" i="2"/>
  <c r="R250" i="2"/>
  <c r="X250" i="2"/>
  <c r="Y250" i="2"/>
  <c r="R213" i="2"/>
  <c r="X213" i="2"/>
  <c r="Y213" i="2"/>
  <c r="R3" i="2"/>
  <c r="X3" i="2"/>
  <c r="Y3" i="2"/>
  <c r="R456" i="2"/>
  <c r="X456" i="2"/>
  <c r="Y456" i="2"/>
  <c r="R423" i="2"/>
  <c r="X423" i="2"/>
  <c r="Y423" i="2"/>
  <c r="R222" i="2"/>
  <c r="X222" i="2"/>
  <c r="Y222" i="2"/>
  <c r="R225" i="2"/>
  <c r="X225" i="2"/>
  <c r="Y225" i="2"/>
  <c r="R145" i="2"/>
  <c r="X145" i="2"/>
  <c r="Y145" i="2"/>
  <c r="R232" i="2"/>
  <c r="X232" i="2"/>
  <c r="Y232" i="2"/>
  <c r="R73" i="2"/>
  <c r="X73" i="2"/>
  <c r="Y73" i="2"/>
  <c r="R234" i="2"/>
  <c r="X234" i="2"/>
  <c r="Y234" i="2"/>
  <c r="R146" i="2"/>
  <c r="X146" i="2"/>
  <c r="Y146" i="2"/>
  <c r="R542" i="2"/>
  <c r="X542" i="2"/>
  <c r="Y542" i="2"/>
  <c r="R237" i="2"/>
  <c r="X237" i="2"/>
  <c r="Y237" i="2"/>
  <c r="R147" i="2"/>
  <c r="X147" i="2"/>
  <c r="Y147" i="2"/>
  <c r="R293" i="2"/>
  <c r="X293" i="2"/>
  <c r="Y293" i="2"/>
  <c r="R294" i="2"/>
  <c r="X294" i="2"/>
  <c r="Y294" i="2"/>
  <c r="R296" i="2"/>
  <c r="X296" i="2"/>
  <c r="Y296" i="2"/>
  <c r="R460" i="2"/>
  <c r="X460" i="2"/>
  <c r="Y460" i="2"/>
  <c r="R459" i="2"/>
  <c r="X459" i="2"/>
  <c r="Y459" i="2"/>
  <c r="R449" i="2"/>
  <c r="X449" i="2"/>
  <c r="Y449" i="2"/>
  <c r="R436" i="2"/>
  <c r="X436" i="2"/>
  <c r="Y436" i="2"/>
  <c r="R417" i="2"/>
  <c r="X417" i="2"/>
  <c r="Y417" i="2"/>
  <c r="R301" i="2"/>
  <c r="X301" i="2"/>
  <c r="Y301" i="2"/>
  <c r="R258" i="2"/>
  <c r="X258" i="2"/>
  <c r="Y258" i="2"/>
  <c r="R252" i="2"/>
  <c r="X252" i="2"/>
  <c r="Y252" i="2"/>
  <c r="R139" i="2"/>
  <c r="X139" i="2"/>
  <c r="Y139" i="2"/>
  <c r="R18" i="2"/>
  <c r="X18" i="2"/>
  <c r="Y18" i="2"/>
  <c r="R11" i="2"/>
  <c r="X11" i="2"/>
  <c r="Y11" i="2"/>
  <c r="R31" i="2"/>
  <c r="X31" i="2"/>
  <c r="Y31" i="2"/>
  <c r="R32" i="2"/>
  <c r="X32" i="2"/>
  <c r="Y32" i="2"/>
  <c r="R27" i="2"/>
  <c r="X27" i="2"/>
  <c r="Y27" i="2"/>
  <c r="R28" i="2"/>
  <c r="X28" i="2"/>
  <c r="Y28" i="2"/>
  <c r="R33" i="2"/>
  <c r="X33" i="2"/>
  <c r="Y33" i="2"/>
  <c r="R30" i="2"/>
  <c r="X30" i="2"/>
  <c r="Y30" i="2"/>
  <c r="R34" i="2"/>
  <c r="X34" i="2"/>
  <c r="Y34" i="2"/>
  <c r="R8" i="2"/>
  <c r="X8" i="2"/>
  <c r="Y8" i="2"/>
  <c r="R238" i="2"/>
  <c r="X238" i="2"/>
  <c r="Y238" i="2"/>
  <c r="R269" i="2"/>
  <c r="X269" i="2"/>
  <c r="Y269" i="2"/>
  <c r="R240" i="2"/>
  <c r="X240" i="2"/>
  <c r="Y240" i="2"/>
  <c r="R241" i="2"/>
  <c r="X241" i="2"/>
  <c r="Y241" i="2"/>
  <c r="R523" i="2"/>
  <c r="X523" i="2"/>
  <c r="Y523" i="2"/>
  <c r="R514" i="2"/>
  <c r="X514" i="2"/>
  <c r="Y514" i="2"/>
  <c r="R295" i="2"/>
  <c r="X295" i="2"/>
  <c r="Y295" i="2"/>
  <c r="R278" i="2"/>
  <c r="X278" i="2"/>
  <c r="Y278" i="2"/>
  <c r="R219" i="2"/>
  <c r="X219" i="2"/>
  <c r="Y219" i="2"/>
  <c r="R188" i="2"/>
  <c r="X188" i="2"/>
  <c r="Y188" i="2"/>
  <c r="R126" i="2"/>
  <c r="X126" i="2"/>
  <c r="Y126" i="2"/>
  <c r="R524" i="2"/>
  <c r="X524" i="2"/>
  <c r="Y524" i="2"/>
  <c r="R496" i="2"/>
  <c r="X496" i="2"/>
  <c r="Y496" i="2"/>
  <c r="R403" i="2"/>
  <c r="X403" i="2"/>
  <c r="Y403" i="2"/>
  <c r="R297" i="2"/>
  <c r="X297" i="2"/>
  <c r="Y297" i="2"/>
  <c r="R279" i="2"/>
  <c r="X279" i="2"/>
  <c r="Y279" i="2"/>
  <c r="R220" i="2"/>
  <c r="X220" i="2"/>
  <c r="Y220" i="2"/>
  <c r="R189" i="2"/>
  <c r="X189" i="2"/>
  <c r="Y189" i="2"/>
  <c r="R127" i="2"/>
  <c r="X127" i="2"/>
  <c r="Y127" i="2"/>
  <c r="R64" i="2"/>
  <c r="X64" i="2"/>
  <c r="Y64" i="2"/>
  <c r="R525" i="2"/>
  <c r="X525" i="2"/>
  <c r="Y525" i="2"/>
  <c r="R515" i="2"/>
  <c r="X515" i="2"/>
  <c r="Y515" i="2"/>
  <c r="R457" i="2"/>
  <c r="X457" i="2"/>
  <c r="Y457" i="2"/>
  <c r="R437" i="2"/>
  <c r="X437" i="2"/>
  <c r="Y437" i="2"/>
  <c r="R414" i="2"/>
  <c r="X414" i="2"/>
  <c r="Y414" i="2"/>
  <c r="R404" i="2"/>
  <c r="X404" i="2"/>
  <c r="Y404" i="2"/>
  <c r="R298" i="2"/>
  <c r="X298" i="2"/>
  <c r="Y298" i="2"/>
  <c r="R128" i="2"/>
  <c r="X128" i="2"/>
  <c r="Y128" i="2"/>
  <c r="R101" i="2"/>
  <c r="X101" i="2"/>
  <c r="Y101" i="2"/>
  <c r="R57" i="2"/>
  <c r="X57" i="2"/>
  <c r="Y57" i="2"/>
  <c r="R223" i="2"/>
  <c r="X223" i="2"/>
  <c r="Y223" i="2"/>
  <c r="R226" i="2"/>
  <c r="X226" i="2"/>
  <c r="Y226" i="2"/>
  <c r="R233" i="2"/>
  <c r="X233" i="2"/>
  <c r="Y233" i="2"/>
  <c r="R236" i="2"/>
  <c r="X236" i="2"/>
  <c r="Y236" i="2"/>
  <c r="R55" i="2"/>
  <c r="X55" i="2"/>
  <c r="Y55" i="2"/>
  <c r="R239" i="2"/>
  <c r="X239" i="2"/>
  <c r="Y239" i="2"/>
  <c r="R65" i="2"/>
  <c r="X65" i="2"/>
  <c r="Y65" i="2"/>
  <c r="R56" i="2"/>
  <c r="X56" i="2"/>
  <c r="Y56" i="2"/>
  <c r="R66" i="2"/>
  <c r="X66" i="2"/>
  <c r="Y66" i="2"/>
  <c r="R140" i="2"/>
  <c r="X140" i="2"/>
  <c r="Y140" i="2"/>
  <c r="R141" i="2"/>
  <c r="X141" i="2"/>
  <c r="Y141" i="2"/>
  <c r="R142" i="2"/>
  <c r="X142" i="2"/>
  <c r="Y142" i="2"/>
  <c r="R143" i="2"/>
  <c r="X143" i="2"/>
  <c r="Y143" i="2"/>
  <c r="R144" i="2"/>
  <c r="X144" i="2"/>
  <c r="Y144" i="2"/>
  <c r="R395" i="2"/>
  <c r="X395" i="2"/>
  <c r="Y395" i="2"/>
  <c r="R12" i="2"/>
  <c r="X12" i="2"/>
  <c r="Y12" i="2"/>
  <c r="R13" i="2"/>
  <c r="X13" i="2"/>
  <c r="Y13" i="2"/>
  <c r="R14" i="2"/>
  <c r="X14" i="2"/>
  <c r="Y14" i="2"/>
  <c r="R15" i="2"/>
  <c r="X15" i="2"/>
  <c r="Y15" i="2"/>
  <c r="R16" i="2"/>
  <c r="X16" i="2"/>
  <c r="Y16" i="2"/>
  <c r="R17" i="2"/>
  <c r="X17" i="2"/>
  <c r="Y17" i="2"/>
  <c r="R461" i="2"/>
  <c r="X461" i="2"/>
  <c r="Y461" i="2"/>
  <c r="R462" i="2"/>
  <c r="X462" i="2"/>
  <c r="Y462" i="2"/>
  <c r="R441" i="2"/>
  <c r="X441" i="2"/>
  <c r="Y441" i="2"/>
  <c r="R259" i="2"/>
  <c r="X259" i="2"/>
  <c r="Y259" i="2"/>
  <c r="R444" i="2"/>
  <c r="X444" i="2"/>
  <c r="Y444" i="2"/>
  <c r="R455" i="2"/>
  <c r="X455" i="2"/>
  <c r="Y455" i="2"/>
  <c r="R260" i="2"/>
  <c r="X260" i="2"/>
  <c r="Y260" i="2"/>
  <c r="R198" i="2"/>
  <c r="X198" i="2"/>
  <c r="Y198" i="2"/>
  <c r="R199" i="2"/>
  <c r="X199" i="2"/>
  <c r="Y199" i="2"/>
  <c r="R200" i="2"/>
  <c r="X200" i="2"/>
  <c r="Y200" i="2"/>
  <c r="R453" i="2"/>
  <c r="X453" i="2"/>
  <c r="Y453" i="2"/>
  <c r="R124" i="2"/>
  <c r="X124" i="2"/>
  <c r="Y124" i="2"/>
  <c r="R125" i="2"/>
  <c r="X125" i="2"/>
  <c r="Y125" i="2"/>
  <c r="R446" i="2"/>
  <c r="X446" i="2"/>
  <c r="Y446" i="2"/>
  <c r="R123" i="2"/>
  <c r="X123" i="2"/>
  <c r="Y123" i="2"/>
  <c r="R116" i="2"/>
  <c r="X116" i="2"/>
  <c r="Y116" i="2"/>
  <c r="R135" i="2"/>
  <c r="X135" i="2"/>
  <c r="Y135" i="2"/>
  <c r="R88" i="2"/>
  <c r="X88" i="2"/>
  <c r="Y88" i="2"/>
  <c r="R464" i="2"/>
  <c r="X464" i="2"/>
  <c r="Y464" i="2"/>
  <c r="R117" i="2"/>
  <c r="X117" i="2"/>
  <c r="Y117" i="2"/>
  <c r="R89" i="2"/>
  <c r="X89" i="2"/>
  <c r="Y89" i="2"/>
  <c r="R6" i="2"/>
  <c r="X6" i="2"/>
  <c r="Y6" i="2"/>
  <c r="R467" i="2"/>
  <c r="X467" i="2"/>
  <c r="Y467" i="2"/>
  <c r="R221" i="2"/>
  <c r="X221" i="2"/>
  <c r="Y221" i="2"/>
  <c r="R118" i="2"/>
  <c r="X118" i="2"/>
  <c r="Y118" i="2"/>
  <c r="R95" i="2"/>
  <c r="X95" i="2"/>
  <c r="Y95" i="2"/>
  <c r="R91" i="2"/>
  <c r="X91" i="2"/>
  <c r="Y91" i="2"/>
  <c r="R7" i="2"/>
  <c r="X7" i="2"/>
  <c r="Y7" i="2"/>
  <c r="R518" i="2"/>
  <c r="X518" i="2"/>
  <c r="Y518" i="2"/>
  <c r="R280" i="2"/>
  <c r="X280" i="2"/>
  <c r="Y280" i="2"/>
  <c r="R136" i="2"/>
  <c r="X136" i="2"/>
  <c r="Y136" i="2"/>
  <c r="R92" i="2"/>
  <c r="X92" i="2"/>
  <c r="Y92" i="2"/>
  <c r="R9" i="2"/>
  <c r="X9" i="2"/>
  <c r="Y9" i="2"/>
  <c r="R519" i="2"/>
  <c r="X519" i="2"/>
  <c r="Y519" i="2"/>
  <c r="R281" i="2"/>
  <c r="X281" i="2"/>
  <c r="Y281" i="2"/>
  <c r="R214" i="2"/>
  <c r="X214" i="2"/>
  <c r="Y214" i="2"/>
  <c r="R119" i="2"/>
  <c r="X119" i="2"/>
  <c r="Y119" i="2"/>
  <c r="R93" i="2"/>
  <c r="X93" i="2"/>
  <c r="Y93" i="2"/>
  <c r="R61" i="2"/>
  <c r="X61" i="2"/>
  <c r="Y61" i="2"/>
  <c r="R10" i="2"/>
  <c r="X10" i="2"/>
  <c r="Y10" i="2"/>
  <c r="R137" i="2"/>
  <c r="X137" i="2"/>
  <c r="Y137" i="2"/>
  <c r="R273" i="2"/>
  <c r="X273" i="2"/>
  <c r="Y273" i="2"/>
  <c r="R274" i="2"/>
  <c r="X274" i="2"/>
  <c r="Y274" i="2"/>
  <c r="R53" i="2"/>
  <c r="X53" i="2"/>
  <c r="Y53" i="2"/>
  <c r="R275" i="2"/>
  <c r="X275" i="2"/>
  <c r="Y275" i="2"/>
  <c r="R197" i="2"/>
  <c r="X197" i="2"/>
  <c r="Y197" i="2"/>
  <c r="R54" i="2"/>
  <c r="X54" i="2"/>
  <c r="Y54" i="2"/>
  <c r="R257" i="2"/>
  <c r="X257" i="2"/>
  <c r="Y257" i="2"/>
  <c r="R528" i="2"/>
  <c r="X528" i="2"/>
  <c r="Y528" i="2"/>
  <c r="R530" i="2"/>
  <c r="X530" i="2"/>
  <c r="Y530" i="2"/>
  <c r="R533" i="2"/>
  <c r="X533" i="2"/>
  <c r="Y533" i="2"/>
  <c r="R537" i="2"/>
  <c r="X537" i="2"/>
  <c r="Y537" i="2"/>
  <c r="R224" i="2"/>
  <c r="X224" i="2"/>
  <c r="Y224" i="2"/>
  <c r="R242" i="2"/>
  <c r="X242" i="2"/>
  <c r="Y242" i="2"/>
  <c r="R243" i="2"/>
  <c r="X243" i="2"/>
  <c r="Y243" i="2"/>
  <c r="R227" i="2"/>
  <c r="X227" i="2"/>
  <c r="Y227" i="2"/>
  <c r="R229" i="2"/>
  <c r="X229" i="2"/>
  <c r="Y229" i="2"/>
  <c r="R230" i="2"/>
  <c r="X230" i="2"/>
  <c r="Y230" i="2"/>
  <c r="R231" i="2"/>
  <c r="X231" i="2"/>
  <c r="Y231" i="2"/>
  <c r="R206" i="2"/>
  <c r="X206" i="2"/>
  <c r="Y206" i="2"/>
  <c r="R201" i="2"/>
  <c r="X201" i="2"/>
  <c r="Y201" i="2"/>
  <c r="R244" i="2"/>
  <c r="X244" i="2"/>
  <c r="Y244" i="2"/>
  <c r="R235" i="2"/>
  <c r="X235" i="2"/>
  <c r="Y235" i="2"/>
  <c r="R209" i="2"/>
  <c r="X209" i="2"/>
  <c r="Y209" i="2"/>
  <c r="R202" i="2"/>
  <c r="X202" i="2"/>
  <c r="Y202" i="2"/>
  <c r="R419" i="2"/>
  <c r="X419" i="2"/>
  <c r="Y419" i="2"/>
  <c r="R420" i="2"/>
  <c r="X420" i="2"/>
  <c r="Y420" i="2"/>
  <c r="R421" i="2"/>
  <c r="X421" i="2"/>
  <c r="Y421" i="2"/>
  <c r="R422" i="2"/>
  <c r="X422" i="2"/>
  <c r="Y422" i="2"/>
  <c r="R203" i="2"/>
  <c r="X203" i="2"/>
  <c r="Y203" i="2"/>
  <c r="R204" i="2"/>
  <c r="X204" i="2"/>
  <c r="Y204" i="2"/>
  <c r="R205" i="2"/>
  <c r="X205" i="2"/>
  <c r="Y205" i="2"/>
  <c r="R207" i="2"/>
  <c r="X207" i="2"/>
  <c r="Y207" i="2"/>
  <c r="R208" i="2"/>
  <c r="X208" i="2"/>
  <c r="Y208" i="2"/>
  <c r="R526" i="2"/>
  <c r="X526" i="2"/>
  <c r="Y526" i="2"/>
  <c r="R531" i="2"/>
  <c r="X531" i="2"/>
  <c r="Y531" i="2"/>
  <c r="R535" i="2"/>
  <c r="X535" i="2"/>
  <c r="Y535" i="2"/>
  <c r="R495" i="2"/>
  <c r="X495" i="2"/>
  <c r="Y495" i="2"/>
  <c r="R405" i="2"/>
  <c r="X405" i="2"/>
  <c r="Y405" i="2"/>
  <c r="R497" i="2"/>
  <c r="X497" i="2"/>
  <c r="Y497" i="2"/>
  <c r="R406" i="2"/>
  <c r="X406" i="2"/>
  <c r="Y406" i="2"/>
  <c r="R407" i="2"/>
  <c r="X407" i="2"/>
  <c r="Y407" i="2"/>
  <c r="R302" i="2"/>
  <c r="X302" i="2"/>
  <c r="Y302" i="2"/>
  <c r="R303" i="2"/>
  <c r="X303" i="2"/>
  <c r="Y303" i="2"/>
  <c r="R442" i="2"/>
  <c r="X442" i="2"/>
  <c r="Y442" i="2"/>
  <c r="R443" i="2"/>
  <c r="X443" i="2"/>
  <c r="Y443" i="2"/>
  <c r="R445" i="2"/>
  <c r="X445" i="2"/>
  <c r="Y445" i="2"/>
  <c r="R396" i="2"/>
  <c r="X396" i="2"/>
  <c r="Y396" i="2"/>
  <c r="R62" i="2"/>
  <c r="X62" i="2"/>
  <c r="Y62" i="2"/>
  <c r="R67" i="2"/>
  <c r="X67" i="2"/>
  <c r="Y67" i="2"/>
  <c r="R68" i="2"/>
  <c r="X68" i="2"/>
  <c r="Y68" i="2"/>
  <c r="R69" i="2"/>
  <c r="X69" i="2"/>
  <c r="Y69" i="2"/>
  <c r="R70" i="2"/>
  <c r="X70" i="2"/>
  <c r="Y70" i="2"/>
  <c r="R71" i="2"/>
  <c r="X71" i="2"/>
  <c r="Y71" i="2"/>
  <c r="R72" i="2"/>
  <c r="X72" i="2"/>
  <c r="Y72" i="2"/>
  <c r="R527" i="2"/>
  <c r="X527" i="2"/>
  <c r="Y527" i="2"/>
  <c r="R529" i="2"/>
  <c r="X529" i="2"/>
  <c r="Y529" i="2"/>
  <c r="R532" i="2"/>
  <c r="X532" i="2"/>
  <c r="Y532" i="2"/>
  <c r="R534" i="2"/>
  <c r="X534" i="2"/>
  <c r="Y534" i="2"/>
  <c r="R536" i="2"/>
  <c r="X536" i="2"/>
  <c r="Y536" i="2"/>
  <c r="R148" i="2"/>
  <c r="R447" i="2"/>
  <c r="AA42" i="2"/>
  <c r="Z42" i="2"/>
  <c r="U42" i="2"/>
  <c r="T42" i="2"/>
  <c r="S42" i="2"/>
  <c r="Q42" i="2"/>
  <c r="P42" i="2"/>
  <c r="O42" i="2"/>
  <c r="N42" i="2"/>
  <c r="M42" i="2"/>
  <c r="L42" i="2"/>
  <c r="AA180" i="2"/>
  <c r="Z180" i="2"/>
  <c r="U180" i="2"/>
  <c r="T180" i="2"/>
  <c r="S180" i="2"/>
  <c r="Q180" i="2"/>
  <c r="P180" i="2"/>
  <c r="O180" i="2"/>
  <c r="N180" i="2"/>
  <c r="M180" i="2"/>
  <c r="L180" i="2"/>
  <c r="AA174" i="2"/>
  <c r="Z174" i="2"/>
  <c r="U174" i="2"/>
  <c r="T174" i="2"/>
  <c r="S174" i="2"/>
  <c r="Q174" i="2"/>
  <c r="P174" i="2"/>
  <c r="O174" i="2"/>
  <c r="N174" i="2"/>
  <c r="M174" i="2"/>
  <c r="L174" i="2"/>
  <c r="AA39" i="2"/>
  <c r="Z39" i="2"/>
  <c r="U39" i="2"/>
  <c r="T39" i="2"/>
  <c r="S39" i="2"/>
  <c r="Q39" i="2"/>
  <c r="P39" i="2"/>
  <c r="O39" i="2"/>
  <c r="N39" i="2"/>
  <c r="M39" i="2"/>
  <c r="L39" i="2"/>
  <c r="AA168" i="2"/>
  <c r="Z168" i="2"/>
  <c r="U168" i="2"/>
  <c r="T168" i="2"/>
  <c r="S168" i="2"/>
  <c r="Q168" i="2"/>
  <c r="P168" i="2"/>
  <c r="O168" i="2"/>
  <c r="N168" i="2"/>
  <c r="M168" i="2"/>
  <c r="L168" i="2"/>
  <c r="AA37" i="2"/>
  <c r="Z37" i="2"/>
  <c r="U37" i="2"/>
  <c r="T37" i="2"/>
  <c r="S37" i="2"/>
  <c r="Q37" i="2"/>
  <c r="P37" i="2"/>
  <c r="O37" i="2"/>
  <c r="N37" i="2"/>
  <c r="M37" i="2"/>
  <c r="L37" i="2"/>
  <c r="AA166" i="2"/>
  <c r="Z166" i="2"/>
  <c r="U166" i="2"/>
  <c r="T166" i="2"/>
  <c r="S166" i="2"/>
  <c r="Q166" i="2"/>
  <c r="P166" i="2"/>
  <c r="O166" i="2"/>
  <c r="N166" i="2"/>
  <c r="M166" i="2"/>
  <c r="L166" i="2"/>
  <c r="AA164" i="2"/>
  <c r="Z164" i="2"/>
  <c r="U164" i="2"/>
  <c r="T164" i="2"/>
  <c r="S164" i="2"/>
  <c r="Q164" i="2"/>
  <c r="P164" i="2"/>
  <c r="O164" i="2"/>
  <c r="N164" i="2"/>
  <c r="M164" i="2"/>
  <c r="L164" i="2"/>
  <c r="AA36" i="2"/>
  <c r="Z36" i="2"/>
  <c r="U36" i="2"/>
  <c r="T36" i="2"/>
  <c r="S36" i="2"/>
  <c r="Q36" i="2"/>
  <c r="P36" i="2"/>
  <c r="O36" i="2"/>
  <c r="N36" i="2"/>
  <c r="M36" i="2"/>
  <c r="L36" i="2"/>
  <c r="AA162" i="2"/>
  <c r="Z162" i="2"/>
  <c r="U162" i="2"/>
  <c r="T162" i="2"/>
  <c r="S162" i="2"/>
  <c r="Q162" i="2"/>
  <c r="P162" i="2"/>
  <c r="O162" i="2"/>
  <c r="N162" i="2"/>
  <c r="M162" i="2"/>
  <c r="L162" i="2"/>
  <c r="AA159" i="2"/>
  <c r="Z159" i="2"/>
  <c r="U159" i="2"/>
  <c r="T159" i="2"/>
  <c r="S159" i="2"/>
  <c r="Q159" i="2"/>
  <c r="P159" i="2"/>
  <c r="O159" i="2"/>
  <c r="N159" i="2"/>
  <c r="M159" i="2"/>
  <c r="L159" i="2"/>
  <c r="AA536" i="2"/>
  <c r="Z536" i="2"/>
  <c r="U536" i="2"/>
  <c r="T536" i="2"/>
  <c r="S536" i="2"/>
  <c r="Q536" i="2"/>
  <c r="P536" i="2"/>
  <c r="O536" i="2"/>
  <c r="N536" i="2"/>
  <c r="M536" i="2"/>
  <c r="L536" i="2"/>
  <c r="AA534" i="2"/>
  <c r="Z534" i="2"/>
  <c r="U534" i="2"/>
  <c r="T534" i="2"/>
  <c r="S534" i="2"/>
  <c r="Q534" i="2"/>
  <c r="P534" i="2"/>
  <c r="O534" i="2"/>
  <c r="N534" i="2"/>
  <c r="M534" i="2"/>
  <c r="L534" i="2"/>
  <c r="AA532" i="2"/>
  <c r="Z532" i="2"/>
  <c r="U532" i="2"/>
  <c r="T532" i="2"/>
  <c r="S532" i="2"/>
  <c r="Q532" i="2"/>
  <c r="P532" i="2"/>
  <c r="O532" i="2"/>
  <c r="N532" i="2"/>
  <c r="M532" i="2"/>
  <c r="L532" i="2"/>
  <c r="AA529" i="2"/>
  <c r="Z529" i="2"/>
  <c r="U529" i="2"/>
  <c r="T529" i="2"/>
  <c r="S529" i="2"/>
  <c r="Q529" i="2"/>
  <c r="P529" i="2"/>
  <c r="O529" i="2"/>
  <c r="N529" i="2"/>
  <c r="M529" i="2"/>
  <c r="L529" i="2"/>
  <c r="AA527" i="2"/>
  <c r="Z527" i="2"/>
  <c r="U527" i="2"/>
  <c r="T527" i="2"/>
  <c r="S527" i="2"/>
  <c r="Q527" i="2"/>
  <c r="P527" i="2"/>
  <c r="O527" i="2"/>
  <c r="N527" i="2"/>
  <c r="M527" i="2"/>
  <c r="L527" i="2"/>
  <c r="AA100" i="2"/>
  <c r="Z100" i="2"/>
  <c r="U100" i="2"/>
  <c r="T100" i="2"/>
  <c r="S100" i="2"/>
  <c r="Q100" i="2"/>
  <c r="P100" i="2"/>
  <c r="O100" i="2"/>
  <c r="N100" i="2"/>
  <c r="M100" i="2"/>
  <c r="L100" i="2"/>
  <c r="AA99" i="2"/>
  <c r="Z99" i="2"/>
  <c r="U99" i="2"/>
  <c r="T99" i="2"/>
  <c r="S99" i="2"/>
  <c r="Q99" i="2"/>
  <c r="P99" i="2"/>
  <c r="O99" i="2"/>
  <c r="N99" i="2"/>
  <c r="M99" i="2"/>
  <c r="L99" i="2"/>
  <c r="AA98" i="2"/>
  <c r="Z98" i="2"/>
  <c r="U98" i="2"/>
  <c r="T98" i="2"/>
  <c r="S98" i="2"/>
  <c r="Q98" i="2"/>
  <c r="P98" i="2"/>
  <c r="O98" i="2"/>
  <c r="N98" i="2"/>
  <c r="M98" i="2"/>
  <c r="L98" i="2"/>
  <c r="AA25" i="2"/>
  <c r="Z25" i="2"/>
  <c r="U25" i="2"/>
  <c r="T25" i="2"/>
  <c r="S25" i="2"/>
  <c r="Q25" i="2"/>
  <c r="P25" i="2"/>
  <c r="O25" i="2"/>
  <c r="N25" i="2"/>
  <c r="M25" i="2"/>
  <c r="L25" i="2"/>
  <c r="AA387" i="2"/>
  <c r="Z387" i="2"/>
  <c r="U387" i="2"/>
  <c r="T387" i="2"/>
  <c r="S387" i="2"/>
  <c r="Q387" i="2"/>
  <c r="P387" i="2"/>
  <c r="O387" i="2"/>
  <c r="N387" i="2"/>
  <c r="M387" i="2"/>
  <c r="L387" i="2"/>
  <c r="AA24" i="2"/>
  <c r="Z24" i="2"/>
  <c r="U24" i="2"/>
  <c r="T24" i="2"/>
  <c r="S24" i="2"/>
  <c r="Q24" i="2"/>
  <c r="P24" i="2"/>
  <c r="O24" i="2"/>
  <c r="N24" i="2"/>
  <c r="M24" i="2"/>
  <c r="L24" i="2"/>
  <c r="AA372" i="2"/>
  <c r="Z372" i="2"/>
  <c r="U372" i="2"/>
  <c r="T372" i="2"/>
  <c r="S372" i="2"/>
  <c r="Q372" i="2"/>
  <c r="P372" i="2"/>
  <c r="O372" i="2"/>
  <c r="N372" i="2"/>
  <c r="M372" i="2"/>
  <c r="L372" i="2"/>
  <c r="AA23" i="2"/>
  <c r="Z23" i="2"/>
  <c r="U23" i="2"/>
  <c r="T23" i="2"/>
  <c r="S23" i="2"/>
  <c r="Q23" i="2"/>
  <c r="P23" i="2"/>
  <c r="O23" i="2"/>
  <c r="N23" i="2"/>
  <c r="M23" i="2"/>
  <c r="L23" i="2"/>
  <c r="AA363" i="2"/>
  <c r="Z363" i="2"/>
  <c r="U363" i="2"/>
  <c r="T363" i="2"/>
  <c r="S363" i="2"/>
  <c r="Q363" i="2"/>
  <c r="P363" i="2"/>
  <c r="O363" i="2"/>
  <c r="N363" i="2"/>
  <c r="M363" i="2"/>
  <c r="L363" i="2"/>
  <c r="AA72" i="2"/>
  <c r="Z72" i="2"/>
  <c r="U72" i="2"/>
  <c r="T72" i="2"/>
  <c r="S72" i="2"/>
  <c r="Q72" i="2"/>
  <c r="P72" i="2"/>
  <c r="O72" i="2"/>
  <c r="N72" i="2"/>
  <c r="M72" i="2"/>
  <c r="L72" i="2"/>
  <c r="AA22" i="2"/>
  <c r="Z22" i="2"/>
  <c r="U22" i="2"/>
  <c r="T22" i="2"/>
  <c r="S22" i="2"/>
  <c r="Q22" i="2"/>
  <c r="P22" i="2"/>
  <c r="O22" i="2"/>
  <c r="N22" i="2"/>
  <c r="M22" i="2"/>
  <c r="L22" i="2"/>
  <c r="AA71" i="2"/>
  <c r="Z71" i="2"/>
  <c r="U71" i="2"/>
  <c r="T71" i="2"/>
  <c r="S71" i="2"/>
  <c r="Q71" i="2"/>
  <c r="P71" i="2"/>
  <c r="O71" i="2"/>
  <c r="N71" i="2"/>
  <c r="M71" i="2"/>
  <c r="L71" i="2"/>
  <c r="AA354" i="2"/>
  <c r="Z354" i="2"/>
  <c r="U354" i="2"/>
  <c r="T354" i="2"/>
  <c r="S354" i="2"/>
  <c r="Q354" i="2"/>
  <c r="P354" i="2"/>
  <c r="O354" i="2"/>
  <c r="N354" i="2"/>
  <c r="M354" i="2"/>
  <c r="L354" i="2"/>
  <c r="AA70" i="2"/>
  <c r="Z70" i="2"/>
  <c r="U70" i="2"/>
  <c r="T70" i="2"/>
  <c r="S70" i="2"/>
  <c r="Q70" i="2"/>
  <c r="P70" i="2"/>
  <c r="O70" i="2"/>
  <c r="N70" i="2"/>
  <c r="M70" i="2"/>
  <c r="L70" i="2"/>
  <c r="AA69" i="2"/>
  <c r="Z69" i="2"/>
  <c r="U69" i="2"/>
  <c r="T69" i="2"/>
  <c r="S69" i="2"/>
  <c r="Q69" i="2"/>
  <c r="P69" i="2"/>
  <c r="O69" i="2"/>
  <c r="N69" i="2"/>
  <c r="M69" i="2"/>
  <c r="L69" i="2"/>
  <c r="AA21" i="2"/>
  <c r="Z21" i="2"/>
  <c r="U21" i="2"/>
  <c r="T21" i="2"/>
  <c r="S21" i="2"/>
  <c r="Q21" i="2"/>
  <c r="P21" i="2"/>
  <c r="O21" i="2"/>
  <c r="N21" i="2"/>
  <c r="M21" i="2"/>
  <c r="L21" i="2"/>
  <c r="AA68" i="2"/>
  <c r="Z68" i="2"/>
  <c r="U68" i="2"/>
  <c r="T68" i="2"/>
  <c r="S68" i="2"/>
  <c r="Q68" i="2"/>
  <c r="P68" i="2"/>
  <c r="O68" i="2"/>
  <c r="N68" i="2"/>
  <c r="M68" i="2"/>
  <c r="L68" i="2"/>
  <c r="AA346" i="2"/>
  <c r="Z346" i="2"/>
  <c r="U346" i="2"/>
  <c r="T346" i="2"/>
  <c r="S346" i="2"/>
  <c r="Q346" i="2"/>
  <c r="P346" i="2"/>
  <c r="O346" i="2"/>
  <c r="N346" i="2"/>
  <c r="M346" i="2"/>
  <c r="L346" i="2"/>
  <c r="AA20" i="2"/>
  <c r="Z20" i="2"/>
  <c r="U20" i="2"/>
  <c r="T20" i="2"/>
  <c r="S20" i="2"/>
  <c r="Q20" i="2"/>
  <c r="P20" i="2"/>
  <c r="O20" i="2"/>
  <c r="N20" i="2"/>
  <c r="M20" i="2"/>
  <c r="L20" i="2"/>
  <c r="AA344" i="2"/>
  <c r="Z344" i="2"/>
  <c r="U344" i="2"/>
  <c r="T344" i="2"/>
  <c r="S344" i="2"/>
  <c r="Q344" i="2"/>
  <c r="P344" i="2"/>
  <c r="O344" i="2"/>
  <c r="N344" i="2"/>
  <c r="M344" i="2"/>
  <c r="L344" i="2"/>
  <c r="AA332" i="2"/>
  <c r="Z332" i="2"/>
  <c r="U332" i="2"/>
  <c r="T332" i="2"/>
  <c r="S332" i="2"/>
  <c r="Q332" i="2"/>
  <c r="P332" i="2"/>
  <c r="O332" i="2"/>
  <c r="N332" i="2"/>
  <c r="M332" i="2"/>
  <c r="L332" i="2"/>
  <c r="AA323" i="2"/>
  <c r="Z323" i="2"/>
  <c r="U323" i="2"/>
  <c r="T323" i="2"/>
  <c r="S323" i="2"/>
  <c r="Q323" i="2"/>
  <c r="P323" i="2"/>
  <c r="O323" i="2"/>
  <c r="N323" i="2"/>
  <c r="M323" i="2"/>
  <c r="L323" i="2"/>
  <c r="AA67" i="2"/>
  <c r="Z67" i="2"/>
  <c r="U67" i="2"/>
  <c r="T67" i="2"/>
  <c r="S67" i="2"/>
  <c r="Q67" i="2"/>
  <c r="P67" i="2"/>
  <c r="O67" i="2"/>
  <c r="N67" i="2"/>
  <c r="M67" i="2"/>
  <c r="L67" i="2"/>
  <c r="AA19" i="2"/>
  <c r="Z19" i="2"/>
  <c r="U19" i="2"/>
  <c r="T19" i="2"/>
  <c r="S19" i="2"/>
  <c r="Q19" i="2"/>
  <c r="P19" i="2"/>
  <c r="O19" i="2"/>
  <c r="N19" i="2"/>
  <c r="M19" i="2"/>
  <c r="L19" i="2"/>
  <c r="AA310" i="2"/>
  <c r="Z310" i="2"/>
  <c r="U310" i="2"/>
  <c r="T310" i="2"/>
  <c r="S310" i="2"/>
  <c r="Q310" i="2"/>
  <c r="P310" i="2"/>
  <c r="O310" i="2"/>
  <c r="N310" i="2"/>
  <c r="M310" i="2"/>
  <c r="L310" i="2"/>
  <c r="AA87" i="2"/>
  <c r="Z87" i="2"/>
  <c r="U87" i="2"/>
  <c r="T87" i="2"/>
  <c r="S87" i="2"/>
  <c r="Q87" i="2"/>
  <c r="P87" i="2"/>
  <c r="O87" i="2"/>
  <c r="N87" i="2"/>
  <c r="M87" i="2"/>
  <c r="L87" i="2"/>
  <c r="AA40" i="2"/>
  <c r="Z40" i="2"/>
  <c r="U40" i="2"/>
  <c r="T40" i="2"/>
  <c r="S40" i="2"/>
  <c r="Q40" i="2"/>
  <c r="P40" i="2"/>
  <c r="O40" i="2"/>
  <c r="N40" i="2"/>
  <c r="M40" i="2"/>
  <c r="L40" i="2"/>
  <c r="AA62" i="2"/>
  <c r="Z62" i="2"/>
  <c r="U62" i="2"/>
  <c r="T62" i="2"/>
  <c r="S62" i="2"/>
  <c r="Q62" i="2"/>
  <c r="P62" i="2"/>
  <c r="O62" i="2"/>
  <c r="N62" i="2"/>
  <c r="M62" i="2"/>
  <c r="L62" i="2"/>
  <c r="AA82" i="2"/>
  <c r="Z82" i="2"/>
  <c r="U82" i="2"/>
  <c r="T82" i="2"/>
  <c r="S82" i="2"/>
  <c r="Q82" i="2"/>
  <c r="P82" i="2"/>
  <c r="O82" i="2"/>
  <c r="N82" i="2"/>
  <c r="M82" i="2"/>
  <c r="L82" i="2"/>
  <c r="AA396" i="2"/>
  <c r="Z396" i="2"/>
  <c r="U396" i="2"/>
  <c r="T396" i="2"/>
  <c r="S396" i="2"/>
  <c r="Q396" i="2"/>
  <c r="P396" i="2"/>
  <c r="O396" i="2"/>
  <c r="N396" i="2"/>
  <c r="M396" i="2"/>
  <c r="L396" i="2"/>
  <c r="AA38" i="2"/>
  <c r="Z38" i="2"/>
  <c r="U38" i="2"/>
  <c r="T38" i="2"/>
  <c r="S38" i="2"/>
  <c r="Q38" i="2"/>
  <c r="P38" i="2"/>
  <c r="O38" i="2"/>
  <c r="N38" i="2"/>
  <c r="M38" i="2"/>
  <c r="L38" i="2"/>
  <c r="AA445" i="2"/>
  <c r="Z445" i="2"/>
  <c r="U445" i="2"/>
  <c r="T445" i="2"/>
  <c r="S445" i="2"/>
  <c r="Q445" i="2"/>
  <c r="P445" i="2"/>
  <c r="O445" i="2"/>
  <c r="N445" i="2"/>
  <c r="M445" i="2"/>
  <c r="L445" i="2"/>
  <c r="AA443" i="2"/>
  <c r="Z443" i="2"/>
  <c r="U443" i="2"/>
  <c r="T443" i="2"/>
  <c r="S443" i="2"/>
  <c r="Q443" i="2"/>
  <c r="P443" i="2"/>
  <c r="O443" i="2"/>
  <c r="N443" i="2"/>
  <c r="M443" i="2"/>
  <c r="L443" i="2"/>
  <c r="AA442" i="2"/>
  <c r="Z442" i="2"/>
  <c r="U442" i="2"/>
  <c r="T442" i="2"/>
  <c r="S442" i="2"/>
  <c r="Q442" i="2"/>
  <c r="P442" i="2"/>
  <c r="O442" i="2"/>
  <c r="N442" i="2"/>
  <c r="M442" i="2"/>
  <c r="L442" i="2"/>
  <c r="AA491" i="2"/>
  <c r="Z491" i="2"/>
  <c r="U491" i="2"/>
  <c r="T491" i="2"/>
  <c r="S491" i="2"/>
  <c r="Q491" i="2"/>
  <c r="P491" i="2"/>
  <c r="O491" i="2"/>
  <c r="N491" i="2"/>
  <c r="M491" i="2"/>
  <c r="L491" i="2"/>
  <c r="AA486" i="2"/>
  <c r="Z486" i="2"/>
  <c r="U486" i="2"/>
  <c r="T486" i="2"/>
  <c r="S486" i="2"/>
  <c r="Q486" i="2"/>
  <c r="P486" i="2"/>
  <c r="O486" i="2"/>
  <c r="N486" i="2"/>
  <c r="M486" i="2"/>
  <c r="L486" i="2"/>
  <c r="AA303" i="2"/>
  <c r="Z303" i="2"/>
  <c r="U303" i="2"/>
  <c r="T303" i="2"/>
  <c r="S303" i="2"/>
  <c r="Q303" i="2"/>
  <c r="P303" i="2"/>
  <c r="O303" i="2"/>
  <c r="N303" i="2"/>
  <c r="M303" i="2"/>
  <c r="L303" i="2"/>
  <c r="AA302" i="2"/>
  <c r="Z302" i="2"/>
  <c r="U302" i="2"/>
  <c r="T302" i="2"/>
  <c r="S302" i="2"/>
  <c r="Q302" i="2"/>
  <c r="P302" i="2"/>
  <c r="O302" i="2"/>
  <c r="N302" i="2"/>
  <c r="M302" i="2"/>
  <c r="L302" i="2"/>
  <c r="AA482" i="2"/>
  <c r="Z482" i="2"/>
  <c r="U482" i="2"/>
  <c r="T482" i="2"/>
  <c r="S482" i="2"/>
  <c r="Q482" i="2"/>
  <c r="P482" i="2"/>
  <c r="O482" i="2"/>
  <c r="N482" i="2"/>
  <c r="M482" i="2"/>
  <c r="L482" i="2"/>
  <c r="AA477" i="2"/>
  <c r="Z477" i="2"/>
  <c r="U477" i="2"/>
  <c r="T477" i="2"/>
  <c r="S477" i="2"/>
  <c r="Q477" i="2"/>
  <c r="P477" i="2"/>
  <c r="O477" i="2"/>
  <c r="N477" i="2"/>
  <c r="M477" i="2"/>
  <c r="L477" i="2"/>
  <c r="AA475" i="2"/>
  <c r="Z475" i="2"/>
  <c r="U475" i="2"/>
  <c r="T475" i="2"/>
  <c r="S475" i="2"/>
  <c r="Q475" i="2"/>
  <c r="P475" i="2"/>
  <c r="O475" i="2"/>
  <c r="N475" i="2"/>
  <c r="M475" i="2"/>
  <c r="L475" i="2"/>
  <c r="AA472" i="2"/>
  <c r="Z472" i="2"/>
  <c r="U472" i="2"/>
  <c r="T472" i="2"/>
  <c r="S472" i="2"/>
  <c r="Q472" i="2"/>
  <c r="P472" i="2"/>
  <c r="O472" i="2"/>
  <c r="N472" i="2"/>
  <c r="M472" i="2"/>
  <c r="L472" i="2"/>
  <c r="AA469" i="2"/>
  <c r="Z469" i="2"/>
  <c r="U469" i="2"/>
  <c r="T469" i="2"/>
  <c r="S469" i="2"/>
  <c r="Q469" i="2"/>
  <c r="P469" i="2"/>
  <c r="O469" i="2"/>
  <c r="N469" i="2"/>
  <c r="M469" i="2"/>
  <c r="L469" i="2"/>
  <c r="AA448" i="2"/>
  <c r="Z448" i="2"/>
  <c r="U448" i="2"/>
  <c r="T448" i="2"/>
  <c r="S448" i="2"/>
  <c r="Q448" i="2"/>
  <c r="P448" i="2"/>
  <c r="O448" i="2"/>
  <c r="N448" i="2"/>
  <c r="M448" i="2"/>
  <c r="L448" i="2"/>
  <c r="AA407" i="2"/>
  <c r="Z407" i="2"/>
  <c r="U407" i="2"/>
  <c r="T407" i="2"/>
  <c r="S407" i="2"/>
  <c r="Q407" i="2"/>
  <c r="P407" i="2"/>
  <c r="O407" i="2"/>
  <c r="N407" i="2"/>
  <c r="M407" i="2"/>
  <c r="L407" i="2"/>
  <c r="AA406" i="2"/>
  <c r="Z406" i="2"/>
  <c r="U406" i="2"/>
  <c r="T406" i="2"/>
  <c r="S406" i="2"/>
  <c r="Q406" i="2"/>
  <c r="P406" i="2"/>
  <c r="O406" i="2"/>
  <c r="N406" i="2"/>
  <c r="M406" i="2"/>
  <c r="L406" i="2"/>
  <c r="AA497" i="2"/>
  <c r="Z497" i="2"/>
  <c r="U497" i="2"/>
  <c r="T497" i="2"/>
  <c r="S497" i="2"/>
  <c r="Q497" i="2"/>
  <c r="P497" i="2"/>
  <c r="O497" i="2"/>
  <c r="N497" i="2"/>
  <c r="M497" i="2"/>
  <c r="L497" i="2"/>
  <c r="AA405" i="2"/>
  <c r="Z405" i="2"/>
  <c r="U405" i="2"/>
  <c r="T405" i="2"/>
  <c r="S405" i="2"/>
  <c r="Q405" i="2"/>
  <c r="P405" i="2"/>
  <c r="O405" i="2"/>
  <c r="N405" i="2"/>
  <c r="M405" i="2"/>
  <c r="L405" i="2"/>
  <c r="AA495" i="2"/>
  <c r="Z495" i="2"/>
  <c r="U495" i="2"/>
  <c r="T495" i="2"/>
  <c r="S495" i="2"/>
  <c r="Q495" i="2"/>
  <c r="P495" i="2"/>
  <c r="O495" i="2"/>
  <c r="N495" i="2"/>
  <c r="M495" i="2"/>
  <c r="L495" i="2"/>
  <c r="AA510" i="2"/>
  <c r="Z510" i="2"/>
  <c r="U510" i="2"/>
  <c r="T510" i="2"/>
  <c r="S510" i="2"/>
  <c r="Q510" i="2"/>
  <c r="P510" i="2"/>
  <c r="O510" i="2"/>
  <c r="N510" i="2"/>
  <c r="M510" i="2"/>
  <c r="L510" i="2"/>
  <c r="AA507" i="2"/>
  <c r="Z507" i="2"/>
  <c r="U507" i="2"/>
  <c r="T507" i="2"/>
  <c r="S507" i="2"/>
  <c r="Q507" i="2"/>
  <c r="P507" i="2"/>
  <c r="O507" i="2"/>
  <c r="N507" i="2"/>
  <c r="M507" i="2"/>
  <c r="L507" i="2"/>
  <c r="AA506" i="2"/>
  <c r="Z506" i="2"/>
  <c r="U506" i="2"/>
  <c r="T506" i="2"/>
  <c r="S506" i="2"/>
  <c r="Q506" i="2"/>
  <c r="P506" i="2"/>
  <c r="O506" i="2"/>
  <c r="N506" i="2"/>
  <c r="M506" i="2"/>
  <c r="L506" i="2"/>
  <c r="AA504" i="2"/>
  <c r="Z504" i="2"/>
  <c r="U504" i="2"/>
  <c r="T504" i="2"/>
  <c r="S504" i="2"/>
  <c r="Q504" i="2"/>
  <c r="P504" i="2"/>
  <c r="O504" i="2"/>
  <c r="N504" i="2"/>
  <c r="M504" i="2"/>
  <c r="L504" i="2"/>
  <c r="AA503" i="2"/>
  <c r="Z503" i="2"/>
  <c r="U503" i="2"/>
  <c r="T503" i="2"/>
  <c r="S503" i="2"/>
  <c r="Q503" i="2"/>
  <c r="P503" i="2"/>
  <c r="O503" i="2"/>
  <c r="N503" i="2"/>
  <c r="M503" i="2"/>
  <c r="L503" i="2"/>
  <c r="AA501" i="2"/>
  <c r="Z501" i="2"/>
  <c r="U501" i="2"/>
  <c r="T501" i="2"/>
  <c r="S501" i="2"/>
  <c r="Q501" i="2"/>
  <c r="P501" i="2"/>
  <c r="O501" i="2"/>
  <c r="N501" i="2"/>
  <c r="M501" i="2"/>
  <c r="L501" i="2"/>
  <c r="AA500" i="2"/>
  <c r="Z500" i="2"/>
  <c r="U500" i="2"/>
  <c r="T500" i="2"/>
  <c r="S500" i="2"/>
  <c r="Q500" i="2"/>
  <c r="P500" i="2"/>
  <c r="O500" i="2"/>
  <c r="N500" i="2"/>
  <c r="M500" i="2"/>
  <c r="L500" i="2"/>
  <c r="AA163" i="2"/>
  <c r="Z163" i="2"/>
  <c r="U163" i="2"/>
  <c r="T163" i="2"/>
  <c r="S163" i="2"/>
  <c r="Q163" i="2"/>
  <c r="P163" i="2"/>
  <c r="O163" i="2"/>
  <c r="N163" i="2"/>
  <c r="M163" i="2"/>
  <c r="L163" i="2"/>
  <c r="AA179" i="2"/>
  <c r="Z179" i="2"/>
  <c r="U179" i="2"/>
  <c r="T179" i="2"/>
  <c r="S179" i="2"/>
  <c r="Q179" i="2"/>
  <c r="P179" i="2"/>
  <c r="O179" i="2"/>
  <c r="N179" i="2"/>
  <c r="M179" i="2"/>
  <c r="L179" i="2"/>
  <c r="AA173" i="2"/>
  <c r="Z173" i="2"/>
  <c r="U173" i="2"/>
  <c r="T173" i="2"/>
  <c r="S173" i="2"/>
  <c r="Q173" i="2"/>
  <c r="P173" i="2"/>
  <c r="O173" i="2"/>
  <c r="N173" i="2"/>
  <c r="M173" i="2"/>
  <c r="L173" i="2"/>
  <c r="AA167" i="2"/>
  <c r="Z167" i="2"/>
  <c r="U167" i="2"/>
  <c r="T167" i="2"/>
  <c r="S167" i="2"/>
  <c r="Q167" i="2"/>
  <c r="P167" i="2"/>
  <c r="O167" i="2"/>
  <c r="N167" i="2"/>
  <c r="M167" i="2"/>
  <c r="L167" i="2"/>
  <c r="AA535" i="2"/>
  <c r="Z535" i="2"/>
  <c r="U535" i="2"/>
  <c r="T535" i="2"/>
  <c r="S535" i="2"/>
  <c r="Q535" i="2"/>
  <c r="P535" i="2"/>
  <c r="O535" i="2"/>
  <c r="N535" i="2"/>
  <c r="M535" i="2"/>
  <c r="L535" i="2"/>
  <c r="AA531" i="2"/>
  <c r="Z531" i="2"/>
  <c r="U531" i="2"/>
  <c r="T531" i="2"/>
  <c r="S531" i="2"/>
  <c r="Q531" i="2"/>
  <c r="P531" i="2"/>
  <c r="O531" i="2"/>
  <c r="N531" i="2"/>
  <c r="M531" i="2"/>
  <c r="L531" i="2"/>
  <c r="AA526" i="2"/>
  <c r="Z526" i="2"/>
  <c r="U526" i="2"/>
  <c r="T526" i="2"/>
  <c r="S526" i="2"/>
  <c r="Q526" i="2"/>
  <c r="P526" i="2"/>
  <c r="O526" i="2"/>
  <c r="N526" i="2"/>
  <c r="M526" i="2"/>
  <c r="L526" i="2"/>
  <c r="AA208" i="2"/>
  <c r="Z208" i="2"/>
  <c r="U208" i="2"/>
  <c r="T208" i="2"/>
  <c r="S208" i="2"/>
  <c r="Q208" i="2"/>
  <c r="P208" i="2"/>
  <c r="O208" i="2"/>
  <c r="N208" i="2"/>
  <c r="M208" i="2"/>
  <c r="L208" i="2"/>
  <c r="AA207" i="2"/>
  <c r="Z207" i="2"/>
  <c r="U207" i="2"/>
  <c r="T207" i="2"/>
  <c r="S207" i="2"/>
  <c r="Q207" i="2"/>
  <c r="P207" i="2"/>
  <c r="O207" i="2"/>
  <c r="N207" i="2"/>
  <c r="M207" i="2"/>
  <c r="L207" i="2"/>
  <c r="AA205" i="2"/>
  <c r="Z205" i="2"/>
  <c r="U205" i="2"/>
  <c r="T205" i="2"/>
  <c r="S205" i="2"/>
  <c r="Q205" i="2"/>
  <c r="P205" i="2"/>
  <c r="O205" i="2"/>
  <c r="N205" i="2"/>
  <c r="M205" i="2"/>
  <c r="L205" i="2"/>
  <c r="AA204" i="2"/>
  <c r="Z204" i="2"/>
  <c r="U204" i="2"/>
  <c r="T204" i="2"/>
  <c r="S204" i="2"/>
  <c r="Q204" i="2"/>
  <c r="P204" i="2"/>
  <c r="O204" i="2"/>
  <c r="N204" i="2"/>
  <c r="M204" i="2"/>
  <c r="L204" i="2"/>
  <c r="AA203" i="2"/>
  <c r="Z203" i="2"/>
  <c r="U203" i="2"/>
  <c r="T203" i="2"/>
  <c r="S203" i="2"/>
  <c r="Q203" i="2"/>
  <c r="P203" i="2"/>
  <c r="O203" i="2"/>
  <c r="N203" i="2"/>
  <c r="M203" i="2"/>
  <c r="L203" i="2"/>
  <c r="AA422" i="2"/>
  <c r="Z422" i="2"/>
  <c r="U422" i="2"/>
  <c r="T422" i="2"/>
  <c r="S422" i="2"/>
  <c r="Q422" i="2"/>
  <c r="P422" i="2"/>
  <c r="O422" i="2"/>
  <c r="N422" i="2"/>
  <c r="M422" i="2"/>
  <c r="L422" i="2"/>
  <c r="AA421" i="2"/>
  <c r="Z421" i="2"/>
  <c r="U421" i="2"/>
  <c r="T421" i="2"/>
  <c r="S421" i="2"/>
  <c r="Q421" i="2"/>
  <c r="P421" i="2"/>
  <c r="O421" i="2"/>
  <c r="N421" i="2"/>
  <c r="M421" i="2"/>
  <c r="L421" i="2"/>
  <c r="AA420" i="2"/>
  <c r="Z420" i="2"/>
  <c r="U420" i="2"/>
  <c r="T420" i="2"/>
  <c r="S420" i="2"/>
  <c r="Q420" i="2"/>
  <c r="P420" i="2"/>
  <c r="O420" i="2"/>
  <c r="N420" i="2"/>
  <c r="M420" i="2"/>
  <c r="L420" i="2"/>
  <c r="AA419" i="2"/>
  <c r="Z419" i="2"/>
  <c r="U419" i="2"/>
  <c r="T419" i="2"/>
  <c r="S419" i="2"/>
  <c r="Q419" i="2"/>
  <c r="P419" i="2"/>
  <c r="O419" i="2"/>
  <c r="N419" i="2"/>
  <c r="M419" i="2"/>
  <c r="L419" i="2"/>
  <c r="AA522" i="2"/>
  <c r="Z522" i="2"/>
  <c r="U522" i="2"/>
  <c r="T522" i="2"/>
  <c r="S522" i="2"/>
  <c r="Q522" i="2"/>
  <c r="P522" i="2"/>
  <c r="O522" i="2"/>
  <c r="N522" i="2"/>
  <c r="M522" i="2"/>
  <c r="L522" i="2"/>
  <c r="AA521" i="2"/>
  <c r="Z521" i="2"/>
  <c r="U521" i="2"/>
  <c r="T521" i="2"/>
  <c r="S521" i="2"/>
  <c r="Q521" i="2"/>
  <c r="P521" i="2"/>
  <c r="O521" i="2"/>
  <c r="N521" i="2"/>
  <c r="M521" i="2"/>
  <c r="L521" i="2"/>
  <c r="AA520" i="2"/>
  <c r="Z520" i="2"/>
  <c r="U520" i="2"/>
  <c r="T520" i="2"/>
  <c r="S520" i="2"/>
  <c r="Q520" i="2"/>
  <c r="P520" i="2"/>
  <c r="O520" i="2"/>
  <c r="N520" i="2"/>
  <c r="M520" i="2"/>
  <c r="L520" i="2"/>
  <c r="AA202" i="2"/>
  <c r="Z202" i="2"/>
  <c r="U202" i="2"/>
  <c r="T202" i="2"/>
  <c r="S202" i="2"/>
  <c r="Q202" i="2"/>
  <c r="P202" i="2"/>
  <c r="O202" i="2"/>
  <c r="N202" i="2"/>
  <c r="M202" i="2"/>
  <c r="L202" i="2"/>
  <c r="AA209" i="2"/>
  <c r="Z209" i="2"/>
  <c r="U209" i="2"/>
  <c r="T209" i="2"/>
  <c r="S209" i="2"/>
  <c r="Q209" i="2"/>
  <c r="P209" i="2"/>
  <c r="O209" i="2"/>
  <c r="N209" i="2"/>
  <c r="M209" i="2"/>
  <c r="L209" i="2"/>
  <c r="AA210" i="2"/>
  <c r="Z210" i="2"/>
  <c r="U210" i="2"/>
  <c r="T210" i="2"/>
  <c r="S210" i="2"/>
  <c r="Q210" i="2"/>
  <c r="P210" i="2"/>
  <c r="O210" i="2"/>
  <c r="N210" i="2"/>
  <c r="M210" i="2"/>
  <c r="L210" i="2"/>
  <c r="AA235" i="2"/>
  <c r="Z235" i="2"/>
  <c r="U235" i="2"/>
  <c r="T235" i="2"/>
  <c r="S235" i="2"/>
  <c r="Q235" i="2"/>
  <c r="P235" i="2"/>
  <c r="O235" i="2"/>
  <c r="N235" i="2"/>
  <c r="M235" i="2"/>
  <c r="L235" i="2"/>
  <c r="AA244" i="2"/>
  <c r="Z244" i="2"/>
  <c r="U244" i="2"/>
  <c r="T244" i="2"/>
  <c r="S244" i="2"/>
  <c r="Q244" i="2"/>
  <c r="P244" i="2"/>
  <c r="O244" i="2"/>
  <c r="N244" i="2"/>
  <c r="M244" i="2"/>
  <c r="L244" i="2"/>
  <c r="AA201" i="2"/>
  <c r="Z201" i="2"/>
  <c r="U201" i="2"/>
  <c r="T201" i="2"/>
  <c r="S201" i="2"/>
  <c r="Q201" i="2"/>
  <c r="P201" i="2"/>
  <c r="O201" i="2"/>
  <c r="N201" i="2"/>
  <c r="M201" i="2"/>
  <c r="L201" i="2"/>
  <c r="AA206" i="2"/>
  <c r="Z206" i="2"/>
  <c r="U206" i="2"/>
  <c r="T206" i="2"/>
  <c r="S206" i="2"/>
  <c r="Q206" i="2"/>
  <c r="P206" i="2"/>
  <c r="O206" i="2"/>
  <c r="N206" i="2"/>
  <c r="M206" i="2"/>
  <c r="L206" i="2"/>
  <c r="AA231" i="2"/>
  <c r="Z231" i="2"/>
  <c r="U231" i="2"/>
  <c r="T231" i="2"/>
  <c r="S231" i="2"/>
  <c r="Q231" i="2"/>
  <c r="P231" i="2"/>
  <c r="O231" i="2"/>
  <c r="N231" i="2"/>
  <c r="M231" i="2"/>
  <c r="L231" i="2"/>
  <c r="AA230" i="2"/>
  <c r="Z230" i="2"/>
  <c r="U230" i="2"/>
  <c r="T230" i="2"/>
  <c r="S230" i="2"/>
  <c r="Q230" i="2"/>
  <c r="P230" i="2"/>
  <c r="O230" i="2"/>
  <c r="N230" i="2"/>
  <c r="M230" i="2"/>
  <c r="L230" i="2"/>
  <c r="AA229" i="2"/>
  <c r="Z229" i="2"/>
  <c r="U229" i="2"/>
  <c r="T229" i="2"/>
  <c r="S229" i="2"/>
  <c r="Q229" i="2"/>
  <c r="P229" i="2"/>
  <c r="O229" i="2"/>
  <c r="N229" i="2"/>
  <c r="M229" i="2"/>
  <c r="L229" i="2"/>
  <c r="AA227" i="2"/>
  <c r="Z227" i="2"/>
  <c r="U227" i="2"/>
  <c r="T227" i="2"/>
  <c r="S227" i="2"/>
  <c r="Q227" i="2"/>
  <c r="P227" i="2"/>
  <c r="O227" i="2"/>
  <c r="N227" i="2"/>
  <c r="M227" i="2"/>
  <c r="L227" i="2"/>
  <c r="AA243" i="2"/>
  <c r="Z243" i="2"/>
  <c r="U243" i="2"/>
  <c r="T243" i="2"/>
  <c r="S243" i="2"/>
  <c r="Q243" i="2"/>
  <c r="P243" i="2"/>
  <c r="O243" i="2"/>
  <c r="N243" i="2"/>
  <c r="M243" i="2"/>
  <c r="L243" i="2"/>
  <c r="AA242" i="2"/>
  <c r="Z242" i="2"/>
  <c r="U242" i="2"/>
  <c r="T242" i="2"/>
  <c r="S242" i="2"/>
  <c r="Q242" i="2"/>
  <c r="P242" i="2"/>
  <c r="O242" i="2"/>
  <c r="N242" i="2"/>
  <c r="M242" i="2"/>
  <c r="L242" i="2"/>
  <c r="AA224" i="2"/>
  <c r="Z224" i="2"/>
  <c r="U224" i="2"/>
  <c r="T224" i="2"/>
  <c r="S224" i="2"/>
  <c r="Q224" i="2"/>
  <c r="P224" i="2"/>
  <c r="O224" i="2"/>
  <c r="N224" i="2"/>
  <c r="M224" i="2"/>
  <c r="L224" i="2"/>
  <c r="AA435" i="2"/>
  <c r="Z435" i="2"/>
  <c r="U435" i="2"/>
  <c r="T435" i="2"/>
  <c r="S435" i="2"/>
  <c r="Q435" i="2"/>
  <c r="P435" i="2"/>
  <c r="O435" i="2"/>
  <c r="N435" i="2"/>
  <c r="M435" i="2"/>
  <c r="L435" i="2"/>
  <c r="AA537" i="2"/>
  <c r="Z537" i="2"/>
  <c r="U537" i="2"/>
  <c r="T537" i="2"/>
  <c r="S537" i="2"/>
  <c r="Q537" i="2"/>
  <c r="P537" i="2"/>
  <c r="O537" i="2"/>
  <c r="N537" i="2"/>
  <c r="M537" i="2"/>
  <c r="L537" i="2"/>
  <c r="D537" i="2"/>
  <c r="AA433" i="2"/>
  <c r="Z433" i="2"/>
  <c r="U433" i="2"/>
  <c r="T433" i="2"/>
  <c r="S433" i="2"/>
  <c r="Q433" i="2"/>
  <c r="P433" i="2"/>
  <c r="O433" i="2"/>
  <c r="N433" i="2"/>
  <c r="M433" i="2"/>
  <c r="L433" i="2"/>
  <c r="AA432" i="2"/>
  <c r="Z432" i="2"/>
  <c r="U432" i="2"/>
  <c r="T432" i="2"/>
  <c r="S432" i="2"/>
  <c r="Q432" i="2"/>
  <c r="P432" i="2"/>
  <c r="O432" i="2"/>
  <c r="N432" i="2"/>
  <c r="M432" i="2"/>
  <c r="L432" i="2"/>
  <c r="AA431" i="2"/>
  <c r="Z431" i="2"/>
  <c r="U431" i="2"/>
  <c r="T431" i="2"/>
  <c r="S431" i="2"/>
  <c r="Q431" i="2"/>
  <c r="P431" i="2"/>
  <c r="O431" i="2"/>
  <c r="N431" i="2"/>
  <c r="M431" i="2"/>
  <c r="L431" i="2"/>
  <c r="AA533" i="2"/>
  <c r="Z533" i="2"/>
  <c r="U533" i="2"/>
  <c r="T533" i="2"/>
  <c r="S533" i="2"/>
  <c r="Q533" i="2"/>
  <c r="P533" i="2"/>
  <c r="O533" i="2"/>
  <c r="N533" i="2"/>
  <c r="M533" i="2"/>
  <c r="L533" i="2"/>
  <c r="D533" i="2"/>
  <c r="AA430" i="2"/>
  <c r="Z430" i="2"/>
  <c r="U430" i="2"/>
  <c r="T430" i="2"/>
  <c r="S430" i="2"/>
  <c r="Q430" i="2"/>
  <c r="P430" i="2"/>
  <c r="O430" i="2"/>
  <c r="N430" i="2"/>
  <c r="M430" i="2"/>
  <c r="L430" i="2"/>
  <c r="AA530" i="2"/>
  <c r="Z530" i="2"/>
  <c r="U530" i="2"/>
  <c r="T530" i="2"/>
  <c r="S530" i="2"/>
  <c r="Q530" i="2"/>
  <c r="P530" i="2"/>
  <c r="O530" i="2"/>
  <c r="N530" i="2"/>
  <c r="M530" i="2"/>
  <c r="L530" i="2"/>
  <c r="D530" i="2"/>
  <c r="AA528" i="2"/>
  <c r="Z528" i="2"/>
  <c r="U528" i="2"/>
  <c r="T528" i="2"/>
  <c r="S528" i="2"/>
  <c r="Q528" i="2"/>
  <c r="P528" i="2"/>
  <c r="O528" i="2"/>
  <c r="N528" i="2"/>
  <c r="M528" i="2"/>
  <c r="L528" i="2"/>
  <c r="AA428" i="2"/>
  <c r="Z428" i="2"/>
  <c r="U428" i="2"/>
  <c r="T428" i="2"/>
  <c r="S428" i="2"/>
  <c r="Q428" i="2"/>
  <c r="P428" i="2"/>
  <c r="O428" i="2"/>
  <c r="N428" i="2"/>
  <c r="M428" i="2"/>
  <c r="L428" i="2"/>
  <c r="AA257" i="2"/>
  <c r="Z257" i="2"/>
  <c r="U257" i="2"/>
  <c r="T257" i="2"/>
  <c r="S257" i="2"/>
  <c r="Q257" i="2"/>
  <c r="P257" i="2"/>
  <c r="O257" i="2"/>
  <c r="N257" i="2"/>
  <c r="M257" i="2"/>
  <c r="L257" i="2"/>
  <c r="AA54" i="2"/>
  <c r="Z54" i="2"/>
  <c r="U54" i="2"/>
  <c r="T54" i="2"/>
  <c r="S54" i="2"/>
  <c r="Q54" i="2"/>
  <c r="P54" i="2"/>
  <c r="O54" i="2"/>
  <c r="N54" i="2"/>
  <c r="M54" i="2"/>
  <c r="L54" i="2"/>
  <c r="AA184" i="2"/>
  <c r="Z184" i="2"/>
  <c r="U184" i="2"/>
  <c r="T184" i="2"/>
  <c r="S184" i="2"/>
  <c r="Q184" i="2"/>
  <c r="P184" i="2"/>
  <c r="O184" i="2"/>
  <c r="N184" i="2"/>
  <c r="M184" i="2"/>
  <c r="L184" i="2"/>
  <c r="AA197" i="2"/>
  <c r="Z197" i="2"/>
  <c r="U197" i="2"/>
  <c r="T197" i="2"/>
  <c r="S197" i="2"/>
  <c r="Q197" i="2"/>
  <c r="P197" i="2"/>
  <c r="O197" i="2"/>
  <c r="N197" i="2"/>
  <c r="M197" i="2"/>
  <c r="L197" i="2"/>
  <c r="AA275" i="2"/>
  <c r="Z275" i="2"/>
  <c r="U275" i="2"/>
  <c r="T275" i="2"/>
  <c r="S275" i="2"/>
  <c r="Q275" i="2"/>
  <c r="P275" i="2"/>
  <c r="O275" i="2"/>
  <c r="N275" i="2"/>
  <c r="M275" i="2"/>
  <c r="L275" i="2"/>
  <c r="AA53" i="2"/>
  <c r="Z53" i="2"/>
  <c r="U53" i="2"/>
  <c r="T53" i="2"/>
  <c r="S53" i="2"/>
  <c r="Q53" i="2"/>
  <c r="P53" i="2"/>
  <c r="O53" i="2"/>
  <c r="N53" i="2"/>
  <c r="M53" i="2"/>
  <c r="L53" i="2"/>
  <c r="AA178" i="2"/>
  <c r="Z178" i="2"/>
  <c r="U178" i="2"/>
  <c r="T178" i="2"/>
  <c r="S178" i="2"/>
  <c r="Q178" i="2"/>
  <c r="P178" i="2"/>
  <c r="O178" i="2"/>
  <c r="N178" i="2"/>
  <c r="M178" i="2"/>
  <c r="L178" i="2"/>
  <c r="AA274" i="2"/>
  <c r="Z274" i="2"/>
  <c r="U274" i="2"/>
  <c r="T274" i="2"/>
  <c r="S274" i="2"/>
  <c r="Q274" i="2"/>
  <c r="P274" i="2"/>
  <c r="O274" i="2"/>
  <c r="N274" i="2"/>
  <c r="M274" i="2"/>
  <c r="L274" i="2"/>
  <c r="AA273" i="2"/>
  <c r="Z273" i="2"/>
  <c r="U273" i="2"/>
  <c r="T273" i="2"/>
  <c r="S273" i="2"/>
  <c r="Q273" i="2"/>
  <c r="P273" i="2"/>
  <c r="O273" i="2"/>
  <c r="N273" i="2"/>
  <c r="M273" i="2"/>
  <c r="L273" i="2"/>
  <c r="AA172" i="2"/>
  <c r="Z172" i="2"/>
  <c r="U172" i="2"/>
  <c r="T172" i="2"/>
  <c r="S172" i="2"/>
  <c r="Q172" i="2"/>
  <c r="P172" i="2"/>
  <c r="O172" i="2"/>
  <c r="N172" i="2"/>
  <c r="M172" i="2"/>
  <c r="L172" i="2"/>
  <c r="AA137" i="2"/>
  <c r="Z137" i="2"/>
  <c r="U137" i="2"/>
  <c r="T137" i="2"/>
  <c r="S137" i="2"/>
  <c r="Q137" i="2"/>
  <c r="P137" i="2"/>
  <c r="O137" i="2"/>
  <c r="N137" i="2"/>
  <c r="M137" i="2"/>
  <c r="L137" i="2"/>
  <c r="AA10" i="2"/>
  <c r="Z10" i="2"/>
  <c r="U10" i="2"/>
  <c r="T10" i="2"/>
  <c r="S10" i="2"/>
  <c r="Q10" i="2"/>
  <c r="P10" i="2"/>
  <c r="O10" i="2"/>
  <c r="N10" i="2"/>
  <c r="M10" i="2"/>
  <c r="L10" i="2"/>
  <c r="AA61" i="2"/>
  <c r="Z61" i="2"/>
  <c r="U61" i="2"/>
  <c r="T61" i="2"/>
  <c r="S61" i="2"/>
  <c r="Q61" i="2"/>
  <c r="P61" i="2"/>
  <c r="O61" i="2"/>
  <c r="N61" i="2"/>
  <c r="M61" i="2"/>
  <c r="L61" i="2"/>
  <c r="AA93" i="2"/>
  <c r="Z93" i="2"/>
  <c r="U93" i="2"/>
  <c r="T93" i="2"/>
  <c r="S93" i="2"/>
  <c r="Q93" i="2"/>
  <c r="P93" i="2"/>
  <c r="O93" i="2"/>
  <c r="N93" i="2"/>
  <c r="M93" i="2"/>
  <c r="L93" i="2"/>
  <c r="AA114" i="2"/>
  <c r="Z114" i="2"/>
  <c r="U114" i="2"/>
  <c r="T114" i="2"/>
  <c r="S114" i="2"/>
  <c r="Q114" i="2"/>
  <c r="P114" i="2"/>
  <c r="O114" i="2"/>
  <c r="N114" i="2"/>
  <c r="M114" i="2"/>
  <c r="L114" i="2"/>
  <c r="AA119" i="2"/>
  <c r="Z119" i="2"/>
  <c r="U119" i="2"/>
  <c r="T119" i="2"/>
  <c r="S119" i="2"/>
  <c r="Q119" i="2"/>
  <c r="P119" i="2"/>
  <c r="O119" i="2"/>
  <c r="N119" i="2"/>
  <c r="M119" i="2"/>
  <c r="L119" i="2"/>
  <c r="AA214" i="2"/>
  <c r="Z214" i="2"/>
  <c r="U214" i="2"/>
  <c r="T214" i="2"/>
  <c r="S214" i="2"/>
  <c r="Q214" i="2"/>
  <c r="P214" i="2"/>
  <c r="O214" i="2"/>
  <c r="N214" i="2"/>
  <c r="M214" i="2"/>
  <c r="L214" i="2"/>
  <c r="AA281" i="2"/>
  <c r="Z281" i="2"/>
  <c r="U281" i="2"/>
  <c r="T281" i="2"/>
  <c r="S281" i="2"/>
  <c r="Q281" i="2"/>
  <c r="P281" i="2"/>
  <c r="O281" i="2"/>
  <c r="N281" i="2"/>
  <c r="M281" i="2"/>
  <c r="L281" i="2"/>
  <c r="AA509" i="2"/>
  <c r="Z509" i="2"/>
  <c r="U509" i="2"/>
  <c r="T509" i="2"/>
  <c r="S509" i="2"/>
  <c r="Q509" i="2"/>
  <c r="P509" i="2"/>
  <c r="O509" i="2"/>
  <c r="N509" i="2"/>
  <c r="M509" i="2"/>
  <c r="L509" i="2"/>
  <c r="AA519" i="2"/>
  <c r="Z519" i="2"/>
  <c r="U519" i="2"/>
  <c r="T519" i="2"/>
  <c r="S519" i="2"/>
  <c r="Q519" i="2"/>
  <c r="P519" i="2"/>
  <c r="O519" i="2"/>
  <c r="N519" i="2"/>
  <c r="M519" i="2"/>
  <c r="L519" i="2"/>
  <c r="AA9" i="2"/>
  <c r="Z9" i="2"/>
  <c r="U9" i="2"/>
  <c r="T9" i="2"/>
  <c r="S9" i="2"/>
  <c r="Q9" i="2"/>
  <c r="P9" i="2"/>
  <c r="O9" i="2"/>
  <c r="N9" i="2"/>
  <c r="M9" i="2"/>
  <c r="L9" i="2"/>
  <c r="AA92" i="2"/>
  <c r="Z92" i="2"/>
  <c r="U92" i="2"/>
  <c r="T92" i="2"/>
  <c r="S92" i="2"/>
  <c r="Q92" i="2"/>
  <c r="P92" i="2"/>
  <c r="O92" i="2"/>
  <c r="N92" i="2"/>
  <c r="M92" i="2"/>
  <c r="L92" i="2"/>
  <c r="AA113" i="2"/>
  <c r="Z113" i="2"/>
  <c r="U113" i="2"/>
  <c r="T113" i="2"/>
  <c r="S113" i="2"/>
  <c r="Q113" i="2"/>
  <c r="P113" i="2"/>
  <c r="O113" i="2"/>
  <c r="N113" i="2"/>
  <c r="M113" i="2"/>
  <c r="L113" i="2"/>
  <c r="AA136" i="2"/>
  <c r="Z136" i="2"/>
  <c r="U136" i="2"/>
  <c r="T136" i="2"/>
  <c r="S136" i="2"/>
  <c r="Q136" i="2"/>
  <c r="P136" i="2"/>
  <c r="O136" i="2"/>
  <c r="N136" i="2"/>
  <c r="M136" i="2"/>
  <c r="L136" i="2"/>
  <c r="AA280" i="2"/>
  <c r="Z280" i="2"/>
  <c r="U280" i="2"/>
  <c r="T280" i="2"/>
  <c r="S280" i="2"/>
  <c r="Q280" i="2"/>
  <c r="P280" i="2"/>
  <c r="O280" i="2"/>
  <c r="N280" i="2"/>
  <c r="M280" i="2"/>
  <c r="L280" i="2"/>
  <c r="AA508" i="2"/>
  <c r="Z508" i="2"/>
  <c r="U508" i="2"/>
  <c r="T508" i="2"/>
  <c r="S508" i="2"/>
  <c r="Q508" i="2"/>
  <c r="P508" i="2"/>
  <c r="O508" i="2"/>
  <c r="N508" i="2"/>
  <c r="M508" i="2"/>
  <c r="L508" i="2"/>
  <c r="AA518" i="2"/>
  <c r="Z518" i="2"/>
  <c r="U518" i="2"/>
  <c r="T518" i="2"/>
  <c r="S518" i="2"/>
  <c r="Q518" i="2"/>
  <c r="P518" i="2"/>
  <c r="O518" i="2"/>
  <c r="N518" i="2"/>
  <c r="M518" i="2"/>
  <c r="L518" i="2"/>
  <c r="AA505" i="2"/>
  <c r="Z505" i="2"/>
  <c r="U505" i="2"/>
  <c r="T505" i="2"/>
  <c r="S505" i="2"/>
  <c r="Q505" i="2"/>
  <c r="P505" i="2"/>
  <c r="O505" i="2"/>
  <c r="N505" i="2"/>
  <c r="M505" i="2"/>
  <c r="L505" i="2"/>
  <c r="AA7" i="2"/>
  <c r="Z7" i="2"/>
  <c r="U7" i="2"/>
  <c r="T7" i="2"/>
  <c r="S7" i="2"/>
  <c r="Q7" i="2"/>
  <c r="P7" i="2"/>
  <c r="O7" i="2"/>
  <c r="N7" i="2"/>
  <c r="M7" i="2"/>
  <c r="L7" i="2"/>
  <c r="AA91" i="2"/>
  <c r="Z91" i="2"/>
  <c r="U91" i="2"/>
  <c r="T91" i="2"/>
  <c r="S91" i="2"/>
  <c r="Q91" i="2"/>
  <c r="P91" i="2"/>
  <c r="O91" i="2"/>
  <c r="N91" i="2"/>
  <c r="M91" i="2"/>
  <c r="L91" i="2"/>
  <c r="AA95" i="2"/>
  <c r="Z95" i="2"/>
  <c r="U95" i="2"/>
  <c r="T95" i="2"/>
  <c r="S95" i="2"/>
  <c r="Q95" i="2"/>
  <c r="P95" i="2"/>
  <c r="O95" i="2"/>
  <c r="N95" i="2"/>
  <c r="M95" i="2"/>
  <c r="L95" i="2"/>
  <c r="AA111" i="2"/>
  <c r="Z111" i="2"/>
  <c r="U111" i="2"/>
  <c r="T111" i="2"/>
  <c r="S111" i="2"/>
  <c r="Q111" i="2"/>
  <c r="P111" i="2"/>
  <c r="O111" i="2"/>
  <c r="N111" i="2"/>
  <c r="M111" i="2"/>
  <c r="L111" i="2"/>
  <c r="AA118" i="2"/>
  <c r="Z118" i="2"/>
  <c r="U118" i="2"/>
  <c r="T118" i="2"/>
  <c r="S118" i="2"/>
  <c r="Q118" i="2"/>
  <c r="P118" i="2"/>
  <c r="O118" i="2"/>
  <c r="N118" i="2"/>
  <c r="M118" i="2"/>
  <c r="L118" i="2"/>
  <c r="AA221" i="2"/>
  <c r="Z221" i="2"/>
  <c r="U221" i="2"/>
  <c r="T221" i="2"/>
  <c r="S221" i="2"/>
  <c r="Q221" i="2"/>
  <c r="P221" i="2"/>
  <c r="O221" i="2"/>
  <c r="N221" i="2"/>
  <c r="M221" i="2"/>
  <c r="L221" i="2"/>
  <c r="AA467" i="2"/>
  <c r="Z467" i="2"/>
  <c r="U467" i="2"/>
  <c r="T467" i="2"/>
  <c r="S467" i="2"/>
  <c r="Q467" i="2"/>
  <c r="P467" i="2"/>
  <c r="O467" i="2"/>
  <c r="N467" i="2"/>
  <c r="M467" i="2"/>
  <c r="L467" i="2"/>
  <c r="AA6" i="2"/>
  <c r="Z6" i="2"/>
  <c r="U6" i="2"/>
  <c r="T6" i="2"/>
  <c r="S6" i="2"/>
  <c r="Q6" i="2"/>
  <c r="P6" i="2"/>
  <c r="O6" i="2"/>
  <c r="N6" i="2"/>
  <c r="M6" i="2"/>
  <c r="L6" i="2"/>
  <c r="AA89" i="2"/>
  <c r="Z89" i="2"/>
  <c r="U89" i="2"/>
  <c r="T89" i="2"/>
  <c r="S89" i="2"/>
  <c r="Q89" i="2"/>
  <c r="P89" i="2"/>
  <c r="O89" i="2"/>
  <c r="N89" i="2"/>
  <c r="M89" i="2"/>
  <c r="L89" i="2"/>
  <c r="AA110" i="2"/>
  <c r="Z110" i="2"/>
  <c r="U110" i="2"/>
  <c r="T110" i="2"/>
  <c r="S110" i="2"/>
  <c r="Q110" i="2"/>
  <c r="P110" i="2"/>
  <c r="O110" i="2"/>
  <c r="N110" i="2"/>
  <c r="M110" i="2"/>
  <c r="L110" i="2"/>
  <c r="AA117" i="2"/>
  <c r="Z117" i="2"/>
  <c r="U117" i="2"/>
  <c r="T117" i="2"/>
  <c r="S117" i="2"/>
  <c r="Q117" i="2"/>
  <c r="P117" i="2"/>
  <c r="O117" i="2"/>
  <c r="N117" i="2"/>
  <c r="M117" i="2"/>
  <c r="L117" i="2"/>
  <c r="AA464" i="2"/>
  <c r="Z464" i="2"/>
  <c r="U464" i="2"/>
  <c r="T464" i="2"/>
  <c r="S464" i="2"/>
  <c r="Q464" i="2"/>
  <c r="P464" i="2"/>
  <c r="O464" i="2"/>
  <c r="N464" i="2"/>
  <c r="M464" i="2"/>
  <c r="L464" i="2"/>
  <c r="AA88" i="2"/>
  <c r="Z88" i="2"/>
  <c r="U88" i="2"/>
  <c r="T88" i="2"/>
  <c r="S88" i="2"/>
  <c r="Q88" i="2"/>
  <c r="P88" i="2"/>
  <c r="O88" i="2"/>
  <c r="N88" i="2"/>
  <c r="M88" i="2"/>
  <c r="L88" i="2"/>
  <c r="AA107" i="2"/>
  <c r="Z107" i="2"/>
  <c r="U107" i="2"/>
  <c r="T107" i="2"/>
  <c r="S107" i="2"/>
  <c r="Q107" i="2"/>
  <c r="P107" i="2"/>
  <c r="O107" i="2"/>
  <c r="N107" i="2"/>
  <c r="M107" i="2"/>
  <c r="L107" i="2"/>
  <c r="AA135" i="2"/>
  <c r="Z135" i="2"/>
  <c r="U135" i="2"/>
  <c r="T135" i="2"/>
  <c r="S135" i="2"/>
  <c r="Q135" i="2"/>
  <c r="P135" i="2"/>
  <c r="O135" i="2"/>
  <c r="N135" i="2"/>
  <c r="M135" i="2"/>
  <c r="L135" i="2"/>
  <c r="AA502" i="2"/>
  <c r="Z502" i="2"/>
  <c r="U502" i="2"/>
  <c r="T502" i="2"/>
  <c r="S502" i="2"/>
  <c r="Q502" i="2"/>
  <c r="P502" i="2"/>
  <c r="O502" i="2"/>
  <c r="N502" i="2"/>
  <c r="M502" i="2"/>
  <c r="L502" i="2"/>
  <c r="AA105" i="2"/>
  <c r="Z105" i="2"/>
  <c r="U105" i="2"/>
  <c r="T105" i="2"/>
  <c r="S105" i="2"/>
  <c r="Q105" i="2"/>
  <c r="P105" i="2"/>
  <c r="O105" i="2"/>
  <c r="N105" i="2"/>
  <c r="M105" i="2"/>
  <c r="L105" i="2"/>
  <c r="AA116" i="2"/>
  <c r="Z116" i="2"/>
  <c r="U116" i="2"/>
  <c r="T116" i="2"/>
  <c r="S116" i="2"/>
  <c r="Q116" i="2"/>
  <c r="P116" i="2"/>
  <c r="O116" i="2"/>
  <c r="N116" i="2"/>
  <c r="M116" i="2"/>
  <c r="L116" i="2"/>
  <c r="AA123" i="2"/>
  <c r="Z123" i="2"/>
  <c r="U123" i="2"/>
  <c r="T123" i="2"/>
  <c r="S123" i="2"/>
  <c r="Q123" i="2"/>
  <c r="P123" i="2"/>
  <c r="O123" i="2"/>
  <c r="N123" i="2"/>
  <c r="M123" i="2"/>
  <c r="L123" i="2"/>
  <c r="AA446" i="2"/>
  <c r="Z446" i="2"/>
  <c r="U446" i="2"/>
  <c r="T446" i="2"/>
  <c r="S446" i="2"/>
  <c r="Q446" i="2"/>
  <c r="P446" i="2"/>
  <c r="O446" i="2"/>
  <c r="N446" i="2"/>
  <c r="M446" i="2"/>
  <c r="L446" i="2"/>
  <c r="AA125" i="2"/>
  <c r="Z125" i="2"/>
  <c r="U125" i="2"/>
  <c r="T125" i="2"/>
  <c r="S125" i="2"/>
  <c r="Q125" i="2"/>
  <c r="P125" i="2"/>
  <c r="O125" i="2"/>
  <c r="N125" i="2"/>
  <c r="M125" i="2"/>
  <c r="L125" i="2"/>
  <c r="AA124" i="2"/>
  <c r="Z124" i="2"/>
  <c r="U124" i="2"/>
  <c r="T124" i="2"/>
  <c r="S124" i="2"/>
  <c r="Q124" i="2"/>
  <c r="P124" i="2"/>
  <c r="O124" i="2"/>
  <c r="N124" i="2"/>
  <c r="M124" i="2"/>
  <c r="L124" i="2"/>
  <c r="AA453" i="2"/>
  <c r="Z453" i="2"/>
  <c r="U453" i="2"/>
  <c r="T453" i="2"/>
  <c r="S453" i="2"/>
  <c r="Q453" i="2"/>
  <c r="P453" i="2"/>
  <c r="O453" i="2"/>
  <c r="N453" i="2"/>
  <c r="M453" i="2"/>
  <c r="L453" i="2"/>
  <c r="AA200" i="2"/>
  <c r="Z200" i="2"/>
  <c r="U200" i="2"/>
  <c r="T200" i="2"/>
  <c r="S200" i="2"/>
  <c r="Q200" i="2"/>
  <c r="P200" i="2"/>
  <c r="O200" i="2"/>
  <c r="N200" i="2"/>
  <c r="M200" i="2"/>
  <c r="L200" i="2"/>
  <c r="AA199" i="2"/>
  <c r="Z199" i="2"/>
  <c r="U199" i="2"/>
  <c r="T199" i="2"/>
  <c r="S199" i="2"/>
  <c r="Q199" i="2"/>
  <c r="P199" i="2"/>
  <c r="O199" i="2"/>
  <c r="N199" i="2"/>
  <c r="M199" i="2"/>
  <c r="L199" i="2"/>
  <c r="AA198" i="2"/>
  <c r="Z198" i="2"/>
  <c r="U198" i="2"/>
  <c r="T198" i="2"/>
  <c r="S198" i="2"/>
  <c r="Q198" i="2"/>
  <c r="P198" i="2"/>
  <c r="O198" i="2"/>
  <c r="N198" i="2"/>
  <c r="M198" i="2"/>
  <c r="L198" i="2"/>
  <c r="AA260" i="2"/>
  <c r="Z260" i="2"/>
  <c r="U260" i="2"/>
  <c r="T260" i="2"/>
  <c r="S260" i="2"/>
  <c r="Q260" i="2"/>
  <c r="P260" i="2"/>
  <c r="O260" i="2"/>
  <c r="N260" i="2"/>
  <c r="M260" i="2"/>
  <c r="L260" i="2"/>
  <c r="AA455" i="2"/>
  <c r="Z455" i="2"/>
  <c r="U455" i="2"/>
  <c r="T455" i="2"/>
  <c r="S455" i="2"/>
  <c r="Q455" i="2"/>
  <c r="P455" i="2"/>
  <c r="O455" i="2"/>
  <c r="N455" i="2"/>
  <c r="M455" i="2"/>
  <c r="L455" i="2"/>
  <c r="AA444" i="2"/>
  <c r="Z444" i="2"/>
  <c r="U444" i="2"/>
  <c r="T444" i="2"/>
  <c r="S444" i="2"/>
  <c r="Q444" i="2"/>
  <c r="P444" i="2"/>
  <c r="O444" i="2"/>
  <c r="N444" i="2"/>
  <c r="M444" i="2"/>
  <c r="L444" i="2"/>
  <c r="AA259" i="2"/>
  <c r="Z259" i="2"/>
  <c r="U259" i="2"/>
  <c r="T259" i="2"/>
  <c r="S259" i="2"/>
  <c r="Q259" i="2"/>
  <c r="P259" i="2"/>
  <c r="O259" i="2"/>
  <c r="N259" i="2"/>
  <c r="M259" i="2"/>
  <c r="L259" i="2"/>
  <c r="AA441" i="2"/>
  <c r="Z441" i="2"/>
  <c r="U441" i="2"/>
  <c r="T441" i="2"/>
  <c r="S441" i="2"/>
  <c r="Q441" i="2"/>
  <c r="P441" i="2"/>
  <c r="O441" i="2"/>
  <c r="N441" i="2"/>
  <c r="M441" i="2"/>
  <c r="L441" i="2"/>
  <c r="AA462" i="2"/>
  <c r="Z462" i="2"/>
  <c r="U462" i="2"/>
  <c r="T462" i="2"/>
  <c r="S462" i="2"/>
  <c r="Q462" i="2"/>
  <c r="P462" i="2"/>
  <c r="O462" i="2"/>
  <c r="N462" i="2"/>
  <c r="M462" i="2"/>
  <c r="L462" i="2"/>
  <c r="AA461" i="2"/>
  <c r="Z461" i="2"/>
  <c r="U461" i="2"/>
  <c r="T461" i="2"/>
  <c r="S461" i="2"/>
  <c r="Q461" i="2"/>
  <c r="P461" i="2"/>
  <c r="O461" i="2"/>
  <c r="N461" i="2"/>
  <c r="M461" i="2"/>
  <c r="L461" i="2"/>
  <c r="AA316" i="2"/>
  <c r="Z316" i="2"/>
  <c r="U316" i="2"/>
  <c r="T316" i="2"/>
  <c r="S316" i="2"/>
  <c r="Q316" i="2"/>
  <c r="P316" i="2"/>
  <c r="O316" i="2"/>
  <c r="N316" i="2"/>
  <c r="M316" i="2"/>
  <c r="L316" i="2"/>
  <c r="AA384" i="2"/>
  <c r="Z384" i="2"/>
  <c r="U384" i="2"/>
  <c r="T384" i="2"/>
  <c r="S384" i="2"/>
  <c r="Q384" i="2"/>
  <c r="P384" i="2"/>
  <c r="O384" i="2"/>
  <c r="N384" i="2"/>
  <c r="M384" i="2"/>
  <c r="L384" i="2"/>
  <c r="AA388" i="2"/>
  <c r="Z388" i="2"/>
  <c r="U388" i="2"/>
  <c r="T388" i="2"/>
  <c r="S388" i="2"/>
  <c r="Q388" i="2"/>
  <c r="P388" i="2"/>
  <c r="O388" i="2"/>
  <c r="N388" i="2"/>
  <c r="M388" i="2"/>
  <c r="L388" i="2"/>
  <c r="AA392" i="2"/>
  <c r="Z392" i="2"/>
  <c r="U392" i="2"/>
  <c r="T392" i="2"/>
  <c r="S392" i="2"/>
  <c r="Q392" i="2"/>
  <c r="P392" i="2"/>
  <c r="O392" i="2"/>
  <c r="N392" i="2"/>
  <c r="M392" i="2"/>
  <c r="L392" i="2"/>
  <c r="AA381" i="2"/>
  <c r="Z381" i="2"/>
  <c r="U381" i="2"/>
  <c r="T381" i="2"/>
  <c r="S381" i="2"/>
  <c r="Q381" i="2"/>
  <c r="P381" i="2"/>
  <c r="O381" i="2"/>
  <c r="N381" i="2"/>
  <c r="M381" i="2"/>
  <c r="L381" i="2"/>
  <c r="AA383" i="2"/>
  <c r="Z383" i="2"/>
  <c r="U383" i="2"/>
  <c r="T383" i="2"/>
  <c r="S383" i="2"/>
  <c r="Q383" i="2"/>
  <c r="P383" i="2"/>
  <c r="O383" i="2"/>
  <c r="N383" i="2"/>
  <c r="M383" i="2"/>
  <c r="L383" i="2"/>
  <c r="AA17" i="2"/>
  <c r="Z17" i="2"/>
  <c r="U17" i="2"/>
  <c r="T17" i="2"/>
  <c r="S17" i="2"/>
  <c r="Q17" i="2"/>
  <c r="P17" i="2"/>
  <c r="O17" i="2"/>
  <c r="N17" i="2"/>
  <c r="M17" i="2"/>
  <c r="L17" i="2"/>
  <c r="AA362" i="2"/>
  <c r="Z362" i="2"/>
  <c r="U362" i="2"/>
  <c r="T362" i="2"/>
  <c r="S362" i="2"/>
  <c r="Q362" i="2"/>
  <c r="P362" i="2"/>
  <c r="O362" i="2"/>
  <c r="N362" i="2"/>
  <c r="M362" i="2"/>
  <c r="L362" i="2"/>
  <c r="AA365" i="2"/>
  <c r="Z365" i="2"/>
  <c r="U365" i="2"/>
  <c r="T365" i="2"/>
  <c r="S365" i="2"/>
  <c r="Q365" i="2"/>
  <c r="P365" i="2"/>
  <c r="O365" i="2"/>
  <c r="N365" i="2"/>
  <c r="M365" i="2"/>
  <c r="L365" i="2"/>
  <c r="AA366" i="2"/>
  <c r="Z366" i="2"/>
  <c r="U366" i="2"/>
  <c r="T366" i="2"/>
  <c r="S366" i="2"/>
  <c r="Q366" i="2"/>
  <c r="P366" i="2"/>
  <c r="O366" i="2"/>
  <c r="N366" i="2"/>
  <c r="M366" i="2"/>
  <c r="L366" i="2"/>
  <c r="AA492" i="2"/>
  <c r="Z492" i="2"/>
  <c r="U492" i="2"/>
  <c r="T492" i="2"/>
  <c r="S492" i="2"/>
  <c r="Q492" i="2"/>
  <c r="P492" i="2"/>
  <c r="O492" i="2"/>
  <c r="N492" i="2"/>
  <c r="M492" i="2"/>
  <c r="L492" i="2"/>
  <c r="AA16" i="2"/>
  <c r="Z16" i="2"/>
  <c r="U16" i="2"/>
  <c r="T16" i="2"/>
  <c r="S16" i="2"/>
  <c r="Q16" i="2"/>
  <c r="P16" i="2"/>
  <c r="O16" i="2"/>
  <c r="N16" i="2"/>
  <c r="M16" i="2"/>
  <c r="L16" i="2"/>
  <c r="AA360" i="2"/>
  <c r="Z360" i="2"/>
  <c r="U360" i="2"/>
  <c r="T360" i="2"/>
  <c r="S360" i="2"/>
  <c r="Q360" i="2"/>
  <c r="P360" i="2"/>
  <c r="O360" i="2"/>
  <c r="N360" i="2"/>
  <c r="M360" i="2"/>
  <c r="L360" i="2"/>
  <c r="AA361" i="2"/>
  <c r="Z361" i="2"/>
  <c r="U361" i="2"/>
  <c r="T361" i="2"/>
  <c r="S361" i="2"/>
  <c r="Q361" i="2"/>
  <c r="P361" i="2"/>
  <c r="O361" i="2"/>
  <c r="N361" i="2"/>
  <c r="M361" i="2"/>
  <c r="L361" i="2"/>
  <c r="AA488" i="2"/>
  <c r="Z488" i="2"/>
  <c r="U488" i="2"/>
  <c r="T488" i="2"/>
  <c r="S488" i="2"/>
  <c r="Q488" i="2"/>
  <c r="P488" i="2"/>
  <c r="O488" i="2"/>
  <c r="N488" i="2"/>
  <c r="M488" i="2"/>
  <c r="L488" i="2"/>
  <c r="AA15" i="2"/>
  <c r="Z15" i="2"/>
  <c r="U15" i="2"/>
  <c r="T15" i="2"/>
  <c r="S15" i="2"/>
  <c r="Q15" i="2"/>
  <c r="P15" i="2"/>
  <c r="O15" i="2"/>
  <c r="N15" i="2"/>
  <c r="M15" i="2"/>
  <c r="L15" i="2"/>
  <c r="AA345" i="2"/>
  <c r="Z345" i="2"/>
  <c r="U345" i="2"/>
  <c r="T345" i="2"/>
  <c r="S345" i="2"/>
  <c r="Q345" i="2"/>
  <c r="P345" i="2"/>
  <c r="O345" i="2"/>
  <c r="N345" i="2"/>
  <c r="M345" i="2"/>
  <c r="L345" i="2"/>
  <c r="AA348" i="2"/>
  <c r="Z348" i="2"/>
  <c r="U348" i="2"/>
  <c r="T348" i="2"/>
  <c r="S348" i="2"/>
  <c r="Q348" i="2"/>
  <c r="P348" i="2"/>
  <c r="O348" i="2"/>
  <c r="N348" i="2"/>
  <c r="M348" i="2"/>
  <c r="L348" i="2"/>
  <c r="AA350" i="2"/>
  <c r="Z350" i="2"/>
  <c r="U350" i="2"/>
  <c r="T350" i="2"/>
  <c r="S350" i="2"/>
  <c r="Q350" i="2"/>
  <c r="P350" i="2"/>
  <c r="O350" i="2"/>
  <c r="N350" i="2"/>
  <c r="M350" i="2"/>
  <c r="L350" i="2"/>
  <c r="AA478" i="2"/>
  <c r="Z478" i="2"/>
  <c r="U478" i="2"/>
  <c r="T478" i="2"/>
  <c r="S478" i="2"/>
  <c r="Q478" i="2"/>
  <c r="P478" i="2"/>
  <c r="O478" i="2"/>
  <c r="N478" i="2"/>
  <c r="M478" i="2"/>
  <c r="L478" i="2"/>
  <c r="AA342" i="2"/>
  <c r="Z342" i="2"/>
  <c r="U342" i="2"/>
  <c r="T342" i="2"/>
  <c r="S342" i="2"/>
  <c r="Q342" i="2"/>
  <c r="P342" i="2"/>
  <c r="O342" i="2"/>
  <c r="N342" i="2"/>
  <c r="M342" i="2"/>
  <c r="L342" i="2"/>
  <c r="AA14" i="2"/>
  <c r="Z14" i="2"/>
  <c r="U14" i="2"/>
  <c r="T14" i="2"/>
  <c r="S14" i="2"/>
  <c r="Q14" i="2"/>
  <c r="P14" i="2"/>
  <c r="O14" i="2"/>
  <c r="N14" i="2"/>
  <c r="M14" i="2"/>
  <c r="L14" i="2"/>
  <c r="AA330" i="2"/>
  <c r="Z330" i="2"/>
  <c r="U330" i="2"/>
  <c r="T330" i="2"/>
  <c r="S330" i="2"/>
  <c r="Q330" i="2"/>
  <c r="P330" i="2"/>
  <c r="O330" i="2"/>
  <c r="N330" i="2"/>
  <c r="M330" i="2"/>
  <c r="L330" i="2"/>
  <c r="AA329" i="2"/>
  <c r="Z329" i="2"/>
  <c r="U329" i="2"/>
  <c r="T329" i="2"/>
  <c r="S329" i="2"/>
  <c r="Q329" i="2"/>
  <c r="P329" i="2"/>
  <c r="O329" i="2"/>
  <c r="N329" i="2"/>
  <c r="M329" i="2"/>
  <c r="L329" i="2"/>
  <c r="AA335" i="2"/>
  <c r="Z335" i="2"/>
  <c r="U335" i="2"/>
  <c r="T335" i="2"/>
  <c r="S335" i="2"/>
  <c r="Q335" i="2"/>
  <c r="P335" i="2"/>
  <c r="O335" i="2"/>
  <c r="N335" i="2"/>
  <c r="M335" i="2"/>
  <c r="L335" i="2"/>
  <c r="AA476" i="2"/>
  <c r="Z476" i="2"/>
  <c r="U476" i="2"/>
  <c r="T476" i="2"/>
  <c r="S476" i="2"/>
  <c r="Q476" i="2"/>
  <c r="P476" i="2"/>
  <c r="O476" i="2"/>
  <c r="N476" i="2"/>
  <c r="M476" i="2"/>
  <c r="L476" i="2"/>
  <c r="AA13" i="2"/>
  <c r="Z13" i="2"/>
  <c r="U13" i="2"/>
  <c r="T13" i="2"/>
  <c r="S13" i="2"/>
  <c r="Q13" i="2"/>
  <c r="P13" i="2"/>
  <c r="O13" i="2"/>
  <c r="N13" i="2"/>
  <c r="M13" i="2"/>
  <c r="L13" i="2"/>
  <c r="AA327" i="2"/>
  <c r="Z327" i="2"/>
  <c r="U327" i="2"/>
  <c r="T327" i="2"/>
  <c r="S327" i="2"/>
  <c r="Q327" i="2"/>
  <c r="P327" i="2"/>
  <c r="O327" i="2"/>
  <c r="N327" i="2"/>
  <c r="M327" i="2"/>
  <c r="L327" i="2"/>
  <c r="AA328" i="2"/>
  <c r="Z328" i="2"/>
  <c r="U328" i="2"/>
  <c r="T328" i="2"/>
  <c r="S328" i="2"/>
  <c r="Q328" i="2"/>
  <c r="P328" i="2"/>
  <c r="O328" i="2"/>
  <c r="N328" i="2"/>
  <c r="M328" i="2"/>
  <c r="L328" i="2"/>
  <c r="AA319" i="2"/>
  <c r="Z319" i="2"/>
  <c r="U319" i="2"/>
  <c r="T319" i="2"/>
  <c r="S319" i="2"/>
  <c r="Q319" i="2"/>
  <c r="P319" i="2"/>
  <c r="O319" i="2"/>
  <c r="N319" i="2"/>
  <c r="M319" i="2"/>
  <c r="L319" i="2"/>
  <c r="AA12" i="2"/>
  <c r="Z12" i="2"/>
  <c r="U12" i="2"/>
  <c r="T12" i="2"/>
  <c r="S12" i="2"/>
  <c r="Q12" i="2"/>
  <c r="P12" i="2"/>
  <c r="O12" i="2"/>
  <c r="N12" i="2"/>
  <c r="M12" i="2"/>
  <c r="L12" i="2"/>
  <c r="AA312" i="2"/>
  <c r="Z312" i="2"/>
  <c r="U312" i="2"/>
  <c r="T312" i="2"/>
  <c r="S312" i="2"/>
  <c r="Q312" i="2"/>
  <c r="P312" i="2"/>
  <c r="O312" i="2"/>
  <c r="N312" i="2"/>
  <c r="M312" i="2"/>
  <c r="L312" i="2"/>
  <c r="AA314" i="2"/>
  <c r="Z314" i="2"/>
  <c r="U314" i="2"/>
  <c r="T314" i="2"/>
  <c r="S314" i="2"/>
  <c r="Q314" i="2"/>
  <c r="P314" i="2"/>
  <c r="O314" i="2"/>
  <c r="N314" i="2"/>
  <c r="M314" i="2"/>
  <c r="L314" i="2"/>
  <c r="AA308" i="2"/>
  <c r="Z308" i="2"/>
  <c r="U308" i="2"/>
  <c r="T308" i="2"/>
  <c r="S308" i="2"/>
  <c r="Q308" i="2"/>
  <c r="P308" i="2"/>
  <c r="O308" i="2"/>
  <c r="N308" i="2"/>
  <c r="M308" i="2"/>
  <c r="L308" i="2"/>
  <c r="AA311" i="2"/>
  <c r="Z311" i="2"/>
  <c r="U311" i="2"/>
  <c r="T311" i="2"/>
  <c r="S311" i="2"/>
  <c r="Q311" i="2"/>
  <c r="P311" i="2"/>
  <c r="O311" i="2"/>
  <c r="N311" i="2"/>
  <c r="M311" i="2"/>
  <c r="L311" i="2"/>
  <c r="AA471" i="2"/>
  <c r="Z471" i="2"/>
  <c r="U471" i="2"/>
  <c r="T471" i="2"/>
  <c r="S471" i="2"/>
  <c r="Q471" i="2"/>
  <c r="P471" i="2"/>
  <c r="O471" i="2"/>
  <c r="N471" i="2"/>
  <c r="M471" i="2"/>
  <c r="L471" i="2"/>
  <c r="AA395" i="2"/>
  <c r="Z395" i="2"/>
  <c r="U395" i="2"/>
  <c r="T395" i="2"/>
  <c r="S395" i="2"/>
  <c r="Q395" i="2"/>
  <c r="P395" i="2"/>
  <c r="O395" i="2"/>
  <c r="N395" i="2"/>
  <c r="M395" i="2"/>
  <c r="L395" i="2"/>
  <c r="AA144" i="2"/>
  <c r="Z144" i="2"/>
  <c r="U144" i="2"/>
  <c r="T144" i="2"/>
  <c r="S144" i="2"/>
  <c r="Q144" i="2"/>
  <c r="P144" i="2"/>
  <c r="O144" i="2"/>
  <c r="N144" i="2"/>
  <c r="M144" i="2"/>
  <c r="L144" i="2"/>
  <c r="AA143" i="2"/>
  <c r="Z143" i="2"/>
  <c r="U143" i="2"/>
  <c r="T143" i="2"/>
  <c r="S143" i="2"/>
  <c r="Q143" i="2"/>
  <c r="P143" i="2"/>
  <c r="O143" i="2"/>
  <c r="N143" i="2"/>
  <c r="M143" i="2"/>
  <c r="L143" i="2"/>
  <c r="AA142" i="2"/>
  <c r="Z142" i="2"/>
  <c r="U142" i="2"/>
  <c r="T142" i="2"/>
  <c r="S142" i="2"/>
  <c r="Q142" i="2"/>
  <c r="P142" i="2"/>
  <c r="O142" i="2"/>
  <c r="N142" i="2"/>
  <c r="M142" i="2"/>
  <c r="L142" i="2"/>
  <c r="AA141" i="2"/>
  <c r="Z141" i="2"/>
  <c r="U141" i="2"/>
  <c r="T141" i="2"/>
  <c r="S141" i="2"/>
  <c r="Q141" i="2"/>
  <c r="P141" i="2"/>
  <c r="O141" i="2"/>
  <c r="N141" i="2"/>
  <c r="M141" i="2"/>
  <c r="L141" i="2"/>
  <c r="AA140" i="2"/>
  <c r="Z140" i="2"/>
  <c r="U140" i="2"/>
  <c r="T140" i="2"/>
  <c r="S140" i="2"/>
  <c r="Q140" i="2"/>
  <c r="P140" i="2"/>
  <c r="O140" i="2"/>
  <c r="N140" i="2"/>
  <c r="M140" i="2"/>
  <c r="L140" i="2"/>
  <c r="AA66" i="2"/>
  <c r="Z66" i="2"/>
  <c r="U66" i="2"/>
  <c r="T66" i="2"/>
  <c r="S66" i="2"/>
  <c r="Q66" i="2"/>
  <c r="P66" i="2"/>
  <c r="O66" i="2"/>
  <c r="N66" i="2"/>
  <c r="M66" i="2"/>
  <c r="L66" i="2"/>
  <c r="AA183" i="2"/>
  <c r="Z183" i="2"/>
  <c r="U183" i="2"/>
  <c r="T183" i="2"/>
  <c r="S183" i="2"/>
  <c r="Q183" i="2"/>
  <c r="P183" i="2"/>
  <c r="O183" i="2"/>
  <c r="N183" i="2"/>
  <c r="M183" i="2"/>
  <c r="L183" i="2"/>
  <c r="AA56" i="2"/>
  <c r="Z56" i="2"/>
  <c r="U56" i="2"/>
  <c r="T56" i="2"/>
  <c r="S56" i="2"/>
  <c r="Q56" i="2"/>
  <c r="P56" i="2"/>
  <c r="O56" i="2"/>
  <c r="N56" i="2"/>
  <c r="M56" i="2"/>
  <c r="L56" i="2"/>
  <c r="AA65" i="2"/>
  <c r="Z65" i="2"/>
  <c r="U65" i="2"/>
  <c r="T65" i="2"/>
  <c r="S65" i="2"/>
  <c r="Q65" i="2"/>
  <c r="P65" i="2"/>
  <c r="O65" i="2"/>
  <c r="N65" i="2"/>
  <c r="M65" i="2"/>
  <c r="L65" i="2"/>
  <c r="AA175" i="2"/>
  <c r="Z175" i="2"/>
  <c r="U175" i="2"/>
  <c r="T175" i="2"/>
  <c r="S175" i="2"/>
  <c r="Q175" i="2"/>
  <c r="P175" i="2"/>
  <c r="O175" i="2"/>
  <c r="N175" i="2"/>
  <c r="M175" i="2"/>
  <c r="L175" i="2"/>
  <c r="AA239" i="2"/>
  <c r="Z239" i="2"/>
  <c r="U239" i="2"/>
  <c r="T239" i="2"/>
  <c r="S239" i="2"/>
  <c r="Q239" i="2"/>
  <c r="P239" i="2"/>
  <c r="O239" i="2"/>
  <c r="N239" i="2"/>
  <c r="M239" i="2"/>
  <c r="L239" i="2"/>
  <c r="AA55" i="2"/>
  <c r="Z55" i="2"/>
  <c r="U55" i="2"/>
  <c r="T55" i="2"/>
  <c r="S55" i="2"/>
  <c r="Q55" i="2"/>
  <c r="P55" i="2"/>
  <c r="O55" i="2"/>
  <c r="N55" i="2"/>
  <c r="M55" i="2"/>
  <c r="L55" i="2"/>
  <c r="AA236" i="2"/>
  <c r="Z236" i="2"/>
  <c r="U236" i="2"/>
  <c r="T236" i="2"/>
  <c r="S236" i="2"/>
  <c r="Q236" i="2"/>
  <c r="P236" i="2"/>
  <c r="O236" i="2"/>
  <c r="N236" i="2"/>
  <c r="M236" i="2"/>
  <c r="L236" i="2"/>
  <c r="AA434" i="2"/>
  <c r="Z434" i="2"/>
  <c r="U434" i="2"/>
  <c r="T434" i="2"/>
  <c r="S434" i="2"/>
  <c r="Q434" i="2"/>
  <c r="P434" i="2"/>
  <c r="O434" i="2"/>
  <c r="N434" i="2"/>
  <c r="M434" i="2"/>
  <c r="L434" i="2"/>
  <c r="AA233" i="2"/>
  <c r="Z233" i="2"/>
  <c r="U233" i="2"/>
  <c r="T233" i="2"/>
  <c r="S233" i="2"/>
  <c r="Q233" i="2"/>
  <c r="P233" i="2"/>
  <c r="O233" i="2"/>
  <c r="N233" i="2"/>
  <c r="M233" i="2"/>
  <c r="L233" i="2"/>
  <c r="AA226" i="2"/>
  <c r="Z226" i="2"/>
  <c r="U226" i="2"/>
  <c r="T226" i="2"/>
  <c r="S226" i="2"/>
  <c r="Q226" i="2"/>
  <c r="P226" i="2"/>
  <c r="O226" i="2"/>
  <c r="N226" i="2"/>
  <c r="M226" i="2"/>
  <c r="L226" i="2"/>
  <c r="AA429" i="2"/>
  <c r="Z429" i="2"/>
  <c r="U429" i="2"/>
  <c r="T429" i="2"/>
  <c r="S429" i="2"/>
  <c r="Q429" i="2"/>
  <c r="P429" i="2"/>
  <c r="O429" i="2"/>
  <c r="N429" i="2"/>
  <c r="M429" i="2"/>
  <c r="L429" i="2"/>
  <c r="AA223" i="2"/>
  <c r="Z223" i="2"/>
  <c r="U223" i="2"/>
  <c r="T223" i="2"/>
  <c r="S223" i="2"/>
  <c r="Q223" i="2"/>
  <c r="P223" i="2"/>
  <c r="O223" i="2"/>
  <c r="N223" i="2"/>
  <c r="M223" i="2"/>
  <c r="L223" i="2"/>
  <c r="AA57" i="2"/>
  <c r="Z57" i="2"/>
  <c r="U57" i="2"/>
  <c r="T57" i="2"/>
  <c r="S57" i="2"/>
  <c r="Q57" i="2"/>
  <c r="P57" i="2"/>
  <c r="O57" i="2"/>
  <c r="N57" i="2"/>
  <c r="M57" i="2"/>
  <c r="L57" i="2"/>
  <c r="AA86" i="2"/>
  <c r="Z86" i="2"/>
  <c r="U86" i="2"/>
  <c r="T86" i="2"/>
  <c r="S86" i="2"/>
  <c r="Q86" i="2"/>
  <c r="P86" i="2"/>
  <c r="O86" i="2"/>
  <c r="N86" i="2"/>
  <c r="M86" i="2"/>
  <c r="L86" i="2"/>
  <c r="AA101" i="2"/>
  <c r="Z101" i="2"/>
  <c r="U101" i="2"/>
  <c r="T101" i="2"/>
  <c r="S101" i="2"/>
  <c r="Q101" i="2"/>
  <c r="P101" i="2"/>
  <c r="O101" i="2"/>
  <c r="N101" i="2"/>
  <c r="M101" i="2"/>
  <c r="L101" i="2"/>
  <c r="AA128" i="2"/>
  <c r="Z128" i="2"/>
  <c r="U128" i="2"/>
  <c r="T128" i="2"/>
  <c r="S128" i="2"/>
  <c r="Q128" i="2"/>
  <c r="P128" i="2"/>
  <c r="O128" i="2"/>
  <c r="N128" i="2"/>
  <c r="M128" i="2"/>
  <c r="L128" i="2"/>
  <c r="AA282" i="2"/>
  <c r="Z282" i="2"/>
  <c r="U282" i="2"/>
  <c r="T282" i="2"/>
  <c r="S282" i="2"/>
  <c r="Q282" i="2"/>
  <c r="P282" i="2"/>
  <c r="O282" i="2"/>
  <c r="N282" i="2"/>
  <c r="M282" i="2"/>
  <c r="L282" i="2"/>
  <c r="AA298" i="2"/>
  <c r="Z298" i="2"/>
  <c r="U298" i="2"/>
  <c r="T298" i="2"/>
  <c r="S298" i="2"/>
  <c r="Q298" i="2"/>
  <c r="P298" i="2"/>
  <c r="O298" i="2"/>
  <c r="N298" i="2"/>
  <c r="M298" i="2"/>
  <c r="L298" i="2"/>
  <c r="AA404" i="2"/>
  <c r="Z404" i="2"/>
  <c r="U404" i="2"/>
  <c r="T404" i="2"/>
  <c r="S404" i="2"/>
  <c r="Q404" i="2"/>
  <c r="P404" i="2"/>
  <c r="O404" i="2"/>
  <c r="N404" i="2"/>
  <c r="M404" i="2"/>
  <c r="L404" i="2"/>
  <c r="AA414" i="2"/>
  <c r="Z414" i="2"/>
  <c r="U414" i="2"/>
  <c r="T414" i="2"/>
  <c r="S414" i="2"/>
  <c r="Q414" i="2"/>
  <c r="P414" i="2"/>
  <c r="O414" i="2"/>
  <c r="N414" i="2"/>
  <c r="M414" i="2"/>
  <c r="L414" i="2"/>
  <c r="AA437" i="2"/>
  <c r="Z437" i="2"/>
  <c r="U437" i="2"/>
  <c r="T437" i="2"/>
  <c r="S437" i="2"/>
  <c r="Q437" i="2"/>
  <c r="P437" i="2"/>
  <c r="O437" i="2"/>
  <c r="N437" i="2"/>
  <c r="M437" i="2"/>
  <c r="L437" i="2"/>
  <c r="AA457" i="2"/>
  <c r="Z457" i="2"/>
  <c r="U457" i="2"/>
  <c r="T457" i="2"/>
  <c r="S457" i="2"/>
  <c r="Q457" i="2"/>
  <c r="P457" i="2"/>
  <c r="O457" i="2"/>
  <c r="N457" i="2"/>
  <c r="M457" i="2"/>
  <c r="L457" i="2"/>
  <c r="AA515" i="2"/>
  <c r="Z515" i="2"/>
  <c r="U515" i="2"/>
  <c r="T515" i="2"/>
  <c r="S515" i="2"/>
  <c r="Q515" i="2"/>
  <c r="P515" i="2"/>
  <c r="O515" i="2"/>
  <c r="N515" i="2"/>
  <c r="M515" i="2"/>
  <c r="L515" i="2"/>
  <c r="AA525" i="2"/>
  <c r="Z525" i="2"/>
  <c r="U525" i="2"/>
  <c r="T525" i="2"/>
  <c r="S525" i="2"/>
  <c r="Q525" i="2"/>
  <c r="P525" i="2"/>
  <c r="O525" i="2"/>
  <c r="N525" i="2"/>
  <c r="M525" i="2"/>
  <c r="L525" i="2"/>
  <c r="AA5" i="2"/>
  <c r="Z5" i="2"/>
  <c r="U5" i="2"/>
  <c r="T5" i="2"/>
  <c r="S5" i="2"/>
  <c r="Q5" i="2"/>
  <c r="P5" i="2"/>
  <c r="O5" i="2"/>
  <c r="N5" i="2"/>
  <c r="M5" i="2"/>
  <c r="L5" i="2"/>
  <c r="E5" i="2"/>
  <c r="AA64" i="2"/>
  <c r="Z64" i="2"/>
  <c r="U64" i="2"/>
  <c r="T64" i="2"/>
  <c r="S64" i="2"/>
  <c r="Q64" i="2"/>
  <c r="P64" i="2"/>
  <c r="O64" i="2"/>
  <c r="N64" i="2"/>
  <c r="M64" i="2"/>
  <c r="L64" i="2"/>
  <c r="AA79" i="2"/>
  <c r="Z79" i="2"/>
  <c r="U79" i="2"/>
  <c r="T79" i="2"/>
  <c r="S79" i="2"/>
  <c r="Q79" i="2"/>
  <c r="P79" i="2"/>
  <c r="O79" i="2"/>
  <c r="N79" i="2"/>
  <c r="M79" i="2"/>
  <c r="L79" i="2"/>
  <c r="AA127" i="2"/>
  <c r="Z127" i="2"/>
  <c r="U127" i="2"/>
  <c r="T127" i="2"/>
  <c r="S127" i="2"/>
  <c r="Q127" i="2"/>
  <c r="P127" i="2"/>
  <c r="O127" i="2"/>
  <c r="N127" i="2"/>
  <c r="M127" i="2"/>
  <c r="L127" i="2"/>
  <c r="AA189" i="2"/>
  <c r="Z189" i="2"/>
  <c r="U189" i="2"/>
  <c r="T189" i="2"/>
  <c r="S189" i="2"/>
  <c r="Q189" i="2"/>
  <c r="P189" i="2"/>
  <c r="O189" i="2"/>
  <c r="N189" i="2"/>
  <c r="M189" i="2"/>
  <c r="L189" i="2"/>
  <c r="AA220" i="2"/>
  <c r="Z220" i="2"/>
  <c r="U220" i="2"/>
  <c r="T220" i="2"/>
  <c r="S220" i="2"/>
  <c r="Q220" i="2"/>
  <c r="P220" i="2"/>
  <c r="O220" i="2"/>
  <c r="N220" i="2"/>
  <c r="M220" i="2"/>
  <c r="L220" i="2"/>
  <c r="AA279" i="2"/>
  <c r="Z279" i="2"/>
  <c r="U279" i="2"/>
  <c r="T279" i="2"/>
  <c r="S279" i="2"/>
  <c r="Q279" i="2"/>
  <c r="P279" i="2"/>
  <c r="O279" i="2"/>
  <c r="N279" i="2"/>
  <c r="M279" i="2"/>
  <c r="L279" i="2"/>
  <c r="AA297" i="2"/>
  <c r="Z297" i="2"/>
  <c r="U297" i="2"/>
  <c r="T297" i="2"/>
  <c r="S297" i="2"/>
  <c r="Q297" i="2"/>
  <c r="P297" i="2"/>
  <c r="O297" i="2"/>
  <c r="N297" i="2"/>
  <c r="M297" i="2"/>
  <c r="L297" i="2"/>
  <c r="AA299" i="2"/>
  <c r="Z299" i="2"/>
  <c r="U299" i="2"/>
  <c r="T299" i="2"/>
  <c r="S299" i="2"/>
  <c r="Q299" i="2"/>
  <c r="P299" i="2"/>
  <c r="O299" i="2"/>
  <c r="N299" i="2"/>
  <c r="M299" i="2"/>
  <c r="L299" i="2"/>
  <c r="AA403" i="2"/>
  <c r="Z403" i="2"/>
  <c r="U403" i="2"/>
  <c r="T403" i="2"/>
  <c r="S403" i="2"/>
  <c r="Q403" i="2"/>
  <c r="P403" i="2"/>
  <c r="O403" i="2"/>
  <c r="N403" i="2"/>
  <c r="M403" i="2"/>
  <c r="L403" i="2"/>
  <c r="AA484" i="2"/>
  <c r="Z484" i="2"/>
  <c r="U484" i="2"/>
  <c r="T484" i="2"/>
  <c r="S484" i="2"/>
  <c r="Q484" i="2"/>
  <c r="P484" i="2"/>
  <c r="O484" i="2"/>
  <c r="N484" i="2"/>
  <c r="M484" i="2"/>
  <c r="L484" i="2"/>
  <c r="AA496" i="2"/>
  <c r="Z496" i="2"/>
  <c r="U496" i="2"/>
  <c r="T496" i="2"/>
  <c r="S496" i="2"/>
  <c r="Q496" i="2"/>
  <c r="P496" i="2"/>
  <c r="O496" i="2"/>
  <c r="N496" i="2"/>
  <c r="M496" i="2"/>
  <c r="L496" i="2"/>
  <c r="AA524" i="2"/>
  <c r="Z524" i="2"/>
  <c r="U524" i="2"/>
  <c r="T524" i="2"/>
  <c r="S524" i="2"/>
  <c r="Q524" i="2"/>
  <c r="P524" i="2"/>
  <c r="O524" i="2"/>
  <c r="N524" i="2"/>
  <c r="M524" i="2"/>
  <c r="L524" i="2"/>
  <c r="AA126" i="2"/>
  <c r="Z126" i="2"/>
  <c r="U126" i="2"/>
  <c r="T126" i="2"/>
  <c r="S126" i="2"/>
  <c r="Q126" i="2"/>
  <c r="P126" i="2"/>
  <c r="O126" i="2"/>
  <c r="N126" i="2"/>
  <c r="M126" i="2"/>
  <c r="L126" i="2"/>
  <c r="AA75" i="2"/>
  <c r="Z75" i="2"/>
  <c r="U75" i="2"/>
  <c r="T75" i="2"/>
  <c r="S75" i="2"/>
  <c r="Q75" i="2"/>
  <c r="P75" i="2"/>
  <c r="O75" i="2"/>
  <c r="N75" i="2"/>
  <c r="M75" i="2"/>
  <c r="L75" i="2"/>
  <c r="AA188" i="2"/>
  <c r="Z188" i="2"/>
  <c r="U188" i="2"/>
  <c r="T188" i="2"/>
  <c r="S188" i="2"/>
  <c r="Q188" i="2"/>
  <c r="P188" i="2"/>
  <c r="O188" i="2"/>
  <c r="N188" i="2"/>
  <c r="M188" i="2"/>
  <c r="L188" i="2"/>
  <c r="AA219" i="2"/>
  <c r="Z219" i="2"/>
  <c r="U219" i="2"/>
  <c r="T219" i="2"/>
  <c r="S219" i="2"/>
  <c r="Q219" i="2"/>
  <c r="P219" i="2"/>
  <c r="O219" i="2"/>
  <c r="N219" i="2"/>
  <c r="M219" i="2"/>
  <c r="L219" i="2"/>
  <c r="AA278" i="2"/>
  <c r="Z278" i="2"/>
  <c r="U278" i="2"/>
  <c r="T278" i="2"/>
  <c r="S278" i="2"/>
  <c r="Q278" i="2"/>
  <c r="P278" i="2"/>
  <c r="O278" i="2"/>
  <c r="N278" i="2"/>
  <c r="M278" i="2"/>
  <c r="L278" i="2"/>
  <c r="AA295" i="2"/>
  <c r="Z295" i="2"/>
  <c r="U295" i="2"/>
  <c r="T295" i="2"/>
  <c r="S295" i="2"/>
  <c r="Q295" i="2"/>
  <c r="P295" i="2"/>
  <c r="O295" i="2"/>
  <c r="N295" i="2"/>
  <c r="M295" i="2"/>
  <c r="L295" i="2"/>
  <c r="AA514" i="2"/>
  <c r="Z514" i="2"/>
  <c r="U514" i="2"/>
  <c r="T514" i="2"/>
  <c r="S514" i="2"/>
  <c r="Q514" i="2"/>
  <c r="P514" i="2"/>
  <c r="O514" i="2"/>
  <c r="N514" i="2"/>
  <c r="M514" i="2"/>
  <c r="L514" i="2"/>
  <c r="AA523" i="2"/>
  <c r="Z523" i="2"/>
  <c r="U523" i="2"/>
  <c r="T523" i="2"/>
  <c r="S523" i="2"/>
  <c r="Q523" i="2"/>
  <c r="P523" i="2"/>
  <c r="O523" i="2"/>
  <c r="N523" i="2"/>
  <c r="M523" i="2"/>
  <c r="L523" i="2"/>
  <c r="AA4" i="2"/>
  <c r="Z4" i="2"/>
  <c r="U4" i="2"/>
  <c r="T4" i="2"/>
  <c r="S4" i="2"/>
  <c r="Q4" i="2"/>
  <c r="P4" i="2"/>
  <c r="O4" i="2"/>
  <c r="N4" i="2"/>
  <c r="M4" i="2"/>
  <c r="L4" i="2"/>
  <c r="AA49" i="2"/>
  <c r="Z49" i="2"/>
  <c r="U49" i="2"/>
  <c r="T49" i="2"/>
  <c r="S49" i="2"/>
  <c r="Q49" i="2"/>
  <c r="P49" i="2"/>
  <c r="O49" i="2"/>
  <c r="N49" i="2"/>
  <c r="M49" i="2"/>
  <c r="L49" i="2"/>
  <c r="AA47" i="2"/>
  <c r="Z47" i="2"/>
  <c r="U47" i="2"/>
  <c r="T47" i="2"/>
  <c r="S47" i="2"/>
  <c r="Q47" i="2"/>
  <c r="P47" i="2"/>
  <c r="O47" i="2"/>
  <c r="N47" i="2"/>
  <c r="M47" i="2"/>
  <c r="L47" i="2"/>
  <c r="AA45" i="2"/>
  <c r="Z45" i="2"/>
  <c r="U45" i="2"/>
  <c r="T45" i="2"/>
  <c r="S45" i="2"/>
  <c r="Q45" i="2"/>
  <c r="P45" i="2"/>
  <c r="O45" i="2"/>
  <c r="N45" i="2"/>
  <c r="M45" i="2"/>
  <c r="L45" i="2"/>
  <c r="AA44" i="2"/>
  <c r="Z44" i="2"/>
  <c r="U44" i="2"/>
  <c r="T44" i="2"/>
  <c r="S44" i="2"/>
  <c r="Q44" i="2"/>
  <c r="P44" i="2"/>
  <c r="O44" i="2"/>
  <c r="N44" i="2"/>
  <c r="M44" i="2"/>
  <c r="L44" i="2"/>
  <c r="AA43" i="2"/>
  <c r="Z43" i="2"/>
  <c r="U43" i="2"/>
  <c r="T43" i="2"/>
  <c r="S43" i="2"/>
  <c r="Q43" i="2"/>
  <c r="P43" i="2"/>
  <c r="O43" i="2"/>
  <c r="N43" i="2"/>
  <c r="M43" i="2"/>
  <c r="L43" i="2"/>
  <c r="AA241" i="2"/>
  <c r="Z241" i="2"/>
  <c r="U241" i="2"/>
  <c r="T241" i="2"/>
  <c r="S241" i="2"/>
  <c r="Q241" i="2"/>
  <c r="P241" i="2"/>
  <c r="O241" i="2"/>
  <c r="N241" i="2"/>
  <c r="M241" i="2"/>
  <c r="L241" i="2"/>
  <c r="AA240" i="2"/>
  <c r="Z240" i="2"/>
  <c r="U240" i="2"/>
  <c r="T240" i="2"/>
  <c r="S240" i="2"/>
  <c r="Q240" i="2"/>
  <c r="P240" i="2"/>
  <c r="O240" i="2"/>
  <c r="N240" i="2"/>
  <c r="M240" i="2"/>
  <c r="L240" i="2"/>
  <c r="AA269" i="2"/>
  <c r="Z269" i="2"/>
  <c r="U269" i="2"/>
  <c r="T269" i="2"/>
  <c r="S269" i="2"/>
  <c r="Q269" i="2"/>
  <c r="P269" i="2"/>
  <c r="O269" i="2"/>
  <c r="N269" i="2"/>
  <c r="M269" i="2"/>
  <c r="L269" i="2"/>
  <c r="AA238" i="2"/>
  <c r="Z238" i="2"/>
  <c r="U238" i="2"/>
  <c r="T238" i="2"/>
  <c r="S238" i="2"/>
  <c r="Q238" i="2"/>
  <c r="P238" i="2"/>
  <c r="O238" i="2"/>
  <c r="N238" i="2"/>
  <c r="M238" i="2"/>
  <c r="L238" i="2"/>
  <c r="AA8" i="2"/>
  <c r="Z8" i="2"/>
  <c r="U8" i="2"/>
  <c r="T8" i="2"/>
  <c r="S8" i="2"/>
  <c r="Q8" i="2"/>
  <c r="P8" i="2"/>
  <c r="O8" i="2"/>
  <c r="N8" i="2"/>
  <c r="M8" i="2"/>
  <c r="L8" i="2"/>
  <c r="AA34" i="2"/>
  <c r="Z34" i="2"/>
  <c r="U34" i="2"/>
  <c r="T34" i="2"/>
  <c r="S34" i="2"/>
  <c r="Q34" i="2"/>
  <c r="P34" i="2"/>
  <c r="O34" i="2"/>
  <c r="N34" i="2"/>
  <c r="M34" i="2"/>
  <c r="L34" i="2"/>
  <c r="AA30" i="2"/>
  <c r="Z30" i="2"/>
  <c r="U30" i="2"/>
  <c r="T30" i="2"/>
  <c r="S30" i="2"/>
  <c r="Q30" i="2"/>
  <c r="P30" i="2"/>
  <c r="O30" i="2"/>
  <c r="N30" i="2"/>
  <c r="M30" i="2"/>
  <c r="L30" i="2"/>
  <c r="AA33" i="2"/>
  <c r="Z33" i="2"/>
  <c r="U33" i="2"/>
  <c r="T33" i="2"/>
  <c r="S33" i="2"/>
  <c r="Q33" i="2"/>
  <c r="P33" i="2"/>
  <c r="O33" i="2"/>
  <c r="N33" i="2"/>
  <c r="M33" i="2"/>
  <c r="L33" i="2"/>
  <c r="AA28" i="2"/>
  <c r="Z28" i="2"/>
  <c r="U28" i="2"/>
  <c r="T28" i="2"/>
  <c r="S28" i="2"/>
  <c r="Q28" i="2"/>
  <c r="P28" i="2"/>
  <c r="O28" i="2"/>
  <c r="N28" i="2"/>
  <c r="M28" i="2"/>
  <c r="L28" i="2"/>
  <c r="AA27" i="2"/>
  <c r="Z27" i="2"/>
  <c r="U27" i="2"/>
  <c r="T27" i="2"/>
  <c r="S27" i="2"/>
  <c r="Q27" i="2"/>
  <c r="P27" i="2"/>
  <c r="O27" i="2"/>
  <c r="N27" i="2"/>
  <c r="M27" i="2"/>
  <c r="L27" i="2"/>
  <c r="AA32" i="2"/>
  <c r="Z32" i="2"/>
  <c r="U32" i="2"/>
  <c r="T32" i="2"/>
  <c r="S32" i="2"/>
  <c r="Q32" i="2"/>
  <c r="P32" i="2"/>
  <c r="O32" i="2"/>
  <c r="N32" i="2"/>
  <c r="M32" i="2"/>
  <c r="L32" i="2"/>
  <c r="AA31" i="2"/>
  <c r="Z31" i="2"/>
  <c r="U31" i="2"/>
  <c r="T31" i="2"/>
  <c r="S31" i="2"/>
  <c r="Q31" i="2"/>
  <c r="P31" i="2"/>
  <c r="O31" i="2"/>
  <c r="N31" i="2"/>
  <c r="M31" i="2"/>
  <c r="L31" i="2"/>
  <c r="AA11" i="2"/>
  <c r="Z11" i="2"/>
  <c r="U11" i="2"/>
  <c r="T11" i="2"/>
  <c r="S11" i="2"/>
  <c r="Q11" i="2"/>
  <c r="P11" i="2"/>
  <c r="O11" i="2"/>
  <c r="N11" i="2"/>
  <c r="M11" i="2"/>
  <c r="L11" i="2"/>
  <c r="AA18" i="2"/>
  <c r="Z18" i="2"/>
  <c r="U18" i="2"/>
  <c r="T18" i="2"/>
  <c r="S18" i="2"/>
  <c r="Q18" i="2"/>
  <c r="P18" i="2"/>
  <c r="O18" i="2"/>
  <c r="N18" i="2"/>
  <c r="M18" i="2"/>
  <c r="L18" i="2"/>
  <c r="AA96" i="2"/>
  <c r="Z96" i="2"/>
  <c r="U96" i="2"/>
  <c r="T96" i="2"/>
  <c r="S96" i="2"/>
  <c r="Q96" i="2"/>
  <c r="P96" i="2"/>
  <c r="O96" i="2"/>
  <c r="N96" i="2"/>
  <c r="M96" i="2"/>
  <c r="L96" i="2"/>
  <c r="AA120" i="2"/>
  <c r="Z120" i="2"/>
  <c r="U120" i="2"/>
  <c r="T120" i="2"/>
  <c r="S120" i="2"/>
  <c r="Q120" i="2"/>
  <c r="P120" i="2"/>
  <c r="O120" i="2"/>
  <c r="N120" i="2"/>
  <c r="M120" i="2"/>
  <c r="L120" i="2"/>
  <c r="AA139" i="2"/>
  <c r="Z139" i="2"/>
  <c r="U139" i="2"/>
  <c r="T139" i="2"/>
  <c r="S139" i="2"/>
  <c r="Q139" i="2"/>
  <c r="P139" i="2"/>
  <c r="O139" i="2"/>
  <c r="N139" i="2"/>
  <c r="M139" i="2"/>
  <c r="L139" i="2"/>
  <c r="AA252" i="2"/>
  <c r="Z252" i="2"/>
  <c r="U252" i="2"/>
  <c r="T252" i="2"/>
  <c r="S252" i="2"/>
  <c r="Q252" i="2"/>
  <c r="P252" i="2"/>
  <c r="O252" i="2"/>
  <c r="N252" i="2"/>
  <c r="M252" i="2"/>
  <c r="L252" i="2"/>
  <c r="AA258" i="2"/>
  <c r="Z258" i="2"/>
  <c r="U258" i="2"/>
  <c r="T258" i="2"/>
  <c r="S258" i="2"/>
  <c r="Q258" i="2"/>
  <c r="P258" i="2"/>
  <c r="O258" i="2"/>
  <c r="N258" i="2"/>
  <c r="M258" i="2"/>
  <c r="L258" i="2"/>
  <c r="AA301" i="2"/>
  <c r="Z301" i="2"/>
  <c r="U301" i="2"/>
  <c r="T301" i="2"/>
  <c r="S301" i="2"/>
  <c r="Q301" i="2"/>
  <c r="P301" i="2"/>
  <c r="O301" i="2"/>
  <c r="N301" i="2"/>
  <c r="M301" i="2"/>
  <c r="L301" i="2"/>
  <c r="AA307" i="2"/>
  <c r="Z307" i="2"/>
  <c r="U307" i="2"/>
  <c r="T307" i="2"/>
  <c r="S307" i="2"/>
  <c r="Q307" i="2"/>
  <c r="P307" i="2"/>
  <c r="O307" i="2"/>
  <c r="N307" i="2"/>
  <c r="M307" i="2"/>
  <c r="L307" i="2"/>
  <c r="AA417" i="2"/>
  <c r="Z417" i="2"/>
  <c r="U417" i="2"/>
  <c r="T417" i="2"/>
  <c r="S417" i="2"/>
  <c r="Q417" i="2"/>
  <c r="P417" i="2"/>
  <c r="O417" i="2"/>
  <c r="N417" i="2"/>
  <c r="M417" i="2"/>
  <c r="L417" i="2"/>
  <c r="AA427" i="2"/>
  <c r="Z427" i="2"/>
  <c r="U427" i="2"/>
  <c r="T427" i="2"/>
  <c r="S427" i="2"/>
  <c r="Q427" i="2"/>
  <c r="P427" i="2"/>
  <c r="O427" i="2"/>
  <c r="N427" i="2"/>
  <c r="M427" i="2"/>
  <c r="L427" i="2"/>
  <c r="AA436" i="2"/>
  <c r="Z436" i="2"/>
  <c r="U436" i="2"/>
  <c r="T436" i="2"/>
  <c r="S436" i="2"/>
  <c r="Q436" i="2"/>
  <c r="P436" i="2"/>
  <c r="O436" i="2"/>
  <c r="N436" i="2"/>
  <c r="M436" i="2"/>
  <c r="L436" i="2"/>
  <c r="AA449" i="2"/>
  <c r="Z449" i="2"/>
  <c r="U449" i="2"/>
  <c r="T449" i="2"/>
  <c r="S449" i="2"/>
  <c r="Q449" i="2"/>
  <c r="P449" i="2"/>
  <c r="O449" i="2"/>
  <c r="N449" i="2"/>
  <c r="M449" i="2"/>
  <c r="L449" i="2"/>
  <c r="AA459" i="2"/>
  <c r="Z459" i="2"/>
  <c r="U459" i="2"/>
  <c r="T459" i="2"/>
  <c r="S459" i="2"/>
  <c r="Q459" i="2"/>
  <c r="P459" i="2"/>
  <c r="O459" i="2"/>
  <c r="N459" i="2"/>
  <c r="M459" i="2"/>
  <c r="L459" i="2"/>
  <c r="AA460" i="2"/>
  <c r="Z460" i="2"/>
  <c r="U460" i="2"/>
  <c r="T460" i="2"/>
  <c r="S460" i="2"/>
  <c r="Q460" i="2"/>
  <c r="P460" i="2"/>
  <c r="O460" i="2"/>
  <c r="N460" i="2"/>
  <c r="M460" i="2"/>
  <c r="L460" i="2"/>
  <c r="AA468" i="2"/>
  <c r="Z468" i="2"/>
  <c r="U468" i="2"/>
  <c r="T468" i="2"/>
  <c r="S468" i="2"/>
  <c r="Q468" i="2"/>
  <c r="P468" i="2"/>
  <c r="O468" i="2"/>
  <c r="N468" i="2"/>
  <c r="M468" i="2"/>
  <c r="L468" i="2"/>
  <c r="AA138" i="2"/>
  <c r="Z138" i="2"/>
  <c r="U138" i="2"/>
  <c r="T138" i="2"/>
  <c r="S138" i="2"/>
  <c r="Q138" i="2"/>
  <c r="P138" i="2"/>
  <c r="O138" i="2"/>
  <c r="N138" i="2"/>
  <c r="M138" i="2"/>
  <c r="L138" i="2"/>
  <c r="AA296" i="2"/>
  <c r="Z296" i="2"/>
  <c r="U296" i="2"/>
  <c r="T296" i="2"/>
  <c r="S296" i="2"/>
  <c r="Q296" i="2"/>
  <c r="P296" i="2"/>
  <c r="O296" i="2"/>
  <c r="N296" i="2"/>
  <c r="M296" i="2"/>
  <c r="L296" i="2"/>
  <c r="AA294" i="2"/>
  <c r="Z294" i="2"/>
  <c r="U294" i="2"/>
  <c r="T294" i="2"/>
  <c r="S294" i="2"/>
  <c r="Q294" i="2"/>
  <c r="P294" i="2"/>
  <c r="O294" i="2"/>
  <c r="N294" i="2"/>
  <c r="M294" i="2"/>
  <c r="L294" i="2"/>
  <c r="AA293" i="2"/>
  <c r="Z293" i="2"/>
  <c r="U293" i="2"/>
  <c r="T293" i="2"/>
  <c r="S293" i="2"/>
  <c r="Q293" i="2"/>
  <c r="P293" i="2"/>
  <c r="O293" i="2"/>
  <c r="N293" i="2"/>
  <c r="M293" i="2"/>
  <c r="L293" i="2"/>
  <c r="AA147" i="2"/>
  <c r="Z147" i="2"/>
  <c r="U147" i="2"/>
  <c r="T147" i="2"/>
  <c r="S147" i="2"/>
  <c r="Q147" i="2"/>
  <c r="P147" i="2"/>
  <c r="O147" i="2"/>
  <c r="N147" i="2"/>
  <c r="M147" i="2"/>
  <c r="L147" i="2"/>
  <c r="AA237" i="2"/>
  <c r="Z237" i="2"/>
  <c r="U237" i="2"/>
  <c r="T237" i="2"/>
  <c r="S237" i="2"/>
  <c r="Q237" i="2"/>
  <c r="P237" i="2"/>
  <c r="O237" i="2"/>
  <c r="N237" i="2"/>
  <c r="M237" i="2"/>
  <c r="L237" i="2"/>
  <c r="AA542" i="2"/>
  <c r="Z542" i="2"/>
  <c r="U542" i="2"/>
  <c r="T542" i="2"/>
  <c r="S542" i="2"/>
  <c r="Q542" i="2"/>
  <c r="P542" i="2"/>
  <c r="O542" i="2"/>
  <c r="N542" i="2"/>
  <c r="M542" i="2"/>
  <c r="L542" i="2"/>
  <c r="E542" i="2"/>
  <c r="AA146" i="2"/>
  <c r="Z146" i="2"/>
  <c r="U146" i="2"/>
  <c r="T146" i="2"/>
  <c r="S146" i="2"/>
  <c r="Q146" i="2"/>
  <c r="P146" i="2"/>
  <c r="O146" i="2"/>
  <c r="N146" i="2"/>
  <c r="M146" i="2"/>
  <c r="L146" i="2"/>
  <c r="AA234" i="2"/>
  <c r="Z234" i="2"/>
  <c r="U234" i="2"/>
  <c r="T234" i="2"/>
  <c r="S234" i="2"/>
  <c r="Q234" i="2"/>
  <c r="P234" i="2"/>
  <c r="O234" i="2"/>
  <c r="N234" i="2"/>
  <c r="M234" i="2"/>
  <c r="L234" i="2"/>
  <c r="AA382" i="2"/>
  <c r="Z382" i="2"/>
  <c r="U382" i="2"/>
  <c r="T382" i="2"/>
  <c r="S382" i="2"/>
  <c r="Q382" i="2"/>
  <c r="P382" i="2"/>
  <c r="O382" i="2"/>
  <c r="N382" i="2"/>
  <c r="M382" i="2"/>
  <c r="L382" i="2"/>
  <c r="AA73" i="2"/>
  <c r="Z73" i="2"/>
  <c r="U73" i="2"/>
  <c r="T73" i="2"/>
  <c r="S73" i="2"/>
  <c r="Q73" i="2"/>
  <c r="P73" i="2"/>
  <c r="O73" i="2"/>
  <c r="N73" i="2"/>
  <c r="M73" i="2"/>
  <c r="L73" i="2"/>
  <c r="AA232" i="2"/>
  <c r="Z232" i="2"/>
  <c r="U232" i="2"/>
  <c r="T232" i="2"/>
  <c r="S232" i="2"/>
  <c r="Q232" i="2"/>
  <c r="P232" i="2"/>
  <c r="O232" i="2"/>
  <c r="N232" i="2"/>
  <c r="M232" i="2"/>
  <c r="L232" i="2"/>
  <c r="AA485" i="2"/>
  <c r="Z485" i="2"/>
  <c r="U485" i="2"/>
  <c r="T485" i="2"/>
  <c r="S485" i="2"/>
  <c r="Q485" i="2"/>
  <c r="P485" i="2"/>
  <c r="O485" i="2"/>
  <c r="N485" i="2"/>
  <c r="M485" i="2"/>
  <c r="L485" i="2"/>
  <c r="AA145" i="2"/>
  <c r="Z145" i="2"/>
  <c r="U145" i="2"/>
  <c r="T145" i="2"/>
  <c r="S145" i="2"/>
  <c r="Q145" i="2"/>
  <c r="P145" i="2"/>
  <c r="O145" i="2"/>
  <c r="N145" i="2"/>
  <c r="M145" i="2"/>
  <c r="L145" i="2"/>
  <c r="AA225" i="2"/>
  <c r="Z225" i="2"/>
  <c r="U225" i="2"/>
  <c r="T225" i="2"/>
  <c r="S225" i="2"/>
  <c r="Q225" i="2"/>
  <c r="P225" i="2"/>
  <c r="O225" i="2"/>
  <c r="N225" i="2"/>
  <c r="M225" i="2"/>
  <c r="L225" i="2"/>
  <c r="AA318" i="2"/>
  <c r="Z318" i="2"/>
  <c r="U318" i="2"/>
  <c r="T318" i="2"/>
  <c r="S318" i="2"/>
  <c r="Q318" i="2"/>
  <c r="P318" i="2"/>
  <c r="O318" i="2"/>
  <c r="N318" i="2"/>
  <c r="M318" i="2"/>
  <c r="L318" i="2"/>
  <c r="AA222" i="2"/>
  <c r="Z222" i="2"/>
  <c r="U222" i="2"/>
  <c r="T222" i="2"/>
  <c r="S222" i="2"/>
  <c r="Q222" i="2"/>
  <c r="P222" i="2"/>
  <c r="O222" i="2"/>
  <c r="N222" i="2"/>
  <c r="M222" i="2"/>
  <c r="L222" i="2"/>
  <c r="AA386" i="2"/>
  <c r="Z386" i="2"/>
  <c r="U386" i="2"/>
  <c r="T386" i="2"/>
  <c r="S386" i="2"/>
  <c r="Q386" i="2"/>
  <c r="P386" i="2"/>
  <c r="O386" i="2"/>
  <c r="N386" i="2"/>
  <c r="M386" i="2"/>
  <c r="L386" i="2"/>
  <c r="AA385" i="2"/>
  <c r="Z385" i="2"/>
  <c r="U385" i="2"/>
  <c r="T385" i="2"/>
  <c r="S385" i="2"/>
  <c r="Q385" i="2"/>
  <c r="P385" i="2"/>
  <c r="O385" i="2"/>
  <c r="N385" i="2"/>
  <c r="M385" i="2"/>
  <c r="L385" i="2"/>
  <c r="AA373" i="2"/>
  <c r="Z373" i="2"/>
  <c r="U373" i="2"/>
  <c r="T373" i="2"/>
  <c r="S373" i="2"/>
  <c r="Q373" i="2"/>
  <c r="P373" i="2"/>
  <c r="O373" i="2"/>
  <c r="N373" i="2"/>
  <c r="M373" i="2"/>
  <c r="L373" i="2"/>
  <c r="AA377" i="2"/>
  <c r="Z377" i="2"/>
  <c r="U377" i="2"/>
  <c r="T377" i="2"/>
  <c r="S377" i="2"/>
  <c r="Q377" i="2"/>
  <c r="P377" i="2"/>
  <c r="O377" i="2"/>
  <c r="N377" i="2"/>
  <c r="M377" i="2"/>
  <c r="L377" i="2"/>
  <c r="AA364" i="2"/>
  <c r="Z364" i="2"/>
  <c r="U364" i="2"/>
  <c r="T364" i="2"/>
  <c r="S364" i="2"/>
  <c r="Q364" i="2"/>
  <c r="P364" i="2"/>
  <c r="O364" i="2"/>
  <c r="N364" i="2"/>
  <c r="M364" i="2"/>
  <c r="L364" i="2"/>
  <c r="AA370" i="2"/>
  <c r="Z370" i="2"/>
  <c r="U370" i="2"/>
  <c r="T370" i="2"/>
  <c r="S370" i="2"/>
  <c r="Q370" i="2"/>
  <c r="P370" i="2"/>
  <c r="O370" i="2"/>
  <c r="N370" i="2"/>
  <c r="M370" i="2"/>
  <c r="L370" i="2"/>
  <c r="AA359" i="2"/>
  <c r="Z359" i="2"/>
  <c r="U359" i="2"/>
  <c r="T359" i="2"/>
  <c r="S359" i="2"/>
  <c r="Q359" i="2"/>
  <c r="P359" i="2"/>
  <c r="O359" i="2"/>
  <c r="N359" i="2"/>
  <c r="M359" i="2"/>
  <c r="L359" i="2"/>
  <c r="AA355" i="2"/>
  <c r="Z355" i="2"/>
  <c r="U355" i="2"/>
  <c r="T355" i="2"/>
  <c r="S355" i="2"/>
  <c r="Q355" i="2"/>
  <c r="P355" i="2"/>
  <c r="O355" i="2"/>
  <c r="N355" i="2"/>
  <c r="M355" i="2"/>
  <c r="L355" i="2"/>
  <c r="AA347" i="2"/>
  <c r="Z347" i="2"/>
  <c r="U347" i="2"/>
  <c r="T347" i="2"/>
  <c r="S347" i="2"/>
  <c r="Q347" i="2"/>
  <c r="P347" i="2"/>
  <c r="O347" i="2"/>
  <c r="N347" i="2"/>
  <c r="M347" i="2"/>
  <c r="L347" i="2"/>
  <c r="AA337" i="2"/>
  <c r="Z337" i="2"/>
  <c r="U337" i="2"/>
  <c r="T337" i="2"/>
  <c r="S337" i="2"/>
  <c r="Q337" i="2"/>
  <c r="P337" i="2"/>
  <c r="O337" i="2"/>
  <c r="N337" i="2"/>
  <c r="M337" i="2"/>
  <c r="L337" i="2"/>
  <c r="AA331" i="2"/>
  <c r="Z331" i="2"/>
  <c r="U331" i="2"/>
  <c r="T331" i="2"/>
  <c r="S331" i="2"/>
  <c r="Q331" i="2"/>
  <c r="P331" i="2"/>
  <c r="O331" i="2"/>
  <c r="N331" i="2"/>
  <c r="M331" i="2"/>
  <c r="L331" i="2"/>
  <c r="AA321" i="2"/>
  <c r="Z321" i="2"/>
  <c r="U321" i="2"/>
  <c r="T321" i="2"/>
  <c r="S321" i="2"/>
  <c r="Q321" i="2"/>
  <c r="P321" i="2"/>
  <c r="O321" i="2"/>
  <c r="N321" i="2"/>
  <c r="M321" i="2"/>
  <c r="L321" i="2"/>
  <c r="AA317" i="2"/>
  <c r="Z317" i="2"/>
  <c r="U317" i="2"/>
  <c r="T317" i="2"/>
  <c r="S317" i="2"/>
  <c r="Q317" i="2"/>
  <c r="P317" i="2"/>
  <c r="O317" i="2"/>
  <c r="N317" i="2"/>
  <c r="M317" i="2"/>
  <c r="L317" i="2"/>
  <c r="AA313" i="2"/>
  <c r="Z313" i="2"/>
  <c r="U313" i="2"/>
  <c r="T313" i="2"/>
  <c r="S313" i="2"/>
  <c r="Q313" i="2"/>
  <c r="P313" i="2"/>
  <c r="O313" i="2"/>
  <c r="N313" i="2"/>
  <c r="M313" i="2"/>
  <c r="L313" i="2"/>
  <c r="AA309" i="2"/>
  <c r="Z309" i="2"/>
  <c r="U309" i="2"/>
  <c r="T309" i="2"/>
  <c r="S309" i="2"/>
  <c r="Q309" i="2"/>
  <c r="P309" i="2"/>
  <c r="O309" i="2"/>
  <c r="N309" i="2"/>
  <c r="M309" i="2"/>
  <c r="L309" i="2"/>
  <c r="AA84" i="2"/>
  <c r="Z84" i="2"/>
  <c r="U84" i="2"/>
  <c r="T84" i="2"/>
  <c r="S84" i="2"/>
  <c r="Q84" i="2"/>
  <c r="P84" i="2"/>
  <c r="O84" i="2"/>
  <c r="N84" i="2"/>
  <c r="M84" i="2"/>
  <c r="L84" i="2"/>
  <c r="AA181" i="2"/>
  <c r="Z181" i="2"/>
  <c r="U181" i="2"/>
  <c r="T181" i="2"/>
  <c r="S181" i="2"/>
  <c r="Q181" i="2"/>
  <c r="P181" i="2"/>
  <c r="O181" i="2"/>
  <c r="N181" i="2"/>
  <c r="M181" i="2"/>
  <c r="L181" i="2"/>
  <c r="AA177" i="2"/>
  <c r="Z177" i="2"/>
  <c r="U177" i="2"/>
  <c r="T177" i="2"/>
  <c r="S177" i="2"/>
  <c r="Q177" i="2"/>
  <c r="P177" i="2"/>
  <c r="O177" i="2"/>
  <c r="N177" i="2"/>
  <c r="M177" i="2"/>
  <c r="L177" i="2"/>
  <c r="AA80" i="2"/>
  <c r="Z80" i="2"/>
  <c r="U80" i="2"/>
  <c r="T80" i="2"/>
  <c r="S80" i="2"/>
  <c r="Q80" i="2"/>
  <c r="P80" i="2"/>
  <c r="O80" i="2"/>
  <c r="N80" i="2"/>
  <c r="M80" i="2"/>
  <c r="L80" i="2"/>
  <c r="AA169" i="2"/>
  <c r="Z169" i="2"/>
  <c r="U169" i="2"/>
  <c r="T169" i="2"/>
  <c r="S169" i="2"/>
  <c r="Q169" i="2"/>
  <c r="P169" i="2"/>
  <c r="O169" i="2"/>
  <c r="N169" i="2"/>
  <c r="M169" i="2"/>
  <c r="L169" i="2"/>
  <c r="AA402" i="2"/>
  <c r="Z402" i="2"/>
  <c r="U402" i="2"/>
  <c r="T402" i="2"/>
  <c r="S402" i="2"/>
  <c r="Q402" i="2"/>
  <c r="P402" i="2"/>
  <c r="O402" i="2"/>
  <c r="N402" i="2"/>
  <c r="M402" i="2"/>
  <c r="L402" i="2"/>
  <c r="AA401" i="2"/>
  <c r="Z401" i="2"/>
  <c r="U401" i="2"/>
  <c r="T401" i="2"/>
  <c r="S401" i="2"/>
  <c r="Q401" i="2"/>
  <c r="P401" i="2"/>
  <c r="O401" i="2"/>
  <c r="N401" i="2"/>
  <c r="M401" i="2"/>
  <c r="L401" i="2"/>
  <c r="AA400" i="2"/>
  <c r="Z400" i="2"/>
  <c r="U400" i="2"/>
  <c r="T400" i="2"/>
  <c r="S400" i="2"/>
  <c r="Q400" i="2"/>
  <c r="P400" i="2"/>
  <c r="O400" i="2"/>
  <c r="N400" i="2"/>
  <c r="M400" i="2"/>
  <c r="L400" i="2"/>
  <c r="AA399" i="2"/>
  <c r="Z399" i="2"/>
  <c r="U399" i="2"/>
  <c r="T399" i="2"/>
  <c r="S399" i="2"/>
  <c r="Q399" i="2"/>
  <c r="P399" i="2"/>
  <c r="O399" i="2"/>
  <c r="N399" i="2"/>
  <c r="M399" i="2"/>
  <c r="L399" i="2"/>
  <c r="AA398" i="2"/>
  <c r="Z398" i="2"/>
  <c r="U398" i="2"/>
  <c r="T398" i="2"/>
  <c r="S398" i="2"/>
  <c r="Q398" i="2"/>
  <c r="P398" i="2"/>
  <c r="O398" i="2"/>
  <c r="N398" i="2"/>
  <c r="M398" i="2"/>
  <c r="L398" i="2"/>
  <c r="AA390" i="2"/>
  <c r="Z390" i="2"/>
  <c r="U390" i="2"/>
  <c r="T390" i="2"/>
  <c r="S390" i="2"/>
  <c r="Q390" i="2"/>
  <c r="P390" i="2"/>
  <c r="O390" i="2"/>
  <c r="N390" i="2"/>
  <c r="M390" i="2"/>
  <c r="L390" i="2"/>
  <c r="AA375" i="2"/>
  <c r="Z375" i="2"/>
  <c r="U375" i="2"/>
  <c r="T375" i="2"/>
  <c r="S375" i="2"/>
  <c r="Q375" i="2"/>
  <c r="P375" i="2"/>
  <c r="O375" i="2"/>
  <c r="N375" i="2"/>
  <c r="M375" i="2"/>
  <c r="L375" i="2"/>
  <c r="AA376" i="2"/>
  <c r="Z376" i="2"/>
  <c r="U376" i="2"/>
  <c r="T376" i="2"/>
  <c r="S376" i="2"/>
  <c r="Q376" i="2"/>
  <c r="P376" i="2"/>
  <c r="O376" i="2"/>
  <c r="N376" i="2"/>
  <c r="M376" i="2"/>
  <c r="L376" i="2"/>
  <c r="AA379" i="2"/>
  <c r="Z379" i="2"/>
  <c r="U379" i="2"/>
  <c r="T379" i="2"/>
  <c r="S379" i="2"/>
  <c r="Q379" i="2"/>
  <c r="P379" i="2"/>
  <c r="O379" i="2"/>
  <c r="N379" i="2"/>
  <c r="M379" i="2"/>
  <c r="L379" i="2"/>
  <c r="AA369" i="2"/>
  <c r="Z369" i="2"/>
  <c r="U369" i="2"/>
  <c r="T369" i="2"/>
  <c r="S369" i="2"/>
  <c r="Q369" i="2"/>
  <c r="P369" i="2"/>
  <c r="O369" i="2"/>
  <c r="N369" i="2"/>
  <c r="M369" i="2"/>
  <c r="L369" i="2"/>
  <c r="AA349" i="2"/>
  <c r="Z349" i="2"/>
  <c r="U349" i="2"/>
  <c r="T349" i="2"/>
  <c r="S349" i="2"/>
  <c r="Q349" i="2"/>
  <c r="P349" i="2"/>
  <c r="O349" i="2"/>
  <c r="N349" i="2"/>
  <c r="M349" i="2"/>
  <c r="L349" i="2"/>
  <c r="AA341" i="2"/>
  <c r="Z341" i="2"/>
  <c r="U341" i="2"/>
  <c r="T341" i="2"/>
  <c r="S341" i="2"/>
  <c r="Q341" i="2"/>
  <c r="P341" i="2"/>
  <c r="O341" i="2"/>
  <c r="N341" i="2"/>
  <c r="M341" i="2"/>
  <c r="L341" i="2"/>
  <c r="AA340" i="2"/>
  <c r="Z340" i="2"/>
  <c r="U340" i="2"/>
  <c r="T340" i="2"/>
  <c r="S340" i="2"/>
  <c r="Q340" i="2"/>
  <c r="P340" i="2"/>
  <c r="O340" i="2"/>
  <c r="N340" i="2"/>
  <c r="M340" i="2"/>
  <c r="L340" i="2"/>
  <c r="AA326" i="2"/>
  <c r="Z326" i="2"/>
  <c r="U326" i="2"/>
  <c r="T326" i="2"/>
  <c r="S326" i="2"/>
  <c r="Q326" i="2"/>
  <c r="P326" i="2"/>
  <c r="O326" i="2"/>
  <c r="N326" i="2"/>
  <c r="M326" i="2"/>
  <c r="L326" i="2"/>
  <c r="AA322" i="2"/>
  <c r="Z322" i="2"/>
  <c r="U322" i="2"/>
  <c r="T322" i="2"/>
  <c r="S322" i="2"/>
  <c r="Q322" i="2"/>
  <c r="P322" i="2"/>
  <c r="O322" i="2"/>
  <c r="N322" i="2"/>
  <c r="M322" i="2"/>
  <c r="L322" i="2"/>
  <c r="AA423" i="2"/>
  <c r="Z423" i="2"/>
  <c r="U423" i="2"/>
  <c r="T423" i="2"/>
  <c r="S423" i="2"/>
  <c r="Q423" i="2"/>
  <c r="P423" i="2"/>
  <c r="O423" i="2"/>
  <c r="N423" i="2"/>
  <c r="M423" i="2"/>
  <c r="L423" i="2"/>
  <c r="AA456" i="2"/>
  <c r="Z456" i="2"/>
  <c r="U456" i="2"/>
  <c r="T456" i="2"/>
  <c r="S456" i="2"/>
  <c r="Q456" i="2"/>
  <c r="P456" i="2"/>
  <c r="O456" i="2"/>
  <c r="N456" i="2"/>
  <c r="M456" i="2"/>
  <c r="L456" i="2"/>
  <c r="AA3" i="2"/>
  <c r="Z3" i="2"/>
  <c r="U3" i="2"/>
  <c r="T3" i="2"/>
  <c r="S3" i="2"/>
  <c r="Q3" i="2"/>
  <c r="P3" i="2"/>
  <c r="O3" i="2"/>
  <c r="N3" i="2"/>
  <c r="M3" i="2"/>
  <c r="L3" i="2"/>
  <c r="AA171" i="2"/>
  <c r="Z171" i="2"/>
  <c r="U171" i="2"/>
  <c r="T171" i="2"/>
  <c r="S171" i="2"/>
  <c r="Q171" i="2"/>
  <c r="P171" i="2"/>
  <c r="O171" i="2"/>
  <c r="N171" i="2"/>
  <c r="M171" i="2"/>
  <c r="L171" i="2"/>
  <c r="AA213" i="2"/>
  <c r="Z213" i="2"/>
  <c r="U213" i="2"/>
  <c r="T213" i="2"/>
  <c r="S213" i="2"/>
  <c r="Q213" i="2"/>
  <c r="P213" i="2"/>
  <c r="O213" i="2"/>
  <c r="N213" i="2"/>
  <c r="M213" i="2"/>
  <c r="L213" i="2"/>
  <c r="AA250" i="2"/>
  <c r="Z250" i="2"/>
  <c r="U250" i="2"/>
  <c r="T250" i="2"/>
  <c r="S250" i="2"/>
  <c r="Q250" i="2"/>
  <c r="P250" i="2"/>
  <c r="O250" i="2"/>
  <c r="N250" i="2"/>
  <c r="M250" i="2"/>
  <c r="L250" i="2"/>
  <c r="AA451" i="2"/>
  <c r="Z451" i="2"/>
  <c r="U451" i="2"/>
  <c r="T451" i="2"/>
  <c r="S451" i="2"/>
  <c r="Q451" i="2"/>
  <c r="P451" i="2"/>
  <c r="O451" i="2"/>
  <c r="N451" i="2"/>
  <c r="M451" i="2"/>
  <c r="L451" i="2"/>
  <c r="AA2" i="2"/>
  <c r="Z2" i="2"/>
  <c r="U2" i="2"/>
  <c r="T2" i="2"/>
  <c r="S2" i="2"/>
  <c r="Q2" i="2"/>
  <c r="P2" i="2"/>
  <c r="O2" i="2"/>
  <c r="N2" i="2"/>
  <c r="M2" i="2"/>
  <c r="L2" i="2"/>
  <c r="AA165" i="2"/>
  <c r="Z165" i="2"/>
  <c r="U165" i="2"/>
  <c r="T165" i="2"/>
  <c r="S165" i="2"/>
  <c r="Q165" i="2"/>
  <c r="P165" i="2"/>
  <c r="O165" i="2"/>
  <c r="N165" i="2"/>
  <c r="M165" i="2"/>
  <c r="L165" i="2"/>
  <c r="AA193" i="2"/>
  <c r="Z193" i="2"/>
  <c r="U193" i="2"/>
  <c r="T193" i="2"/>
  <c r="S193" i="2"/>
  <c r="Q193" i="2"/>
  <c r="P193" i="2"/>
  <c r="O193" i="2"/>
  <c r="N193" i="2"/>
  <c r="M193" i="2"/>
  <c r="L193" i="2"/>
  <c r="AA212" i="2"/>
  <c r="Z212" i="2"/>
  <c r="U212" i="2"/>
  <c r="T212" i="2"/>
  <c r="S212" i="2"/>
  <c r="Q212" i="2"/>
  <c r="P212" i="2"/>
  <c r="O212" i="2"/>
  <c r="N212" i="2"/>
  <c r="M212" i="2"/>
  <c r="L212" i="2"/>
  <c r="AA160" i="2"/>
  <c r="Z160" i="2"/>
  <c r="U160" i="2"/>
  <c r="T160" i="2"/>
  <c r="S160" i="2"/>
  <c r="Q160" i="2"/>
  <c r="P160" i="2"/>
  <c r="O160" i="2"/>
  <c r="N160" i="2"/>
  <c r="M160" i="2"/>
  <c r="L160" i="2"/>
  <c r="AA211" i="2"/>
  <c r="Z211" i="2"/>
  <c r="U211" i="2"/>
  <c r="T211" i="2"/>
  <c r="S211" i="2"/>
  <c r="Q211" i="2"/>
  <c r="P211" i="2"/>
  <c r="O211" i="2"/>
  <c r="N211" i="2"/>
  <c r="M211" i="2"/>
  <c r="L211" i="2"/>
  <c r="AA245" i="2"/>
  <c r="Z245" i="2"/>
  <c r="U245" i="2"/>
  <c r="T245" i="2"/>
  <c r="S245" i="2"/>
  <c r="Q245" i="2"/>
  <c r="P245" i="2"/>
  <c r="O245" i="2"/>
  <c r="N245" i="2"/>
  <c r="M245" i="2"/>
  <c r="L245" i="2"/>
  <c r="AA277" i="2"/>
  <c r="Z277" i="2"/>
  <c r="U277" i="2"/>
  <c r="T277" i="2"/>
  <c r="S277" i="2"/>
  <c r="Q277" i="2"/>
  <c r="P277" i="2"/>
  <c r="O277" i="2"/>
  <c r="N277" i="2"/>
  <c r="M277" i="2"/>
  <c r="L277" i="2"/>
  <c r="AA450" i="2"/>
  <c r="Z450" i="2"/>
  <c r="U450" i="2"/>
  <c r="T450" i="2"/>
  <c r="S450" i="2"/>
  <c r="Q450" i="2"/>
  <c r="P450" i="2"/>
  <c r="O450" i="2"/>
  <c r="N450" i="2"/>
  <c r="M450" i="2"/>
  <c r="L450" i="2"/>
  <c r="AA418" i="2"/>
  <c r="Z418" i="2"/>
  <c r="U418" i="2"/>
  <c r="T418" i="2"/>
  <c r="S418" i="2"/>
  <c r="Q418" i="2"/>
  <c r="P418" i="2"/>
  <c r="O418" i="2"/>
  <c r="N418" i="2"/>
  <c r="M418" i="2"/>
  <c r="L418" i="2"/>
  <c r="AA393" i="2"/>
  <c r="Z393" i="2"/>
  <c r="U393" i="2"/>
  <c r="T393" i="2"/>
  <c r="S393" i="2"/>
  <c r="Q393" i="2"/>
  <c r="P393" i="2"/>
  <c r="O393" i="2"/>
  <c r="N393" i="2"/>
  <c r="M393" i="2"/>
  <c r="L393" i="2"/>
  <c r="AA187" i="2"/>
  <c r="Z187" i="2"/>
  <c r="U187" i="2"/>
  <c r="T187" i="2"/>
  <c r="S187" i="2"/>
  <c r="Q187" i="2"/>
  <c r="P187" i="2"/>
  <c r="O187" i="2"/>
  <c r="N187" i="2"/>
  <c r="M187" i="2"/>
  <c r="L187" i="2"/>
  <c r="AA272" i="2"/>
  <c r="Z272" i="2"/>
  <c r="U272" i="2"/>
  <c r="T272" i="2"/>
  <c r="S272" i="2"/>
  <c r="Q272" i="2"/>
  <c r="P272" i="2"/>
  <c r="O272" i="2"/>
  <c r="N272" i="2"/>
  <c r="M272" i="2"/>
  <c r="L272" i="2"/>
  <c r="AA397" i="2"/>
  <c r="Z397" i="2"/>
  <c r="U397" i="2"/>
  <c r="T397" i="2"/>
  <c r="S397" i="2"/>
  <c r="Q397" i="2"/>
  <c r="P397" i="2"/>
  <c r="O397" i="2"/>
  <c r="N397" i="2"/>
  <c r="M397" i="2"/>
  <c r="L397" i="2"/>
  <c r="AA186" i="2"/>
  <c r="Z186" i="2"/>
  <c r="U186" i="2"/>
  <c r="T186" i="2"/>
  <c r="S186" i="2"/>
  <c r="Q186" i="2"/>
  <c r="P186" i="2"/>
  <c r="O186" i="2"/>
  <c r="N186" i="2"/>
  <c r="M186" i="2"/>
  <c r="L186" i="2"/>
  <c r="AA185" i="2"/>
  <c r="Z185" i="2"/>
  <c r="U185" i="2"/>
  <c r="T185" i="2"/>
  <c r="S185" i="2"/>
  <c r="Q185" i="2"/>
  <c r="P185" i="2"/>
  <c r="O185" i="2"/>
  <c r="N185" i="2"/>
  <c r="M185" i="2"/>
  <c r="L185" i="2"/>
  <c r="AA271" i="2"/>
  <c r="Z271" i="2"/>
  <c r="U271" i="2"/>
  <c r="T271" i="2"/>
  <c r="S271" i="2"/>
  <c r="Q271" i="2"/>
  <c r="P271" i="2"/>
  <c r="O271" i="2"/>
  <c r="N271" i="2"/>
  <c r="M271" i="2"/>
  <c r="L271" i="2"/>
  <c r="AA394" i="2"/>
  <c r="Z394" i="2"/>
  <c r="U394" i="2"/>
  <c r="T394" i="2"/>
  <c r="S394" i="2"/>
  <c r="Q394" i="2"/>
  <c r="P394" i="2"/>
  <c r="O394" i="2"/>
  <c r="N394" i="2"/>
  <c r="M394" i="2"/>
  <c r="L394" i="2"/>
  <c r="AA493" i="2"/>
  <c r="Z493" i="2"/>
  <c r="U493" i="2"/>
  <c r="T493" i="2"/>
  <c r="S493" i="2"/>
  <c r="Q493" i="2"/>
  <c r="P493" i="2"/>
  <c r="O493" i="2"/>
  <c r="N493" i="2"/>
  <c r="M493" i="2"/>
  <c r="L493" i="2"/>
  <c r="AA490" i="2"/>
  <c r="Z490" i="2"/>
  <c r="U490" i="2"/>
  <c r="T490" i="2"/>
  <c r="S490" i="2"/>
  <c r="Q490" i="2"/>
  <c r="P490" i="2"/>
  <c r="O490" i="2"/>
  <c r="N490" i="2"/>
  <c r="M490" i="2"/>
  <c r="L490" i="2"/>
  <c r="AA489" i="2"/>
  <c r="Z489" i="2"/>
  <c r="U489" i="2"/>
  <c r="T489" i="2"/>
  <c r="S489" i="2"/>
  <c r="Q489" i="2"/>
  <c r="P489" i="2"/>
  <c r="O489" i="2"/>
  <c r="N489" i="2"/>
  <c r="M489" i="2"/>
  <c r="L489" i="2"/>
  <c r="AA487" i="2"/>
  <c r="Z487" i="2"/>
  <c r="U487" i="2"/>
  <c r="T487" i="2"/>
  <c r="S487" i="2"/>
  <c r="Q487" i="2"/>
  <c r="P487" i="2"/>
  <c r="O487" i="2"/>
  <c r="N487" i="2"/>
  <c r="M487" i="2"/>
  <c r="L487" i="2"/>
  <c r="AA483" i="2"/>
  <c r="Z483" i="2"/>
  <c r="U483" i="2"/>
  <c r="T483" i="2"/>
  <c r="S483" i="2"/>
  <c r="Q483" i="2"/>
  <c r="P483" i="2"/>
  <c r="O483" i="2"/>
  <c r="N483" i="2"/>
  <c r="M483" i="2"/>
  <c r="L483" i="2"/>
  <c r="AA481" i="2"/>
  <c r="Z481" i="2"/>
  <c r="U481" i="2"/>
  <c r="T481" i="2"/>
  <c r="S481" i="2"/>
  <c r="Q481" i="2"/>
  <c r="P481" i="2"/>
  <c r="O481" i="2"/>
  <c r="N481" i="2"/>
  <c r="M481" i="2"/>
  <c r="L481" i="2"/>
  <c r="AA479" i="2"/>
  <c r="Z479" i="2"/>
  <c r="U479" i="2"/>
  <c r="T479" i="2"/>
  <c r="S479" i="2"/>
  <c r="Q479" i="2"/>
  <c r="P479" i="2"/>
  <c r="O479" i="2"/>
  <c r="N479" i="2"/>
  <c r="M479" i="2"/>
  <c r="L479" i="2"/>
  <c r="AA473" i="2"/>
  <c r="Z473" i="2"/>
  <c r="U473" i="2"/>
  <c r="T473" i="2"/>
  <c r="S473" i="2"/>
  <c r="Q473" i="2"/>
  <c r="P473" i="2"/>
  <c r="O473" i="2"/>
  <c r="N473" i="2"/>
  <c r="M473" i="2"/>
  <c r="L473" i="2"/>
  <c r="AA470" i="2"/>
  <c r="Z470" i="2"/>
  <c r="U470" i="2"/>
  <c r="T470" i="2"/>
  <c r="S470" i="2"/>
  <c r="Q470" i="2"/>
  <c r="P470" i="2"/>
  <c r="O470" i="2"/>
  <c r="N470" i="2"/>
  <c r="M470" i="2"/>
  <c r="L470" i="2"/>
  <c r="AA263" i="2"/>
  <c r="Z263" i="2"/>
  <c r="U263" i="2"/>
  <c r="T263" i="2"/>
  <c r="S263" i="2"/>
  <c r="Q263" i="2"/>
  <c r="P263" i="2"/>
  <c r="O263" i="2"/>
  <c r="N263" i="2"/>
  <c r="M263" i="2"/>
  <c r="L263" i="2"/>
  <c r="AA262" i="2"/>
  <c r="Z262" i="2"/>
  <c r="U262" i="2"/>
  <c r="T262" i="2"/>
  <c r="S262" i="2"/>
  <c r="Q262" i="2"/>
  <c r="P262" i="2"/>
  <c r="O262" i="2"/>
  <c r="N262" i="2"/>
  <c r="M262" i="2"/>
  <c r="L262" i="2"/>
  <c r="AA261" i="2"/>
  <c r="Z261" i="2"/>
  <c r="U261" i="2"/>
  <c r="T261" i="2"/>
  <c r="S261" i="2"/>
  <c r="Q261" i="2"/>
  <c r="P261" i="2"/>
  <c r="O261" i="2"/>
  <c r="N261" i="2"/>
  <c r="M261" i="2"/>
  <c r="L261" i="2"/>
  <c r="AA52" i="2"/>
  <c r="Z52" i="2"/>
  <c r="U52" i="2"/>
  <c r="T52" i="2"/>
  <c r="S52" i="2"/>
  <c r="Q52" i="2"/>
  <c r="P52" i="2"/>
  <c r="O52" i="2"/>
  <c r="N52" i="2"/>
  <c r="M52" i="2"/>
  <c r="L52" i="2"/>
  <c r="AA97" i="2"/>
  <c r="Z97" i="2"/>
  <c r="U97" i="2"/>
  <c r="T97" i="2"/>
  <c r="S97" i="2"/>
  <c r="Q97" i="2"/>
  <c r="P97" i="2"/>
  <c r="O97" i="2"/>
  <c r="N97" i="2"/>
  <c r="M97" i="2"/>
  <c r="L97" i="2"/>
  <c r="AA190" i="2"/>
  <c r="Z190" i="2"/>
  <c r="U190" i="2"/>
  <c r="T190" i="2"/>
  <c r="S190" i="2"/>
  <c r="Q190" i="2"/>
  <c r="P190" i="2"/>
  <c r="O190" i="2"/>
  <c r="N190" i="2"/>
  <c r="M190" i="2"/>
  <c r="L190" i="2"/>
  <c r="AA315" i="2"/>
  <c r="Z315" i="2"/>
  <c r="U315" i="2"/>
  <c r="T315" i="2"/>
  <c r="S315" i="2"/>
  <c r="Q315" i="2"/>
  <c r="P315" i="2"/>
  <c r="O315" i="2"/>
  <c r="N315" i="2"/>
  <c r="M315" i="2"/>
  <c r="L315" i="2"/>
  <c r="AA306" i="2"/>
  <c r="Z306" i="2"/>
  <c r="U306" i="2"/>
  <c r="T306" i="2"/>
  <c r="S306" i="2"/>
  <c r="Q306" i="2"/>
  <c r="P306" i="2"/>
  <c r="O306" i="2"/>
  <c r="N306" i="2"/>
  <c r="M306" i="2"/>
  <c r="L306" i="2"/>
  <c r="AA458" i="2"/>
  <c r="Z458" i="2"/>
  <c r="U458" i="2"/>
  <c r="T458" i="2"/>
  <c r="S458" i="2"/>
  <c r="Q458" i="2"/>
  <c r="P458" i="2"/>
  <c r="O458" i="2"/>
  <c r="N458" i="2"/>
  <c r="M458" i="2"/>
  <c r="L458" i="2"/>
  <c r="AA391" i="2"/>
  <c r="Z391" i="2"/>
  <c r="U391" i="2"/>
  <c r="T391" i="2"/>
  <c r="S391" i="2"/>
  <c r="Q391" i="2"/>
  <c r="P391" i="2"/>
  <c r="O391" i="2"/>
  <c r="N391" i="2"/>
  <c r="M391" i="2"/>
  <c r="L391" i="2"/>
  <c r="AA389" i="2"/>
  <c r="Z389" i="2"/>
  <c r="U389" i="2"/>
  <c r="T389" i="2"/>
  <c r="S389" i="2"/>
  <c r="Q389" i="2"/>
  <c r="P389" i="2"/>
  <c r="O389" i="2"/>
  <c r="N389" i="2"/>
  <c r="M389" i="2"/>
  <c r="L389" i="2"/>
  <c r="AA380" i="2"/>
  <c r="Z380" i="2"/>
  <c r="U380" i="2"/>
  <c r="T380" i="2"/>
  <c r="S380" i="2"/>
  <c r="Q380" i="2"/>
  <c r="P380" i="2"/>
  <c r="O380" i="2"/>
  <c r="N380" i="2"/>
  <c r="M380" i="2"/>
  <c r="L380" i="2"/>
  <c r="AA374" i="2"/>
  <c r="Z374" i="2"/>
  <c r="U374" i="2"/>
  <c r="T374" i="2"/>
  <c r="S374" i="2"/>
  <c r="Q374" i="2"/>
  <c r="P374" i="2"/>
  <c r="O374" i="2"/>
  <c r="N374" i="2"/>
  <c r="M374" i="2"/>
  <c r="L374" i="2"/>
  <c r="AA378" i="2"/>
  <c r="Z378" i="2"/>
  <c r="U378" i="2"/>
  <c r="T378" i="2"/>
  <c r="S378" i="2"/>
  <c r="Q378" i="2"/>
  <c r="P378" i="2"/>
  <c r="O378" i="2"/>
  <c r="N378" i="2"/>
  <c r="M378" i="2"/>
  <c r="L378" i="2"/>
  <c r="AA371" i="2"/>
  <c r="Z371" i="2"/>
  <c r="U371" i="2"/>
  <c r="T371" i="2"/>
  <c r="S371" i="2"/>
  <c r="Q371" i="2"/>
  <c r="P371" i="2"/>
  <c r="O371" i="2"/>
  <c r="N371" i="2"/>
  <c r="M371" i="2"/>
  <c r="L371" i="2"/>
  <c r="AA368" i="2"/>
  <c r="Z368" i="2"/>
  <c r="U368" i="2"/>
  <c r="T368" i="2"/>
  <c r="S368" i="2"/>
  <c r="Q368" i="2"/>
  <c r="P368" i="2"/>
  <c r="O368" i="2"/>
  <c r="N368" i="2"/>
  <c r="M368" i="2"/>
  <c r="L368" i="2"/>
  <c r="AA367" i="2"/>
  <c r="Z367" i="2"/>
  <c r="U367" i="2"/>
  <c r="T367" i="2"/>
  <c r="S367" i="2"/>
  <c r="Q367" i="2"/>
  <c r="P367" i="2"/>
  <c r="O367" i="2"/>
  <c r="N367" i="2"/>
  <c r="M367" i="2"/>
  <c r="L367" i="2"/>
  <c r="AA358" i="2"/>
  <c r="Z358" i="2"/>
  <c r="U358" i="2"/>
  <c r="T358" i="2"/>
  <c r="S358" i="2"/>
  <c r="Q358" i="2"/>
  <c r="P358" i="2"/>
  <c r="O358" i="2"/>
  <c r="N358" i="2"/>
  <c r="M358" i="2"/>
  <c r="L358" i="2"/>
  <c r="AA357" i="2"/>
  <c r="Z357" i="2"/>
  <c r="U357" i="2"/>
  <c r="T357" i="2"/>
  <c r="S357" i="2"/>
  <c r="Q357" i="2"/>
  <c r="P357" i="2"/>
  <c r="O357" i="2"/>
  <c r="N357" i="2"/>
  <c r="M357" i="2"/>
  <c r="L357" i="2"/>
  <c r="AA356" i="2"/>
  <c r="Z356" i="2"/>
  <c r="U356" i="2"/>
  <c r="T356" i="2"/>
  <c r="S356" i="2"/>
  <c r="Q356" i="2"/>
  <c r="P356" i="2"/>
  <c r="O356" i="2"/>
  <c r="N356" i="2"/>
  <c r="M356" i="2"/>
  <c r="L356" i="2"/>
  <c r="AA353" i="2"/>
  <c r="Z353" i="2"/>
  <c r="U353" i="2"/>
  <c r="T353" i="2"/>
  <c r="S353" i="2"/>
  <c r="Q353" i="2"/>
  <c r="P353" i="2"/>
  <c r="O353" i="2"/>
  <c r="N353" i="2"/>
  <c r="M353" i="2"/>
  <c r="L353" i="2"/>
  <c r="AA351" i="2"/>
  <c r="Z351" i="2"/>
  <c r="U351" i="2"/>
  <c r="T351" i="2"/>
  <c r="S351" i="2"/>
  <c r="Q351" i="2"/>
  <c r="P351" i="2"/>
  <c r="O351" i="2"/>
  <c r="N351" i="2"/>
  <c r="M351" i="2"/>
  <c r="L351" i="2"/>
  <c r="AA352" i="2"/>
  <c r="Z352" i="2"/>
  <c r="U352" i="2"/>
  <c r="T352" i="2"/>
  <c r="S352" i="2"/>
  <c r="Q352" i="2"/>
  <c r="P352" i="2"/>
  <c r="O352" i="2"/>
  <c r="N352" i="2"/>
  <c r="M352" i="2"/>
  <c r="L352" i="2"/>
  <c r="AA343" i="2"/>
  <c r="Z343" i="2"/>
  <c r="U343" i="2"/>
  <c r="T343" i="2"/>
  <c r="S343" i="2"/>
  <c r="Q343" i="2"/>
  <c r="P343" i="2"/>
  <c r="O343" i="2"/>
  <c r="N343" i="2"/>
  <c r="M343" i="2"/>
  <c r="L343" i="2"/>
  <c r="AA338" i="2"/>
  <c r="Z338" i="2"/>
  <c r="U338" i="2"/>
  <c r="T338" i="2"/>
  <c r="S338" i="2"/>
  <c r="Q338" i="2"/>
  <c r="P338" i="2"/>
  <c r="O338" i="2"/>
  <c r="N338" i="2"/>
  <c r="M338" i="2"/>
  <c r="L338" i="2"/>
  <c r="AA339" i="2"/>
  <c r="Z339" i="2"/>
  <c r="U339" i="2"/>
  <c r="T339" i="2"/>
  <c r="S339" i="2"/>
  <c r="Q339" i="2"/>
  <c r="P339" i="2"/>
  <c r="O339" i="2"/>
  <c r="N339" i="2"/>
  <c r="M339" i="2"/>
  <c r="L339" i="2"/>
  <c r="AA336" i="2"/>
  <c r="Z336" i="2"/>
  <c r="U336" i="2"/>
  <c r="T336" i="2"/>
  <c r="S336" i="2"/>
  <c r="Q336" i="2"/>
  <c r="P336" i="2"/>
  <c r="O336" i="2"/>
  <c r="N336" i="2"/>
  <c r="M336" i="2"/>
  <c r="L336" i="2"/>
  <c r="AA333" i="2"/>
  <c r="Z333" i="2"/>
  <c r="U333" i="2"/>
  <c r="T333" i="2"/>
  <c r="S333" i="2"/>
  <c r="Q333" i="2"/>
  <c r="P333" i="2"/>
  <c r="O333" i="2"/>
  <c r="N333" i="2"/>
  <c r="M333" i="2"/>
  <c r="L333" i="2"/>
  <c r="AA334" i="2"/>
  <c r="Z334" i="2"/>
  <c r="U334" i="2"/>
  <c r="T334" i="2"/>
  <c r="S334" i="2"/>
  <c r="Q334" i="2"/>
  <c r="P334" i="2"/>
  <c r="O334" i="2"/>
  <c r="N334" i="2"/>
  <c r="M334" i="2"/>
  <c r="L334" i="2"/>
  <c r="AA325" i="2"/>
  <c r="Z325" i="2"/>
  <c r="U325" i="2"/>
  <c r="T325" i="2"/>
  <c r="S325" i="2"/>
  <c r="Q325" i="2"/>
  <c r="P325" i="2"/>
  <c r="O325" i="2"/>
  <c r="N325" i="2"/>
  <c r="M325" i="2"/>
  <c r="L325" i="2"/>
  <c r="AA324" i="2"/>
  <c r="Z324" i="2"/>
  <c r="U324" i="2"/>
  <c r="T324" i="2"/>
  <c r="S324" i="2"/>
  <c r="Q324" i="2"/>
  <c r="P324" i="2"/>
  <c r="O324" i="2"/>
  <c r="N324" i="2"/>
  <c r="M324" i="2"/>
  <c r="L324" i="2"/>
  <c r="AA320" i="2"/>
  <c r="Z320" i="2"/>
  <c r="U320" i="2"/>
  <c r="T320" i="2"/>
  <c r="S320" i="2"/>
  <c r="Q320" i="2"/>
  <c r="P320" i="2"/>
  <c r="O320" i="2"/>
  <c r="N320" i="2"/>
  <c r="M320" i="2"/>
  <c r="L320" i="2"/>
  <c r="AA413" i="2"/>
  <c r="Z413" i="2"/>
  <c r="U413" i="2"/>
  <c r="T413" i="2"/>
  <c r="S413" i="2"/>
  <c r="Q413" i="2"/>
  <c r="P413" i="2"/>
  <c r="O413" i="2"/>
  <c r="N413" i="2"/>
  <c r="M413" i="2"/>
  <c r="L413" i="2"/>
  <c r="AA412" i="2"/>
  <c r="Z412" i="2"/>
  <c r="U412" i="2"/>
  <c r="T412" i="2"/>
  <c r="S412" i="2"/>
  <c r="Q412" i="2"/>
  <c r="P412" i="2"/>
  <c r="O412" i="2"/>
  <c r="N412" i="2"/>
  <c r="M412" i="2"/>
  <c r="L412" i="2"/>
  <c r="AA408" i="2"/>
  <c r="Z408" i="2"/>
  <c r="U408" i="2"/>
  <c r="T408" i="2"/>
  <c r="S408" i="2"/>
  <c r="Q408" i="2"/>
  <c r="P408" i="2"/>
  <c r="O408" i="2"/>
  <c r="N408" i="2"/>
  <c r="M408" i="2"/>
  <c r="L408" i="2"/>
  <c r="AA256" i="2"/>
  <c r="Z256" i="2"/>
  <c r="U256" i="2"/>
  <c r="T256" i="2"/>
  <c r="S256" i="2"/>
  <c r="Q256" i="2"/>
  <c r="P256" i="2"/>
  <c r="O256" i="2"/>
  <c r="N256" i="2"/>
  <c r="M256" i="2"/>
  <c r="L256" i="2"/>
  <c r="AA29" i="2"/>
  <c r="Z29" i="2"/>
  <c r="U29" i="2"/>
  <c r="T29" i="2"/>
  <c r="S29" i="2"/>
  <c r="Q29" i="2"/>
  <c r="P29" i="2"/>
  <c r="O29" i="2"/>
  <c r="N29" i="2"/>
  <c r="M29" i="2"/>
  <c r="L29" i="2"/>
  <c r="AA41" i="2"/>
  <c r="Z41" i="2"/>
  <c r="U41" i="2"/>
  <c r="T41" i="2"/>
  <c r="S41" i="2"/>
  <c r="Q41" i="2"/>
  <c r="P41" i="2"/>
  <c r="O41" i="2"/>
  <c r="N41" i="2"/>
  <c r="M41" i="2"/>
  <c r="L41" i="2"/>
  <c r="AA51" i="2"/>
  <c r="Z51" i="2"/>
  <c r="U51" i="2"/>
  <c r="T51" i="2"/>
  <c r="S51" i="2"/>
  <c r="Q51" i="2"/>
  <c r="P51" i="2"/>
  <c r="O51" i="2"/>
  <c r="N51" i="2"/>
  <c r="M51" i="2"/>
  <c r="L51" i="2"/>
  <c r="AA50" i="2"/>
  <c r="Z50" i="2"/>
  <c r="U50" i="2"/>
  <c r="T50" i="2"/>
  <c r="S50" i="2"/>
  <c r="Q50" i="2"/>
  <c r="P50" i="2"/>
  <c r="O50" i="2"/>
  <c r="N50" i="2"/>
  <c r="M50" i="2"/>
  <c r="L50" i="2"/>
  <c r="AA63" i="2"/>
  <c r="Z63" i="2"/>
  <c r="U63" i="2"/>
  <c r="T63" i="2"/>
  <c r="S63" i="2"/>
  <c r="Q63" i="2"/>
  <c r="P63" i="2"/>
  <c r="O63" i="2"/>
  <c r="N63" i="2"/>
  <c r="M63" i="2"/>
  <c r="L63" i="2"/>
  <c r="AA115" i="2"/>
  <c r="Z115" i="2"/>
  <c r="U115" i="2"/>
  <c r="T115" i="2"/>
  <c r="S115" i="2"/>
  <c r="Q115" i="2"/>
  <c r="P115" i="2"/>
  <c r="O115" i="2"/>
  <c r="N115" i="2"/>
  <c r="M115" i="2"/>
  <c r="L115" i="2"/>
  <c r="AA255" i="2"/>
  <c r="Z255" i="2"/>
  <c r="U255" i="2"/>
  <c r="T255" i="2"/>
  <c r="S255" i="2"/>
  <c r="Q255" i="2"/>
  <c r="P255" i="2"/>
  <c r="O255" i="2"/>
  <c r="N255" i="2"/>
  <c r="M255" i="2"/>
  <c r="L255" i="2"/>
  <c r="AA291" i="2"/>
  <c r="Z291" i="2"/>
  <c r="U291" i="2"/>
  <c r="T291" i="2"/>
  <c r="S291" i="2"/>
  <c r="Q291" i="2"/>
  <c r="P291" i="2"/>
  <c r="O291" i="2"/>
  <c r="N291" i="2"/>
  <c r="M291" i="2"/>
  <c r="L291" i="2"/>
  <c r="AA292" i="2"/>
  <c r="Z292" i="2"/>
  <c r="U292" i="2"/>
  <c r="T292" i="2"/>
  <c r="S292" i="2"/>
  <c r="Q292" i="2"/>
  <c r="P292" i="2"/>
  <c r="O292" i="2"/>
  <c r="N292" i="2"/>
  <c r="M292" i="2"/>
  <c r="L292" i="2"/>
  <c r="AA466" i="2"/>
  <c r="Z466" i="2"/>
  <c r="U466" i="2"/>
  <c r="T466" i="2"/>
  <c r="S466" i="2"/>
  <c r="Q466" i="2"/>
  <c r="P466" i="2"/>
  <c r="O466" i="2"/>
  <c r="N466" i="2"/>
  <c r="M466" i="2"/>
  <c r="L466" i="2"/>
  <c r="AA499" i="2"/>
  <c r="Z499" i="2"/>
  <c r="U499" i="2"/>
  <c r="T499" i="2"/>
  <c r="S499" i="2"/>
  <c r="Q499" i="2"/>
  <c r="P499" i="2"/>
  <c r="O499" i="2"/>
  <c r="N499" i="2"/>
  <c r="M499" i="2"/>
  <c r="L499" i="2"/>
  <c r="AA498" i="2"/>
  <c r="Z498" i="2"/>
  <c r="U498" i="2"/>
  <c r="T498" i="2"/>
  <c r="S498" i="2"/>
  <c r="Q498" i="2"/>
  <c r="P498" i="2"/>
  <c r="O498" i="2"/>
  <c r="N498" i="2"/>
  <c r="M498" i="2"/>
  <c r="L498" i="2"/>
  <c r="AA544" i="2"/>
  <c r="Z544" i="2"/>
  <c r="U544" i="2"/>
  <c r="T544" i="2"/>
  <c r="S544" i="2"/>
  <c r="Q544" i="2"/>
  <c r="P544" i="2"/>
  <c r="O544" i="2"/>
  <c r="N544" i="2"/>
  <c r="M544" i="2"/>
  <c r="L544" i="2"/>
  <c r="AA465" i="2"/>
  <c r="Z465" i="2"/>
  <c r="U465" i="2"/>
  <c r="T465" i="2"/>
  <c r="S465" i="2"/>
  <c r="Q465" i="2"/>
  <c r="P465" i="2"/>
  <c r="O465" i="2"/>
  <c r="N465" i="2"/>
  <c r="M465" i="2"/>
  <c r="L465" i="2"/>
  <c r="AA26" i="2"/>
  <c r="Z26" i="2"/>
  <c r="U26" i="2"/>
  <c r="T26" i="2"/>
  <c r="S26" i="2"/>
  <c r="Q26" i="2"/>
  <c r="P26" i="2"/>
  <c r="O26" i="2"/>
  <c r="N26" i="2"/>
  <c r="M26" i="2"/>
  <c r="L26" i="2"/>
  <c r="AA35" i="2"/>
  <c r="Z35" i="2"/>
  <c r="U35" i="2"/>
  <c r="T35" i="2"/>
  <c r="S35" i="2"/>
  <c r="Q35" i="2"/>
  <c r="P35" i="2"/>
  <c r="O35" i="2"/>
  <c r="N35" i="2"/>
  <c r="M35" i="2"/>
  <c r="L35" i="2"/>
  <c r="AA76" i="2"/>
  <c r="Z76" i="2"/>
  <c r="U76" i="2"/>
  <c r="T76" i="2"/>
  <c r="S76" i="2"/>
  <c r="Q76" i="2"/>
  <c r="P76" i="2"/>
  <c r="O76" i="2"/>
  <c r="N76" i="2"/>
  <c r="M76" i="2"/>
  <c r="L76" i="2"/>
  <c r="AA254" i="2"/>
  <c r="Z254" i="2"/>
  <c r="U254" i="2"/>
  <c r="T254" i="2"/>
  <c r="S254" i="2"/>
  <c r="Q254" i="2"/>
  <c r="P254" i="2"/>
  <c r="O254" i="2"/>
  <c r="N254" i="2"/>
  <c r="M254" i="2"/>
  <c r="L254" i="2"/>
  <c r="AA290" i="2"/>
  <c r="Z290" i="2"/>
  <c r="U290" i="2"/>
  <c r="T290" i="2"/>
  <c r="S290" i="2"/>
  <c r="Q290" i="2"/>
  <c r="P290" i="2"/>
  <c r="O290" i="2"/>
  <c r="N290" i="2"/>
  <c r="M290" i="2"/>
  <c r="L290" i="2"/>
  <c r="AA463" i="2"/>
  <c r="Z463" i="2"/>
  <c r="U463" i="2"/>
  <c r="T463" i="2"/>
  <c r="S463" i="2"/>
  <c r="Q463" i="2"/>
  <c r="P463" i="2"/>
  <c r="O463" i="2"/>
  <c r="N463" i="2"/>
  <c r="M463" i="2"/>
  <c r="L463" i="2"/>
  <c r="AA494" i="2"/>
  <c r="Z494" i="2"/>
  <c r="U494" i="2"/>
  <c r="T494" i="2"/>
  <c r="S494" i="2"/>
  <c r="Q494" i="2"/>
  <c r="P494" i="2"/>
  <c r="O494" i="2"/>
  <c r="N494" i="2"/>
  <c r="M494" i="2"/>
  <c r="L494" i="2"/>
  <c r="AA543" i="2"/>
  <c r="Z543" i="2"/>
  <c r="U543" i="2"/>
  <c r="T543" i="2"/>
  <c r="S543" i="2"/>
  <c r="Q543" i="2"/>
  <c r="P543" i="2"/>
  <c r="O543" i="2"/>
  <c r="N543" i="2"/>
  <c r="M543" i="2"/>
  <c r="L543" i="2"/>
  <c r="AA253" i="2"/>
  <c r="Z253" i="2"/>
  <c r="U253" i="2"/>
  <c r="T253" i="2"/>
  <c r="S253" i="2"/>
  <c r="Q253" i="2"/>
  <c r="P253" i="2"/>
  <c r="O253" i="2"/>
  <c r="N253" i="2"/>
  <c r="M253" i="2"/>
  <c r="L253" i="2"/>
  <c r="AA60" i="2"/>
  <c r="Z60" i="2"/>
  <c r="U60" i="2"/>
  <c r="T60" i="2"/>
  <c r="S60" i="2"/>
  <c r="Q60" i="2"/>
  <c r="P60" i="2"/>
  <c r="O60" i="2"/>
  <c r="N60" i="2"/>
  <c r="M60" i="2"/>
  <c r="L60" i="2"/>
  <c r="AA58" i="2"/>
  <c r="Z58" i="2"/>
  <c r="U58" i="2"/>
  <c r="T58" i="2"/>
  <c r="S58" i="2"/>
  <c r="Q58" i="2"/>
  <c r="P58" i="2"/>
  <c r="O58" i="2"/>
  <c r="N58" i="2"/>
  <c r="M58" i="2"/>
  <c r="L58" i="2"/>
  <c r="AA288" i="2"/>
  <c r="Z288" i="2"/>
  <c r="U288" i="2"/>
  <c r="T288" i="2"/>
  <c r="S288" i="2"/>
  <c r="Q288" i="2"/>
  <c r="P288" i="2"/>
  <c r="O288" i="2"/>
  <c r="N288" i="2"/>
  <c r="M288" i="2"/>
  <c r="L288" i="2"/>
  <c r="AA112" i="2"/>
  <c r="Z112" i="2"/>
  <c r="U112" i="2"/>
  <c r="T112" i="2"/>
  <c r="S112" i="2"/>
  <c r="Q112" i="2"/>
  <c r="P112" i="2"/>
  <c r="O112" i="2"/>
  <c r="N112" i="2"/>
  <c r="M112" i="2"/>
  <c r="L112" i="2"/>
  <c r="AA153" i="2"/>
  <c r="Z153" i="2"/>
  <c r="U153" i="2"/>
  <c r="T153" i="2"/>
  <c r="S153" i="2"/>
  <c r="Q153" i="2"/>
  <c r="P153" i="2"/>
  <c r="O153" i="2"/>
  <c r="N153" i="2"/>
  <c r="M153" i="2"/>
  <c r="L153" i="2"/>
  <c r="AA286" i="2"/>
  <c r="Z286" i="2"/>
  <c r="U286" i="2"/>
  <c r="T286" i="2"/>
  <c r="S286" i="2"/>
  <c r="Q286" i="2"/>
  <c r="P286" i="2"/>
  <c r="O286" i="2"/>
  <c r="N286" i="2"/>
  <c r="M286" i="2"/>
  <c r="L286" i="2"/>
  <c r="AA440" i="2"/>
  <c r="Z440" i="2"/>
  <c r="U440" i="2"/>
  <c r="T440" i="2"/>
  <c r="S440" i="2"/>
  <c r="Q440" i="2"/>
  <c r="P440" i="2"/>
  <c r="O440" i="2"/>
  <c r="N440" i="2"/>
  <c r="M440" i="2"/>
  <c r="L440" i="2"/>
  <c r="AA109" i="2"/>
  <c r="Z109" i="2"/>
  <c r="U109" i="2"/>
  <c r="T109" i="2"/>
  <c r="S109" i="2"/>
  <c r="Q109" i="2"/>
  <c r="P109" i="2"/>
  <c r="O109" i="2"/>
  <c r="N109" i="2"/>
  <c r="M109" i="2"/>
  <c r="L109" i="2"/>
  <c r="AA439" i="2"/>
  <c r="Z439" i="2"/>
  <c r="U439" i="2"/>
  <c r="T439" i="2"/>
  <c r="S439" i="2"/>
  <c r="Q439" i="2"/>
  <c r="P439" i="2"/>
  <c r="O439" i="2"/>
  <c r="N439" i="2"/>
  <c r="M439" i="2"/>
  <c r="L439" i="2"/>
  <c r="AA108" i="2"/>
  <c r="Z108" i="2"/>
  <c r="U108" i="2"/>
  <c r="T108" i="2"/>
  <c r="S108" i="2"/>
  <c r="Q108" i="2"/>
  <c r="P108" i="2"/>
  <c r="O108" i="2"/>
  <c r="N108" i="2"/>
  <c r="M108" i="2"/>
  <c r="L108" i="2"/>
  <c r="AA150" i="2"/>
  <c r="Z150" i="2"/>
  <c r="U150" i="2"/>
  <c r="T150" i="2"/>
  <c r="S150" i="2"/>
  <c r="Q150" i="2"/>
  <c r="P150" i="2"/>
  <c r="O150" i="2"/>
  <c r="N150" i="2"/>
  <c r="M150" i="2"/>
  <c r="L150" i="2"/>
  <c r="AA59" i="2"/>
  <c r="Z59" i="2"/>
  <c r="U59" i="2"/>
  <c r="T59" i="2"/>
  <c r="S59" i="2"/>
  <c r="Q59" i="2"/>
  <c r="P59" i="2"/>
  <c r="O59" i="2"/>
  <c r="N59" i="2"/>
  <c r="M59" i="2"/>
  <c r="L59" i="2"/>
  <c r="AA106" i="2"/>
  <c r="Z106" i="2"/>
  <c r="U106" i="2"/>
  <c r="T106" i="2"/>
  <c r="S106" i="2"/>
  <c r="Q106" i="2"/>
  <c r="P106" i="2"/>
  <c r="O106" i="2"/>
  <c r="N106" i="2"/>
  <c r="M106" i="2"/>
  <c r="L106" i="2"/>
  <c r="AA74" i="2"/>
  <c r="Z74" i="2"/>
  <c r="U74" i="2"/>
  <c r="T74" i="2"/>
  <c r="S74" i="2"/>
  <c r="Q74" i="2"/>
  <c r="P74" i="2"/>
  <c r="O74" i="2"/>
  <c r="N74" i="2"/>
  <c r="M74" i="2"/>
  <c r="L74" i="2"/>
  <c r="AA104" i="2"/>
  <c r="Z104" i="2"/>
  <c r="U104" i="2"/>
  <c r="T104" i="2"/>
  <c r="S104" i="2"/>
  <c r="Q104" i="2"/>
  <c r="P104" i="2"/>
  <c r="O104" i="2"/>
  <c r="N104" i="2"/>
  <c r="M104" i="2"/>
  <c r="L104" i="2"/>
  <c r="AA122" i="2"/>
  <c r="Z122" i="2"/>
  <c r="U122" i="2"/>
  <c r="T122" i="2"/>
  <c r="S122" i="2"/>
  <c r="Q122" i="2"/>
  <c r="P122" i="2"/>
  <c r="O122" i="2"/>
  <c r="N122" i="2"/>
  <c r="M122" i="2"/>
  <c r="L122" i="2"/>
  <c r="AA149" i="2"/>
  <c r="Z149" i="2"/>
  <c r="U149" i="2"/>
  <c r="T149" i="2"/>
  <c r="S149" i="2"/>
  <c r="Q149" i="2"/>
  <c r="P149" i="2"/>
  <c r="O149" i="2"/>
  <c r="N149" i="2"/>
  <c r="M149" i="2"/>
  <c r="L149" i="2"/>
  <c r="AA270" i="2"/>
  <c r="Z270" i="2"/>
  <c r="U270" i="2"/>
  <c r="T270" i="2"/>
  <c r="S270" i="2"/>
  <c r="Q270" i="2"/>
  <c r="P270" i="2"/>
  <c r="O270" i="2"/>
  <c r="N270" i="2"/>
  <c r="M270" i="2"/>
  <c r="L270" i="2"/>
  <c r="E270" i="2"/>
  <c r="AA283" i="2"/>
  <c r="Z283" i="2"/>
  <c r="U283" i="2"/>
  <c r="T283" i="2"/>
  <c r="S283" i="2"/>
  <c r="Q283" i="2"/>
  <c r="P283" i="2"/>
  <c r="O283" i="2"/>
  <c r="N283" i="2"/>
  <c r="M283" i="2"/>
  <c r="L283" i="2"/>
  <c r="AA300" i="2"/>
  <c r="Z300" i="2"/>
  <c r="U300" i="2"/>
  <c r="T300" i="2"/>
  <c r="S300" i="2"/>
  <c r="Q300" i="2"/>
  <c r="P300" i="2"/>
  <c r="O300" i="2"/>
  <c r="N300" i="2"/>
  <c r="M300" i="2"/>
  <c r="L300" i="2"/>
  <c r="AA438" i="2"/>
  <c r="Z438" i="2"/>
  <c r="U438" i="2"/>
  <c r="T438" i="2"/>
  <c r="S438" i="2"/>
  <c r="Q438" i="2"/>
  <c r="P438" i="2"/>
  <c r="O438" i="2"/>
  <c r="N438" i="2"/>
  <c r="M438" i="2"/>
  <c r="L438" i="2"/>
  <c r="AA103" i="2"/>
  <c r="Z103" i="2"/>
  <c r="U103" i="2"/>
  <c r="T103" i="2"/>
  <c r="S103" i="2"/>
  <c r="Q103" i="2"/>
  <c r="P103" i="2"/>
  <c r="O103" i="2"/>
  <c r="N103" i="2"/>
  <c r="M103" i="2"/>
  <c r="L103" i="2"/>
  <c r="AA121" i="2"/>
  <c r="Z121" i="2"/>
  <c r="U121" i="2"/>
  <c r="T121" i="2"/>
  <c r="S121" i="2"/>
  <c r="Q121" i="2"/>
  <c r="P121" i="2"/>
  <c r="O121" i="2"/>
  <c r="N121" i="2"/>
  <c r="M121" i="2"/>
  <c r="L121" i="2"/>
  <c r="AA94" i="2"/>
  <c r="Z94" i="2"/>
  <c r="U94" i="2"/>
  <c r="T94" i="2"/>
  <c r="S94" i="2"/>
  <c r="Q94" i="2"/>
  <c r="P94" i="2"/>
  <c r="O94" i="2"/>
  <c r="N94" i="2"/>
  <c r="M94" i="2"/>
  <c r="L94" i="2"/>
  <c r="AA218" i="2"/>
  <c r="Z218" i="2"/>
  <c r="U218" i="2"/>
  <c r="T218" i="2"/>
  <c r="S218" i="2"/>
  <c r="Q218" i="2"/>
  <c r="P218" i="2"/>
  <c r="O218" i="2"/>
  <c r="N218" i="2"/>
  <c r="M218" i="2"/>
  <c r="L218" i="2"/>
  <c r="AA134" i="2"/>
  <c r="Z134" i="2"/>
  <c r="U134" i="2"/>
  <c r="T134" i="2"/>
  <c r="S134" i="2"/>
  <c r="Q134" i="2"/>
  <c r="P134" i="2"/>
  <c r="O134" i="2"/>
  <c r="N134" i="2"/>
  <c r="M134" i="2"/>
  <c r="L134" i="2"/>
  <c r="AA158" i="2"/>
  <c r="Z158" i="2"/>
  <c r="U158" i="2"/>
  <c r="T158" i="2"/>
  <c r="S158" i="2"/>
  <c r="Q158" i="2"/>
  <c r="P158" i="2"/>
  <c r="O158" i="2"/>
  <c r="N158" i="2"/>
  <c r="M158" i="2"/>
  <c r="L158" i="2"/>
  <c r="AA217" i="2"/>
  <c r="Z217" i="2"/>
  <c r="U217" i="2"/>
  <c r="T217" i="2"/>
  <c r="S217" i="2"/>
  <c r="Q217" i="2"/>
  <c r="P217" i="2"/>
  <c r="O217" i="2"/>
  <c r="N217" i="2"/>
  <c r="M217" i="2"/>
  <c r="L217" i="2"/>
  <c r="AA285" i="2"/>
  <c r="Z285" i="2"/>
  <c r="U285" i="2"/>
  <c r="T285" i="2"/>
  <c r="S285" i="2"/>
  <c r="Q285" i="2"/>
  <c r="P285" i="2"/>
  <c r="O285" i="2"/>
  <c r="N285" i="2"/>
  <c r="M285" i="2"/>
  <c r="L285" i="2"/>
  <c r="AA416" i="2"/>
  <c r="Z416" i="2"/>
  <c r="U416" i="2"/>
  <c r="T416" i="2"/>
  <c r="S416" i="2"/>
  <c r="Q416" i="2"/>
  <c r="P416" i="2"/>
  <c r="O416" i="2"/>
  <c r="N416" i="2"/>
  <c r="M416" i="2"/>
  <c r="L416" i="2"/>
  <c r="AA426" i="2"/>
  <c r="Z426" i="2"/>
  <c r="U426" i="2"/>
  <c r="T426" i="2"/>
  <c r="S426" i="2"/>
  <c r="Q426" i="2"/>
  <c r="P426" i="2"/>
  <c r="O426" i="2"/>
  <c r="N426" i="2"/>
  <c r="M426" i="2"/>
  <c r="L426" i="2"/>
  <c r="AA513" i="2"/>
  <c r="Z513" i="2"/>
  <c r="U513" i="2"/>
  <c r="T513" i="2"/>
  <c r="S513" i="2"/>
  <c r="Q513" i="2"/>
  <c r="P513" i="2"/>
  <c r="O513" i="2"/>
  <c r="N513" i="2"/>
  <c r="M513" i="2"/>
  <c r="L513" i="2"/>
  <c r="AA48" i="2"/>
  <c r="Z48" i="2"/>
  <c r="U48" i="2"/>
  <c r="T48" i="2"/>
  <c r="S48" i="2"/>
  <c r="Q48" i="2"/>
  <c r="P48" i="2"/>
  <c r="O48" i="2"/>
  <c r="N48" i="2"/>
  <c r="M48" i="2"/>
  <c r="L48" i="2"/>
  <c r="AA90" i="2"/>
  <c r="Z90" i="2"/>
  <c r="U90" i="2"/>
  <c r="T90" i="2"/>
  <c r="S90" i="2"/>
  <c r="Q90" i="2"/>
  <c r="P90" i="2"/>
  <c r="O90" i="2"/>
  <c r="N90" i="2"/>
  <c r="M90" i="2"/>
  <c r="L90" i="2"/>
  <c r="AA131" i="2"/>
  <c r="Z131" i="2"/>
  <c r="U131" i="2"/>
  <c r="T131" i="2"/>
  <c r="S131" i="2"/>
  <c r="Q131" i="2"/>
  <c r="P131" i="2"/>
  <c r="O131" i="2"/>
  <c r="N131" i="2"/>
  <c r="M131" i="2"/>
  <c r="L131" i="2"/>
  <c r="AA133" i="2"/>
  <c r="Z133" i="2"/>
  <c r="U133" i="2"/>
  <c r="T133" i="2"/>
  <c r="S133" i="2"/>
  <c r="Q133" i="2"/>
  <c r="P133" i="2"/>
  <c r="O133" i="2"/>
  <c r="N133" i="2"/>
  <c r="M133" i="2"/>
  <c r="L133" i="2"/>
  <c r="AA157" i="2"/>
  <c r="Z157" i="2"/>
  <c r="U157" i="2"/>
  <c r="T157" i="2"/>
  <c r="S157" i="2"/>
  <c r="Q157" i="2"/>
  <c r="P157" i="2"/>
  <c r="O157" i="2"/>
  <c r="N157" i="2"/>
  <c r="M157" i="2"/>
  <c r="L157" i="2"/>
  <c r="AA216" i="2"/>
  <c r="Z216" i="2"/>
  <c r="U216" i="2"/>
  <c r="T216" i="2"/>
  <c r="S216" i="2"/>
  <c r="Q216" i="2"/>
  <c r="P216" i="2"/>
  <c r="O216" i="2"/>
  <c r="N216" i="2"/>
  <c r="M216" i="2"/>
  <c r="L216" i="2"/>
  <c r="AA248" i="2"/>
  <c r="Z248" i="2"/>
  <c r="U248" i="2"/>
  <c r="T248" i="2"/>
  <c r="S248" i="2"/>
  <c r="Q248" i="2"/>
  <c r="P248" i="2"/>
  <c r="O248" i="2"/>
  <c r="N248" i="2"/>
  <c r="M248" i="2"/>
  <c r="L248" i="2"/>
  <c r="AA415" i="2"/>
  <c r="Z415" i="2"/>
  <c r="U415" i="2"/>
  <c r="T415" i="2"/>
  <c r="S415" i="2"/>
  <c r="Q415" i="2"/>
  <c r="P415" i="2"/>
  <c r="O415" i="2"/>
  <c r="N415" i="2"/>
  <c r="M415" i="2"/>
  <c r="L415" i="2"/>
  <c r="AA425" i="2"/>
  <c r="Z425" i="2"/>
  <c r="U425" i="2"/>
  <c r="T425" i="2"/>
  <c r="S425" i="2"/>
  <c r="Q425" i="2"/>
  <c r="P425" i="2"/>
  <c r="O425" i="2"/>
  <c r="N425" i="2"/>
  <c r="M425" i="2"/>
  <c r="L425" i="2"/>
  <c r="AA512" i="2"/>
  <c r="Z512" i="2"/>
  <c r="U512" i="2"/>
  <c r="T512" i="2"/>
  <c r="S512" i="2"/>
  <c r="Q512" i="2"/>
  <c r="P512" i="2"/>
  <c r="O512" i="2"/>
  <c r="N512" i="2"/>
  <c r="M512" i="2"/>
  <c r="L512" i="2"/>
  <c r="AA517" i="2"/>
  <c r="Z517" i="2"/>
  <c r="U517" i="2"/>
  <c r="T517" i="2"/>
  <c r="S517" i="2"/>
  <c r="Q517" i="2"/>
  <c r="P517" i="2"/>
  <c r="O517" i="2"/>
  <c r="N517" i="2"/>
  <c r="M517" i="2"/>
  <c r="L517" i="2"/>
  <c r="AA130" i="2"/>
  <c r="Z130" i="2"/>
  <c r="U130" i="2"/>
  <c r="T130" i="2"/>
  <c r="S130" i="2"/>
  <c r="Q130" i="2"/>
  <c r="P130" i="2"/>
  <c r="O130" i="2"/>
  <c r="N130" i="2"/>
  <c r="M130" i="2"/>
  <c r="L130" i="2"/>
  <c r="AA46" i="2"/>
  <c r="Z46" i="2"/>
  <c r="U46" i="2"/>
  <c r="T46" i="2"/>
  <c r="S46" i="2"/>
  <c r="Q46" i="2"/>
  <c r="P46" i="2"/>
  <c r="O46" i="2"/>
  <c r="N46" i="2"/>
  <c r="M46" i="2"/>
  <c r="L46" i="2"/>
  <c r="AA129" i="2"/>
  <c r="Z129" i="2"/>
  <c r="U129" i="2"/>
  <c r="T129" i="2"/>
  <c r="S129" i="2"/>
  <c r="Q129" i="2"/>
  <c r="P129" i="2"/>
  <c r="O129" i="2"/>
  <c r="N129" i="2"/>
  <c r="M129" i="2"/>
  <c r="L129" i="2"/>
  <c r="AA132" i="2"/>
  <c r="Z132" i="2"/>
  <c r="U132" i="2"/>
  <c r="T132" i="2"/>
  <c r="S132" i="2"/>
  <c r="Q132" i="2"/>
  <c r="P132" i="2"/>
  <c r="O132" i="2"/>
  <c r="N132" i="2"/>
  <c r="M132" i="2"/>
  <c r="L132" i="2"/>
  <c r="AA156" i="2"/>
  <c r="Z156" i="2"/>
  <c r="U156" i="2"/>
  <c r="T156" i="2"/>
  <c r="S156" i="2"/>
  <c r="Q156" i="2"/>
  <c r="P156" i="2"/>
  <c r="O156" i="2"/>
  <c r="N156" i="2"/>
  <c r="M156" i="2"/>
  <c r="L156" i="2"/>
  <c r="AA215" i="2"/>
  <c r="Z215" i="2"/>
  <c r="U215" i="2"/>
  <c r="T215" i="2"/>
  <c r="S215" i="2"/>
  <c r="Q215" i="2"/>
  <c r="P215" i="2"/>
  <c r="O215" i="2"/>
  <c r="N215" i="2"/>
  <c r="M215" i="2"/>
  <c r="L215" i="2"/>
  <c r="AA276" i="2"/>
  <c r="Z276" i="2"/>
  <c r="U276" i="2"/>
  <c r="T276" i="2"/>
  <c r="S276" i="2"/>
  <c r="Q276" i="2"/>
  <c r="P276" i="2"/>
  <c r="O276" i="2"/>
  <c r="N276" i="2"/>
  <c r="M276" i="2"/>
  <c r="L276" i="2"/>
  <c r="AA424" i="2"/>
  <c r="Z424" i="2"/>
  <c r="U424" i="2"/>
  <c r="T424" i="2"/>
  <c r="S424" i="2"/>
  <c r="Q424" i="2"/>
  <c r="P424" i="2"/>
  <c r="O424" i="2"/>
  <c r="N424" i="2"/>
  <c r="M424" i="2"/>
  <c r="L424" i="2"/>
  <c r="AA511" i="2"/>
  <c r="Z511" i="2"/>
  <c r="U511" i="2"/>
  <c r="T511" i="2"/>
  <c r="S511" i="2"/>
  <c r="Q511" i="2"/>
  <c r="P511" i="2"/>
  <c r="O511" i="2"/>
  <c r="N511" i="2"/>
  <c r="M511" i="2"/>
  <c r="L511" i="2"/>
  <c r="AA516" i="2"/>
  <c r="Z516" i="2"/>
  <c r="U516" i="2"/>
  <c r="T516" i="2"/>
  <c r="S516" i="2"/>
  <c r="Q516" i="2"/>
  <c r="P516" i="2"/>
  <c r="O516" i="2"/>
  <c r="N516" i="2"/>
  <c r="M516" i="2"/>
  <c r="L516" i="2"/>
  <c r="AA85" i="2"/>
  <c r="Z85" i="2"/>
  <c r="U85" i="2"/>
  <c r="T85" i="2"/>
  <c r="S85" i="2"/>
  <c r="Q85" i="2"/>
  <c r="P85" i="2"/>
  <c r="O85" i="2"/>
  <c r="N85" i="2"/>
  <c r="M85" i="2"/>
  <c r="L85" i="2"/>
  <c r="AA155" i="2"/>
  <c r="Z155" i="2"/>
  <c r="U155" i="2"/>
  <c r="T155" i="2"/>
  <c r="S155" i="2"/>
  <c r="Q155" i="2"/>
  <c r="P155" i="2"/>
  <c r="O155" i="2"/>
  <c r="N155" i="2"/>
  <c r="M155" i="2"/>
  <c r="L155" i="2"/>
  <c r="AA182" i="2"/>
  <c r="Z182" i="2"/>
  <c r="U182" i="2"/>
  <c r="T182" i="2"/>
  <c r="S182" i="2"/>
  <c r="Q182" i="2"/>
  <c r="P182" i="2"/>
  <c r="O182" i="2"/>
  <c r="N182" i="2"/>
  <c r="M182" i="2"/>
  <c r="L182" i="2"/>
  <c r="AA196" i="2"/>
  <c r="Z196" i="2"/>
  <c r="U196" i="2"/>
  <c r="T196" i="2"/>
  <c r="S196" i="2"/>
  <c r="Q196" i="2"/>
  <c r="P196" i="2"/>
  <c r="O196" i="2"/>
  <c r="N196" i="2"/>
  <c r="M196" i="2"/>
  <c r="L196" i="2"/>
  <c r="AA268" i="2"/>
  <c r="Z268" i="2"/>
  <c r="U268" i="2"/>
  <c r="T268" i="2"/>
  <c r="S268" i="2"/>
  <c r="Q268" i="2"/>
  <c r="P268" i="2"/>
  <c r="O268" i="2"/>
  <c r="N268" i="2"/>
  <c r="M268" i="2"/>
  <c r="L268" i="2"/>
  <c r="AA289" i="2"/>
  <c r="Z289" i="2"/>
  <c r="U289" i="2"/>
  <c r="T289" i="2"/>
  <c r="S289" i="2"/>
  <c r="Q289" i="2"/>
  <c r="P289" i="2"/>
  <c r="O289" i="2"/>
  <c r="N289" i="2"/>
  <c r="M289" i="2"/>
  <c r="L289" i="2"/>
  <c r="AA305" i="2"/>
  <c r="Z305" i="2"/>
  <c r="U305" i="2"/>
  <c r="T305" i="2"/>
  <c r="S305" i="2"/>
  <c r="Q305" i="2"/>
  <c r="P305" i="2"/>
  <c r="O305" i="2"/>
  <c r="N305" i="2"/>
  <c r="M305" i="2"/>
  <c r="L305" i="2"/>
  <c r="AA541" i="2"/>
  <c r="Z541" i="2"/>
  <c r="U541" i="2"/>
  <c r="T541" i="2"/>
  <c r="S541" i="2"/>
  <c r="Q541" i="2"/>
  <c r="P541" i="2"/>
  <c r="O541" i="2"/>
  <c r="N541" i="2"/>
  <c r="M541" i="2"/>
  <c r="L541" i="2"/>
  <c r="E541" i="2"/>
  <c r="AA83" i="2"/>
  <c r="Z83" i="2"/>
  <c r="U83" i="2"/>
  <c r="T83" i="2"/>
  <c r="S83" i="2"/>
  <c r="Q83" i="2"/>
  <c r="P83" i="2"/>
  <c r="O83" i="2"/>
  <c r="N83" i="2"/>
  <c r="M83" i="2"/>
  <c r="L83" i="2"/>
  <c r="AA154" i="2"/>
  <c r="Z154" i="2"/>
  <c r="U154" i="2"/>
  <c r="T154" i="2"/>
  <c r="S154" i="2"/>
  <c r="Q154" i="2"/>
  <c r="P154" i="2"/>
  <c r="O154" i="2"/>
  <c r="N154" i="2"/>
  <c r="M154" i="2"/>
  <c r="L154" i="2"/>
  <c r="AA176" i="2"/>
  <c r="Z176" i="2"/>
  <c r="U176" i="2"/>
  <c r="T176" i="2"/>
  <c r="S176" i="2"/>
  <c r="Q176" i="2"/>
  <c r="P176" i="2"/>
  <c r="O176" i="2"/>
  <c r="N176" i="2"/>
  <c r="M176" i="2"/>
  <c r="L176" i="2"/>
  <c r="AA195" i="2"/>
  <c r="Z195" i="2"/>
  <c r="U195" i="2"/>
  <c r="T195" i="2"/>
  <c r="S195" i="2"/>
  <c r="Q195" i="2"/>
  <c r="P195" i="2"/>
  <c r="O195" i="2"/>
  <c r="N195" i="2"/>
  <c r="M195" i="2"/>
  <c r="L195" i="2"/>
  <c r="AA251" i="2"/>
  <c r="Z251" i="2"/>
  <c r="U251" i="2"/>
  <c r="T251" i="2"/>
  <c r="S251" i="2"/>
  <c r="Q251" i="2"/>
  <c r="P251" i="2"/>
  <c r="O251" i="2"/>
  <c r="N251" i="2"/>
  <c r="M251" i="2"/>
  <c r="L251" i="2"/>
  <c r="AA267" i="2"/>
  <c r="Z267" i="2"/>
  <c r="U267" i="2"/>
  <c r="T267" i="2"/>
  <c r="S267" i="2"/>
  <c r="Q267" i="2"/>
  <c r="P267" i="2"/>
  <c r="O267" i="2"/>
  <c r="N267" i="2"/>
  <c r="M267" i="2"/>
  <c r="L267" i="2"/>
  <c r="AA287" i="2"/>
  <c r="Z287" i="2"/>
  <c r="U287" i="2"/>
  <c r="T287" i="2"/>
  <c r="S287" i="2"/>
  <c r="Q287" i="2"/>
  <c r="P287" i="2"/>
  <c r="O287" i="2"/>
  <c r="N287" i="2"/>
  <c r="M287" i="2"/>
  <c r="L287" i="2"/>
  <c r="AA411" i="2"/>
  <c r="Z411" i="2"/>
  <c r="U411" i="2"/>
  <c r="T411" i="2"/>
  <c r="S411" i="2"/>
  <c r="Q411" i="2"/>
  <c r="P411" i="2"/>
  <c r="O411" i="2"/>
  <c r="N411" i="2"/>
  <c r="M411" i="2"/>
  <c r="L411" i="2"/>
  <c r="AA454" i="2"/>
  <c r="Z454" i="2"/>
  <c r="U454" i="2"/>
  <c r="T454" i="2"/>
  <c r="S454" i="2"/>
  <c r="Q454" i="2"/>
  <c r="P454" i="2"/>
  <c r="O454" i="2"/>
  <c r="N454" i="2"/>
  <c r="M454" i="2"/>
  <c r="L454" i="2"/>
  <c r="AA540" i="2"/>
  <c r="Z540" i="2"/>
  <c r="U540" i="2"/>
  <c r="T540" i="2"/>
  <c r="S540" i="2"/>
  <c r="Q540" i="2"/>
  <c r="P540" i="2"/>
  <c r="O540" i="2"/>
  <c r="N540" i="2"/>
  <c r="M540" i="2"/>
  <c r="L540" i="2"/>
  <c r="E540" i="2"/>
  <c r="AA81" i="2"/>
  <c r="Z81" i="2"/>
  <c r="U81" i="2"/>
  <c r="T81" i="2"/>
  <c r="S81" i="2"/>
  <c r="Q81" i="2"/>
  <c r="P81" i="2"/>
  <c r="O81" i="2"/>
  <c r="N81" i="2"/>
  <c r="M81" i="2"/>
  <c r="L81" i="2"/>
  <c r="AA152" i="2"/>
  <c r="Z152" i="2"/>
  <c r="U152" i="2"/>
  <c r="T152" i="2"/>
  <c r="S152" i="2"/>
  <c r="Q152" i="2"/>
  <c r="P152" i="2"/>
  <c r="O152" i="2"/>
  <c r="N152" i="2"/>
  <c r="M152" i="2"/>
  <c r="L152" i="2"/>
  <c r="AA170" i="2"/>
  <c r="Z170" i="2"/>
  <c r="U170" i="2"/>
  <c r="T170" i="2"/>
  <c r="S170" i="2"/>
  <c r="Q170" i="2"/>
  <c r="P170" i="2"/>
  <c r="O170" i="2"/>
  <c r="N170" i="2"/>
  <c r="M170" i="2"/>
  <c r="L170" i="2"/>
  <c r="AA194" i="2"/>
  <c r="Z194" i="2"/>
  <c r="U194" i="2"/>
  <c r="T194" i="2"/>
  <c r="S194" i="2"/>
  <c r="Q194" i="2"/>
  <c r="P194" i="2"/>
  <c r="O194" i="2"/>
  <c r="N194" i="2"/>
  <c r="M194" i="2"/>
  <c r="L194" i="2"/>
  <c r="AA249" i="2"/>
  <c r="Z249" i="2"/>
  <c r="U249" i="2"/>
  <c r="T249" i="2"/>
  <c r="S249" i="2"/>
  <c r="Q249" i="2"/>
  <c r="P249" i="2"/>
  <c r="O249" i="2"/>
  <c r="N249" i="2"/>
  <c r="M249" i="2"/>
  <c r="L249" i="2"/>
  <c r="AA266" i="2"/>
  <c r="Z266" i="2"/>
  <c r="U266" i="2"/>
  <c r="T266" i="2"/>
  <c r="S266" i="2"/>
  <c r="Q266" i="2"/>
  <c r="P266" i="2"/>
  <c r="O266" i="2"/>
  <c r="N266" i="2"/>
  <c r="M266" i="2"/>
  <c r="L266" i="2"/>
  <c r="AA304" i="2"/>
  <c r="Z304" i="2"/>
  <c r="U304" i="2"/>
  <c r="T304" i="2"/>
  <c r="S304" i="2"/>
  <c r="Q304" i="2"/>
  <c r="P304" i="2"/>
  <c r="O304" i="2"/>
  <c r="N304" i="2"/>
  <c r="M304" i="2"/>
  <c r="L304" i="2"/>
  <c r="AA410" i="2"/>
  <c r="Z410" i="2"/>
  <c r="U410" i="2"/>
  <c r="T410" i="2"/>
  <c r="S410" i="2"/>
  <c r="Q410" i="2"/>
  <c r="P410" i="2"/>
  <c r="O410" i="2"/>
  <c r="N410" i="2"/>
  <c r="M410" i="2"/>
  <c r="L410" i="2"/>
  <c r="AA452" i="2"/>
  <c r="Z452" i="2"/>
  <c r="U452" i="2"/>
  <c r="T452" i="2"/>
  <c r="S452" i="2"/>
  <c r="Q452" i="2"/>
  <c r="P452" i="2"/>
  <c r="O452" i="2"/>
  <c r="N452" i="2"/>
  <c r="M452" i="2"/>
  <c r="L452" i="2"/>
  <c r="AA539" i="2"/>
  <c r="Z539" i="2"/>
  <c r="U539" i="2"/>
  <c r="T539" i="2"/>
  <c r="S539" i="2"/>
  <c r="Q539" i="2"/>
  <c r="P539" i="2"/>
  <c r="O539" i="2"/>
  <c r="N539" i="2"/>
  <c r="M539" i="2"/>
  <c r="L539" i="2"/>
  <c r="E539" i="2"/>
  <c r="AA78" i="2"/>
  <c r="Z78" i="2"/>
  <c r="U78" i="2"/>
  <c r="T78" i="2"/>
  <c r="S78" i="2"/>
  <c r="Q78" i="2"/>
  <c r="P78" i="2"/>
  <c r="O78" i="2"/>
  <c r="N78" i="2"/>
  <c r="M78" i="2"/>
  <c r="L78" i="2"/>
  <c r="AA192" i="2"/>
  <c r="Z192" i="2"/>
  <c r="U192" i="2"/>
  <c r="T192" i="2"/>
  <c r="S192" i="2"/>
  <c r="Q192" i="2"/>
  <c r="P192" i="2"/>
  <c r="O192" i="2"/>
  <c r="N192" i="2"/>
  <c r="M192" i="2"/>
  <c r="L192" i="2"/>
  <c r="AA247" i="2"/>
  <c r="Z247" i="2"/>
  <c r="U247" i="2"/>
  <c r="T247" i="2"/>
  <c r="S247" i="2"/>
  <c r="Q247" i="2"/>
  <c r="P247" i="2"/>
  <c r="O247" i="2"/>
  <c r="N247" i="2"/>
  <c r="M247" i="2"/>
  <c r="L247" i="2"/>
  <c r="AA265" i="2"/>
  <c r="Z265" i="2"/>
  <c r="U265" i="2"/>
  <c r="T265" i="2"/>
  <c r="S265" i="2"/>
  <c r="Q265" i="2"/>
  <c r="P265" i="2"/>
  <c r="O265" i="2"/>
  <c r="N265" i="2"/>
  <c r="M265" i="2"/>
  <c r="L265" i="2"/>
  <c r="AA538" i="2"/>
  <c r="Z538" i="2"/>
  <c r="U538" i="2"/>
  <c r="T538" i="2"/>
  <c r="S538" i="2"/>
  <c r="Q538" i="2"/>
  <c r="P538" i="2"/>
  <c r="O538" i="2"/>
  <c r="N538" i="2"/>
  <c r="M538" i="2"/>
  <c r="L538" i="2"/>
  <c r="E538" i="2"/>
  <c r="AA77" i="2"/>
  <c r="Z77" i="2"/>
  <c r="U77" i="2"/>
  <c r="T77" i="2"/>
  <c r="S77" i="2"/>
  <c r="Q77" i="2"/>
  <c r="P77" i="2"/>
  <c r="O77" i="2"/>
  <c r="N77" i="2"/>
  <c r="M77" i="2"/>
  <c r="L77" i="2"/>
  <c r="AA151" i="2"/>
  <c r="Z151" i="2"/>
  <c r="U151" i="2"/>
  <c r="T151" i="2"/>
  <c r="S151" i="2"/>
  <c r="Q151" i="2"/>
  <c r="P151" i="2"/>
  <c r="O151" i="2"/>
  <c r="N151" i="2"/>
  <c r="M151" i="2"/>
  <c r="L151" i="2"/>
  <c r="AA161" i="2"/>
  <c r="Z161" i="2"/>
  <c r="U161" i="2"/>
  <c r="T161" i="2"/>
  <c r="S161" i="2"/>
  <c r="Q161" i="2"/>
  <c r="P161" i="2"/>
  <c r="O161" i="2"/>
  <c r="N161" i="2"/>
  <c r="M161" i="2"/>
  <c r="L161" i="2"/>
  <c r="AA191" i="2"/>
  <c r="Z191" i="2"/>
  <c r="U191" i="2"/>
  <c r="T191" i="2"/>
  <c r="S191" i="2"/>
  <c r="Q191" i="2"/>
  <c r="P191" i="2"/>
  <c r="O191" i="2"/>
  <c r="N191" i="2"/>
  <c r="M191" i="2"/>
  <c r="L191" i="2"/>
  <c r="AA228" i="2"/>
  <c r="Z228" i="2"/>
  <c r="U228" i="2"/>
  <c r="T228" i="2"/>
  <c r="S228" i="2"/>
  <c r="Q228" i="2"/>
  <c r="P228" i="2"/>
  <c r="O228" i="2"/>
  <c r="N228" i="2"/>
  <c r="M228" i="2"/>
  <c r="L228" i="2"/>
  <c r="AA246" i="2"/>
  <c r="Z246" i="2"/>
  <c r="U246" i="2"/>
  <c r="T246" i="2"/>
  <c r="S246" i="2"/>
  <c r="Q246" i="2"/>
  <c r="P246" i="2"/>
  <c r="O246" i="2"/>
  <c r="N246" i="2"/>
  <c r="M246" i="2"/>
  <c r="L246" i="2"/>
  <c r="AA284" i="2"/>
  <c r="Z284" i="2"/>
  <c r="U284" i="2"/>
  <c r="T284" i="2"/>
  <c r="S284" i="2"/>
  <c r="Q284" i="2"/>
  <c r="P284" i="2"/>
  <c r="O284" i="2"/>
  <c r="N284" i="2"/>
  <c r="M284" i="2"/>
  <c r="L284" i="2"/>
  <c r="AA409" i="2"/>
  <c r="Z409" i="2"/>
  <c r="U409" i="2"/>
  <c r="T409" i="2"/>
  <c r="S409" i="2"/>
  <c r="Q409" i="2"/>
  <c r="P409" i="2"/>
  <c r="O409" i="2"/>
  <c r="N409" i="2"/>
  <c r="M409" i="2"/>
  <c r="L409" i="2"/>
  <c r="AA447" i="2"/>
  <c r="Z447" i="2"/>
  <c r="U447" i="2"/>
  <c r="T447" i="2"/>
  <c r="S447" i="2"/>
  <c r="Q447" i="2"/>
  <c r="P447" i="2"/>
  <c r="O447" i="2"/>
  <c r="N447" i="2"/>
  <c r="M447" i="2"/>
  <c r="L447" i="2"/>
  <c r="AA264" i="2"/>
  <c r="Z264" i="2"/>
  <c r="U264" i="2"/>
  <c r="T264" i="2"/>
  <c r="S264" i="2"/>
  <c r="Q264" i="2"/>
  <c r="P264" i="2"/>
  <c r="O264" i="2"/>
  <c r="N264" i="2"/>
  <c r="M264" i="2"/>
  <c r="L264" i="2"/>
  <c r="AA148" i="2"/>
  <c r="Z148" i="2"/>
  <c r="U148" i="2"/>
  <c r="T148" i="2"/>
  <c r="S148" i="2"/>
  <c r="Q148" i="2"/>
  <c r="P148" i="2"/>
  <c r="O148" i="2"/>
  <c r="N148" i="2"/>
  <c r="M148" i="2"/>
  <c r="L148" i="2"/>
  <c r="AK241" i="1"/>
  <c r="AK242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W77" i="1"/>
  <c r="X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W78" i="1"/>
  <c r="X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W79" i="1"/>
  <c r="X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W52" i="1"/>
  <c r="X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W53" i="1"/>
  <c r="X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W54" i="1"/>
  <c r="X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W55" i="1"/>
  <c r="X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W56" i="1"/>
  <c r="X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W57" i="1"/>
  <c r="X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W58" i="1"/>
  <c r="X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W59" i="1"/>
  <c r="X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W60" i="1"/>
  <c r="X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W61" i="1"/>
  <c r="X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W62" i="1"/>
  <c r="X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W63" i="1"/>
  <c r="X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W64" i="1"/>
  <c r="X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W65" i="1"/>
  <c r="X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W66" i="1"/>
  <c r="X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W67" i="1"/>
  <c r="X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W68" i="1"/>
  <c r="X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W80" i="1"/>
  <c r="X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W81" i="1"/>
  <c r="X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W69" i="1"/>
  <c r="X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W70" i="1"/>
  <c r="X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W71" i="1"/>
  <c r="X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W72" i="1"/>
  <c r="X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W73" i="1"/>
  <c r="X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L241" i="1"/>
  <c r="AM241" i="1"/>
  <c r="AN241" i="1"/>
  <c r="AO241" i="1"/>
  <c r="AP241" i="1"/>
  <c r="AQ241" i="1"/>
  <c r="AR241" i="1"/>
  <c r="AS241" i="1"/>
  <c r="AT241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L242" i="1"/>
  <c r="AM242" i="1"/>
  <c r="AN242" i="1"/>
  <c r="AO242" i="1"/>
  <c r="AP242" i="1"/>
  <c r="AQ242" i="1"/>
  <c r="AR242" i="1"/>
  <c r="AS242" i="1"/>
  <c r="AT242" i="1"/>
  <c r="W74" i="1"/>
  <c r="X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W75" i="1"/>
  <c r="X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275" i="1"/>
  <c r="V96" i="1"/>
  <c r="V131" i="1"/>
  <c r="V254" i="1"/>
  <c r="V292" i="1"/>
  <c r="V306" i="1"/>
  <c r="V347" i="1"/>
  <c r="V359" i="1"/>
  <c r="V389" i="1"/>
  <c r="V456" i="1"/>
  <c r="V5" i="1"/>
  <c r="V276" i="1"/>
  <c r="V293" i="1"/>
  <c r="V348" i="1"/>
  <c r="V457" i="1"/>
  <c r="V6" i="1"/>
  <c r="V88" i="1"/>
  <c r="V132" i="1"/>
  <c r="V239" i="1"/>
  <c r="V277" i="1"/>
  <c r="V294" i="1"/>
  <c r="V349" i="1"/>
  <c r="V360" i="1"/>
  <c r="V390" i="1"/>
  <c r="V458" i="1"/>
  <c r="V7" i="1"/>
  <c r="V89" i="1"/>
  <c r="V133" i="1"/>
  <c r="V255" i="1"/>
  <c r="V278" i="1"/>
  <c r="V295" i="1"/>
  <c r="V350" i="1"/>
  <c r="V361" i="1"/>
  <c r="V391" i="1"/>
  <c r="V459" i="1"/>
  <c r="V8" i="1"/>
  <c r="V240" i="1"/>
  <c r="V256" i="1"/>
  <c r="V279" i="1"/>
  <c r="V351" i="1"/>
  <c r="V362" i="1"/>
  <c r="V392" i="1"/>
  <c r="V460" i="1"/>
  <c r="V29" i="1"/>
  <c r="V33" i="1"/>
  <c r="V118" i="1"/>
  <c r="V267" i="1"/>
  <c r="V325" i="1"/>
  <c r="V385" i="1"/>
  <c r="V409" i="1"/>
  <c r="V412" i="1"/>
  <c r="V493" i="1"/>
  <c r="V413" i="1"/>
  <c r="V30" i="1"/>
  <c r="V34" i="1"/>
  <c r="V119" i="1"/>
  <c r="V128" i="1"/>
  <c r="V296" i="1"/>
  <c r="V326" i="1"/>
  <c r="V386" i="1"/>
  <c r="V410" i="1"/>
  <c r="V414" i="1"/>
  <c r="V449" i="1"/>
  <c r="V494" i="1"/>
  <c r="V35" i="1"/>
  <c r="V120" i="1"/>
  <c r="V129" i="1"/>
  <c r="V257" i="1"/>
  <c r="V327" i="1"/>
  <c r="V387" i="1"/>
  <c r="V411" i="1"/>
  <c r="V328" i="1"/>
  <c r="V450" i="1"/>
  <c r="V421" i="1"/>
  <c r="V429" i="1"/>
  <c r="V104" i="1"/>
  <c r="V244" i="1"/>
  <c r="V258" i="1"/>
  <c r="V273" i="1"/>
  <c r="V393" i="1"/>
  <c r="V422" i="1"/>
  <c r="V430" i="1"/>
  <c r="V461" i="1"/>
  <c r="V431" i="1"/>
  <c r="V484" i="1"/>
  <c r="V394" i="1"/>
  <c r="V432" i="1"/>
  <c r="V105" i="1"/>
  <c r="V433" i="1"/>
  <c r="V106" i="1"/>
  <c r="V259" i="1"/>
  <c r="V395" i="1"/>
  <c r="V434" i="1"/>
  <c r="V260" i="1"/>
  <c r="V483" i="1"/>
  <c r="V485" i="1"/>
  <c r="V287" i="1"/>
  <c r="V2" i="1"/>
  <c r="V47" i="1"/>
  <c r="V77" i="1"/>
  <c r="V252" i="1"/>
  <c r="V288" i="1"/>
  <c r="V462" i="1"/>
  <c r="V500" i="1"/>
  <c r="V512" i="1"/>
  <c r="V78" i="1"/>
  <c r="V3" i="1"/>
  <c r="V48" i="1"/>
  <c r="V79" i="1"/>
  <c r="V253" i="1"/>
  <c r="V289" i="1"/>
  <c r="V428" i="1"/>
  <c r="V480" i="1"/>
  <c r="V492" i="1"/>
  <c r="V501" i="1"/>
  <c r="V513" i="1"/>
  <c r="V290" i="1"/>
  <c r="V134" i="1"/>
  <c r="V135" i="1"/>
  <c r="V136" i="1"/>
  <c r="V152" i="1"/>
  <c r="V154" i="1"/>
  <c r="V153" i="1"/>
  <c r="V156" i="1"/>
  <c r="V157" i="1"/>
  <c r="V155" i="1"/>
  <c r="V159" i="1"/>
  <c r="V160" i="1"/>
  <c r="V158" i="1"/>
  <c r="V161" i="1"/>
  <c r="V162" i="1"/>
  <c r="V163" i="1"/>
  <c r="V164" i="1"/>
  <c r="V165" i="1"/>
  <c r="V166" i="1"/>
  <c r="V169" i="1"/>
  <c r="V168" i="1"/>
  <c r="V167" i="1"/>
  <c r="V171" i="1"/>
  <c r="V172" i="1"/>
  <c r="V170" i="1"/>
  <c r="V174" i="1"/>
  <c r="V173" i="1"/>
  <c r="V85" i="1"/>
  <c r="V175" i="1"/>
  <c r="V176" i="1"/>
  <c r="V353" i="1"/>
  <c r="V446" i="1"/>
  <c r="V489" i="1"/>
  <c r="V280" i="1"/>
  <c r="V281" i="1"/>
  <c r="V282" i="1"/>
  <c r="V52" i="1"/>
  <c r="V53" i="1"/>
  <c r="V54" i="1"/>
  <c r="V55" i="1"/>
  <c r="V56" i="1"/>
  <c r="V57" i="1"/>
  <c r="V58" i="1"/>
  <c r="V59" i="1"/>
  <c r="V60" i="1"/>
  <c r="V147" i="1"/>
  <c r="V271" i="1"/>
  <c r="V356" i="1"/>
  <c r="V357" i="1"/>
  <c r="V148" i="1"/>
  <c r="V272" i="1"/>
  <c r="V358" i="1"/>
  <c r="V149" i="1"/>
  <c r="V121" i="1"/>
  <c r="V90" i="1"/>
  <c r="V266" i="1"/>
  <c r="V297" i="1"/>
  <c r="V330" i="1"/>
  <c r="V363" i="1"/>
  <c r="V331" i="1"/>
  <c r="V352" i="1"/>
  <c r="V364" i="1"/>
  <c r="V539" i="1"/>
  <c r="V91" i="1"/>
  <c r="V298" i="1"/>
  <c r="V332" i="1"/>
  <c r="V365" i="1"/>
  <c r="V540" i="1"/>
  <c r="V92" i="1"/>
  <c r="V122" i="1"/>
  <c r="V178" i="1"/>
  <c r="V177" i="1"/>
  <c r="V180" i="1"/>
  <c r="V179" i="1"/>
  <c r="V181" i="1"/>
  <c r="V182" i="1"/>
  <c r="V183" i="1"/>
  <c r="V184" i="1"/>
  <c r="V185" i="1"/>
  <c r="V186" i="1"/>
  <c r="V142" i="1"/>
  <c r="V143" i="1"/>
  <c r="V144" i="1"/>
  <c r="V145" i="1"/>
  <c r="V146" i="1"/>
  <c r="V366" i="1"/>
  <c r="V463" i="1"/>
  <c r="V367" i="1"/>
  <c r="V368" i="1"/>
  <c r="V464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1" i="1"/>
  <c r="V200" i="1"/>
  <c r="V307" i="1"/>
  <c r="V202" i="1"/>
  <c r="V308" i="1"/>
  <c r="V396" i="1"/>
  <c r="V61" i="1"/>
  <c r="V309" i="1"/>
  <c r="V470" i="1"/>
  <c r="V203" i="1"/>
  <c r="V310" i="1"/>
  <c r="V397" i="1"/>
  <c r="V4" i="1"/>
  <c r="V311" i="1"/>
  <c r="V398" i="1"/>
  <c r="V246" i="1"/>
  <c r="V247" i="1"/>
  <c r="V248" i="1"/>
  <c r="V405" i="1"/>
  <c r="V62" i="1"/>
  <c r="V84" i="1"/>
  <c r="V86" i="1"/>
  <c r="V93" i="1"/>
  <c r="V108" i="1"/>
  <c r="V117" i="1"/>
  <c r="V123" i="1"/>
  <c r="V204" i="1"/>
  <c r="V243" i="1"/>
  <c r="V283" i="1"/>
  <c r="V291" i="1"/>
  <c r="V399" i="1"/>
  <c r="V423" i="1"/>
  <c r="V447" i="1"/>
  <c r="V524" i="1"/>
  <c r="V525" i="1"/>
  <c r="V508" i="1"/>
  <c r="V509" i="1"/>
  <c r="V514" i="1"/>
  <c r="V515" i="1"/>
  <c r="V510" i="1"/>
  <c r="V516" i="1"/>
  <c r="V511" i="1"/>
  <c r="V532" i="1"/>
  <c r="V302" i="1"/>
  <c r="V274" i="1"/>
  <c r="V303" i="1"/>
  <c r="V304" i="1"/>
  <c r="V495" i="1"/>
  <c r="V496" i="1"/>
  <c r="V497" i="1"/>
  <c r="V498" i="1"/>
  <c r="V499" i="1"/>
  <c r="V537" i="1"/>
  <c r="V21" i="1"/>
  <c r="V31" i="1"/>
  <c r="V249" i="1"/>
  <c r="V264" i="1"/>
  <c r="V323" i="1"/>
  <c r="V354" i="1"/>
  <c r="V465" i="1"/>
  <c r="V415" i="1"/>
  <c r="V22" i="1"/>
  <c r="V49" i="1"/>
  <c r="V63" i="1"/>
  <c r="V140" i="1"/>
  <c r="V245" i="1"/>
  <c r="V250" i="1"/>
  <c r="V265" i="1"/>
  <c r="V324" i="1"/>
  <c r="V355" i="1"/>
  <c r="V416" i="1"/>
  <c r="V466" i="1"/>
  <c r="V479" i="1"/>
  <c r="V538" i="1"/>
  <c r="V23" i="1"/>
  <c r="V32" i="1"/>
  <c r="V87" i="1"/>
  <c r="V107" i="1"/>
  <c r="V130" i="1"/>
  <c r="V141" i="1"/>
  <c r="V251" i="1"/>
  <c r="V261" i="1"/>
  <c r="V417" i="1"/>
  <c r="V442" i="1"/>
  <c r="V467" i="1"/>
  <c r="V486" i="1"/>
  <c r="V312" i="1"/>
  <c r="V109" i="1"/>
  <c r="V313" i="1"/>
  <c r="V314" i="1"/>
  <c r="V110" i="1"/>
  <c r="V315" i="1"/>
  <c r="V487" i="1"/>
  <c r="V305" i="1"/>
  <c r="V369" i="1"/>
  <c r="V477" i="1"/>
  <c r="V488" i="1"/>
  <c r="V370" i="1"/>
  <c r="V478" i="1"/>
  <c r="V400" i="1"/>
  <c r="V401" i="1"/>
  <c r="V402" i="1"/>
  <c r="V403" i="1"/>
  <c r="V404" i="1"/>
  <c r="V150" i="1"/>
  <c r="V64" i="1"/>
  <c r="V205" i="1"/>
  <c r="V206" i="1"/>
  <c r="V207" i="1"/>
  <c r="V208" i="1"/>
  <c r="V526" i="1"/>
  <c r="V209" i="1"/>
  <c r="V210" i="1"/>
  <c r="V211" i="1"/>
  <c r="V527" i="1"/>
  <c r="V65" i="1"/>
  <c r="V212" i="1"/>
  <c r="V214" i="1"/>
  <c r="V213" i="1"/>
  <c r="V528" i="1"/>
  <c r="V215" i="1"/>
  <c r="V66" i="1"/>
  <c r="V216" i="1"/>
  <c r="V217" i="1"/>
  <c r="V218" i="1"/>
  <c r="V529" i="1"/>
  <c r="V67" i="1"/>
  <c r="V219" i="1"/>
  <c r="V220" i="1"/>
  <c r="V530" i="1"/>
  <c r="V68" i="1"/>
  <c r="V221" i="1"/>
  <c r="V222" i="1"/>
  <c r="V223" i="1"/>
  <c r="V531" i="1"/>
  <c r="V224" i="1"/>
  <c r="V225" i="1"/>
  <c r="V226" i="1"/>
  <c r="V227" i="1"/>
  <c r="V228" i="1"/>
  <c r="V229" i="1"/>
  <c r="V82" i="1"/>
  <c r="V83" i="1"/>
  <c r="V98" i="1"/>
  <c r="V284" i="1"/>
  <c r="V99" i="1"/>
  <c r="V94" i="1"/>
  <c r="V285" i="1"/>
  <c r="V343" i="1"/>
  <c r="V344" i="1"/>
  <c r="V345" i="1"/>
  <c r="V95" i="1"/>
  <c r="V418" i="1"/>
  <c r="V419" i="1"/>
  <c r="V100" i="1"/>
  <c r="V420" i="1"/>
  <c r="V424" i="1"/>
  <c r="V436" i="1"/>
  <c r="V36" i="1"/>
  <c r="V406" i="1"/>
  <c r="V437" i="1"/>
  <c r="V451" i="1"/>
  <c r="V80" i="1"/>
  <c r="V425" i="1"/>
  <c r="V438" i="1"/>
  <c r="V452" i="1"/>
  <c r="V533" i="1"/>
  <c r="V81" i="1"/>
  <c r="V322" i="1"/>
  <c r="V426" i="1"/>
  <c r="V439" i="1"/>
  <c r="V448" i="1"/>
  <c r="V453" i="1"/>
  <c r="V534" i="1"/>
  <c r="V37" i="1"/>
  <c r="V27" i="1"/>
  <c r="V38" i="1"/>
  <c r="V262" i="1"/>
  <c r="V407" i="1"/>
  <c r="V440" i="1"/>
  <c r="V454" i="1"/>
  <c r="V535" i="1"/>
  <c r="V28" i="1"/>
  <c r="V39" i="1"/>
  <c r="V263" i="1"/>
  <c r="V329" i="1"/>
  <c r="V427" i="1"/>
  <c r="V441" i="1"/>
  <c r="V455" i="1"/>
  <c r="V482" i="1"/>
  <c r="V536" i="1"/>
  <c r="V408" i="1"/>
  <c r="V371" i="1"/>
  <c r="V268" i="1"/>
  <c r="V269" i="1"/>
  <c r="V372" i="1"/>
  <c r="V490" i="1"/>
  <c r="V270" i="1"/>
  <c r="V346" i="1"/>
  <c r="V373" i="1"/>
  <c r="V491" i="1"/>
  <c r="V286" i="1"/>
  <c r="V111" i="1"/>
  <c r="V9" i="1"/>
  <c r="V10" i="1"/>
  <c r="V112" i="1"/>
  <c r="V11" i="1"/>
  <c r="V113" i="1"/>
  <c r="V114" i="1"/>
  <c r="V115" i="1"/>
  <c r="V12" i="1"/>
  <c r="V116" i="1"/>
  <c r="V316" i="1"/>
  <c r="V299" i="1"/>
  <c r="V300" i="1"/>
  <c r="V317" i="1"/>
  <c r="V318" i="1"/>
  <c r="V319" i="1"/>
  <c r="V320" i="1"/>
  <c r="V334" i="1"/>
  <c r="V341" i="1"/>
  <c r="V301" i="1"/>
  <c r="V321" i="1"/>
  <c r="V333" i="1"/>
  <c r="V335" i="1"/>
  <c r="V342" i="1"/>
  <c r="V24" i="1"/>
  <c r="V25" i="1"/>
  <c r="V26" i="1"/>
  <c r="V124" i="1"/>
  <c r="V125" i="1"/>
  <c r="V126" i="1"/>
  <c r="V127" i="1"/>
  <c r="V336" i="1"/>
  <c r="V338" i="1"/>
  <c r="V337" i="1"/>
  <c r="V340" i="1"/>
  <c r="V339" i="1"/>
  <c r="V13" i="1"/>
  <c r="V14" i="1"/>
  <c r="V15" i="1"/>
  <c r="V374" i="1"/>
  <c r="V375" i="1"/>
  <c r="V376" i="1"/>
  <c r="V377" i="1"/>
  <c r="V40" i="1"/>
  <c r="V41" i="1"/>
  <c r="V42" i="1"/>
  <c r="V43" i="1"/>
  <c r="V44" i="1"/>
  <c r="V45" i="1"/>
  <c r="V46" i="1"/>
  <c r="V50" i="1"/>
  <c r="V137" i="1"/>
  <c r="V51" i="1"/>
  <c r="V138" i="1"/>
  <c r="V139" i="1"/>
  <c r="V97" i="1"/>
  <c r="V69" i="1"/>
  <c r="V70" i="1"/>
  <c r="V71" i="1"/>
  <c r="V72" i="1"/>
  <c r="V73" i="1"/>
  <c r="V241" i="1"/>
  <c r="V242" i="1"/>
  <c r="V74" i="1"/>
  <c r="V75" i="1"/>
  <c r="V101" i="1"/>
  <c r="V102" i="1"/>
  <c r="V103" i="1"/>
  <c r="V502" i="1"/>
  <c r="V151" i="1"/>
  <c r="V468" i="1"/>
  <c r="V481" i="1"/>
  <c r="V503" i="1"/>
  <c r="V469" i="1"/>
  <c r="V230" i="1"/>
  <c r="V517" i="1"/>
  <c r="V471" i="1"/>
  <c r="V231" i="1"/>
  <c r="V232" i="1"/>
  <c r="V233" i="1"/>
  <c r="V518" i="1"/>
  <c r="V234" i="1"/>
  <c r="V472" i="1"/>
  <c r="V519" i="1"/>
  <c r="V473" i="1"/>
  <c r="V474" i="1"/>
  <c r="V235" i="1"/>
  <c r="V475" i="1"/>
  <c r="V520" i="1"/>
  <c r="V476" i="1"/>
  <c r="V236" i="1"/>
  <c r="V521" i="1"/>
  <c r="V237" i="1"/>
  <c r="V522" i="1"/>
  <c r="V238" i="1"/>
  <c r="V523" i="1"/>
  <c r="V443" i="1"/>
  <c r="V444" i="1"/>
  <c r="V445" i="1"/>
  <c r="V16" i="1"/>
  <c r="V17" i="1"/>
  <c r="V18" i="1"/>
  <c r="V19" i="1"/>
  <c r="V20" i="1"/>
  <c r="V378" i="1"/>
  <c r="V379" i="1"/>
  <c r="V504" i="1"/>
  <c r="V380" i="1"/>
  <c r="V381" i="1"/>
  <c r="V505" i="1"/>
  <c r="V382" i="1"/>
  <c r="V506" i="1"/>
  <c r="V383" i="1"/>
  <c r="V384" i="1"/>
  <c r="V507" i="1"/>
  <c r="V388" i="1"/>
  <c r="T388" i="1"/>
  <c r="U275" i="1"/>
  <c r="U96" i="1"/>
  <c r="U131" i="1"/>
  <c r="U254" i="1"/>
  <c r="U292" i="1"/>
  <c r="U306" i="1"/>
  <c r="U347" i="1"/>
  <c r="U359" i="1"/>
  <c r="U389" i="1"/>
  <c r="U456" i="1"/>
  <c r="U5" i="1"/>
  <c r="U276" i="1"/>
  <c r="U293" i="1"/>
  <c r="U348" i="1"/>
  <c r="U457" i="1"/>
  <c r="U6" i="1"/>
  <c r="U88" i="1"/>
  <c r="U132" i="1"/>
  <c r="U239" i="1"/>
  <c r="U277" i="1"/>
  <c r="U294" i="1"/>
  <c r="U349" i="1"/>
  <c r="U360" i="1"/>
  <c r="U390" i="1"/>
  <c r="U458" i="1"/>
  <c r="U7" i="1"/>
  <c r="U89" i="1"/>
  <c r="U133" i="1"/>
  <c r="U255" i="1"/>
  <c r="U278" i="1"/>
  <c r="U295" i="1"/>
  <c r="U350" i="1"/>
  <c r="U361" i="1"/>
  <c r="U391" i="1"/>
  <c r="U459" i="1"/>
  <c r="U8" i="1"/>
  <c r="U240" i="1"/>
  <c r="U256" i="1"/>
  <c r="U279" i="1"/>
  <c r="U351" i="1"/>
  <c r="U362" i="1"/>
  <c r="U392" i="1"/>
  <c r="U460" i="1"/>
  <c r="U29" i="1"/>
  <c r="U33" i="1"/>
  <c r="U118" i="1"/>
  <c r="U267" i="1"/>
  <c r="U325" i="1"/>
  <c r="U385" i="1"/>
  <c r="U409" i="1"/>
  <c r="U412" i="1"/>
  <c r="U493" i="1"/>
  <c r="U413" i="1"/>
  <c r="U30" i="1"/>
  <c r="U34" i="1"/>
  <c r="U119" i="1"/>
  <c r="U128" i="1"/>
  <c r="U296" i="1"/>
  <c r="U326" i="1"/>
  <c r="U386" i="1"/>
  <c r="U410" i="1"/>
  <c r="U414" i="1"/>
  <c r="U449" i="1"/>
  <c r="U494" i="1"/>
  <c r="U35" i="1"/>
  <c r="U120" i="1"/>
  <c r="U129" i="1"/>
  <c r="U257" i="1"/>
  <c r="U327" i="1"/>
  <c r="U387" i="1"/>
  <c r="U411" i="1"/>
  <c r="U328" i="1"/>
  <c r="U450" i="1"/>
  <c r="U421" i="1"/>
  <c r="U429" i="1"/>
  <c r="U104" i="1"/>
  <c r="U244" i="1"/>
  <c r="U258" i="1"/>
  <c r="U273" i="1"/>
  <c r="U393" i="1"/>
  <c r="U422" i="1"/>
  <c r="U430" i="1"/>
  <c r="U461" i="1"/>
  <c r="U431" i="1"/>
  <c r="U484" i="1"/>
  <c r="U394" i="1"/>
  <c r="U432" i="1"/>
  <c r="U105" i="1"/>
  <c r="U433" i="1"/>
  <c r="U106" i="1"/>
  <c r="U259" i="1"/>
  <c r="U395" i="1"/>
  <c r="U434" i="1"/>
  <c r="U260" i="1"/>
  <c r="U483" i="1"/>
  <c r="U485" i="1"/>
  <c r="U287" i="1"/>
  <c r="U2" i="1"/>
  <c r="U47" i="1"/>
  <c r="U77" i="1"/>
  <c r="U252" i="1"/>
  <c r="U288" i="1"/>
  <c r="U462" i="1"/>
  <c r="U500" i="1"/>
  <c r="U512" i="1"/>
  <c r="U78" i="1"/>
  <c r="U3" i="1"/>
  <c r="U48" i="1"/>
  <c r="U79" i="1"/>
  <c r="U253" i="1"/>
  <c r="U289" i="1"/>
  <c r="U428" i="1"/>
  <c r="U480" i="1"/>
  <c r="U492" i="1"/>
  <c r="U501" i="1"/>
  <c r="U513" i="1"/>
  <c r="U290" i="1"/>
  <c r="U134" i="1"/>
  <c r="U135" i="1"/>
  <c r="U136" i="1"/>
  <c r="U152" i="1"/>
  <c r="U154" i="1"/>
  <c r="U153" i="1"/>
  <c r="U156" i="1"/>
  <c r="U157" i="1"/>
  <c r="U155" i="1"/>
  <c r="U159" i="1"/>
  <c r="U160" i="1"/>
  <c r="U158" i="1"/>
  <c r="U161" i="1"/>
  <c r="U162" i="1"/>
  <c r="U163" i="1"/>
  <c r="U164" i="1"/>
  <c r="U165" i="1"/>
  <c r="U166" i="1"/>
  <c r="U169" i="1"/>
  <c r="U168" i="1"/>
  <c r="U167" i="1"/>
  <c r="U171" i="1"/>
  <c r="U172" i="1"/>
  <c r="U170" i="1"/>
  <c r="U174" i="1"/>
  <c r="U173" i="1"/>
  <c r="U85" i="1"/>
  <c r="U175" i="1"/>
  <c r="U176" i="1"/>
  <c r="U353" i="1"/>
  <c r="U446" i="1"/>
  <c r="U489" i="1"/>
  <c r="U280" i="1"/>
  <c r="U281" i="1"/>
  <c r="U282" i="1"/>
  <c r="U52" i="1"/>
  <c r="U53" i="1"/>
  <c r="U54" i="1"/>
  <c r="U55" i="1"/>
  <c r="U56" i="1"/>
  <c r="U57" i="1"/>
  <c r="U58" i="1"/>
  <c r="U59" i="1"/>
  <c r="U60" i="1"/>
  <c r="U147" i="1"/>
  <c r="U271" i="1"/>
  <c r="U356" i="1"/>
  <c r="U357" i="1"/>
  <c r="U148" i="1"/>
  <c r="U272" i="1"/>
  <c r="U358" i="1"/>
  <c r="U149" i="1"/>
  <c r="U121" i="1"/>
  <c r="U90" i="1"/>
  <c r="U266" i="1"/>
  <c r="U297" i="1"/>
  <c r="U330" i="1"/>
  <c r="U363" i="1"/>
  <c r="U331" i="1"/>
  <c r="U352" i="1"/>
  <c r="U364" i="1"/>
  <c r="U539" i="1"/>
  <c r="U91" i="1"/>
  <c r="U298" i="1"/>
  <c r="U332" i="1"/>
  <c r="U365" i="1"/>
  <c r="U540" i="1"/>
  <c r="U92" i="1"/>
  <c r="U122" i="1"/>
  <c r="U178" i="1"/>
  <c r="U177" i="1"/>
  <c r="U180" i="1"/>
  <c r="U179" i="1"/>
  <c r="U181" i="1"/>
  <c r="U182" i="1"/>
  <c r="U183" i="1"/>
  <c r="U184" i="1"/>
  <c r="U185" i="1"/>
  <c r="U186" i="1"/>
  <c r="U142" i="1"/>
  <c r="U143" i="1"/>
  <c r="U144" i="1"/>
  <c r="U145" i="1"/>
  <c r="U146" i="1"/>
  <c r="U366" i="1"/>
  <c r="U463" i="1"/>
  <c r="U367" i="1"/>
  <c r="U368" i="1"/>
  <c r="U464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1" i="1"/>
  <c r="U200" i="1"/>
  <c r="U307" i="1"/>
  <c r="U202" i="1"/>
  <c r="U308" i="1"/>
  <c r="U396" i="1"/>
  <c r="U61" i="1"/>
  <c r="U309" i="1"/>
  <c r="U470" i="1"/>
  <c r="U203" i="1"/>
  <c r="U310" i="1"/>
  <c r="U397" i="1"/>
  <c r="U4" i="1"/>
  <c r="U311" i="1"/>
  <c r="U398" i="1"/>
  <c r="U246" i="1"/>
  <c r="U247" i="1"/>
  <c r="U248" i="1"/>
  <c r="U405" i="1"/>
  <c r="U62" i="1"/>
  <c r="U84" i="1"/>
  <c r="U86" i="1"/>
  <c r="U93" i="1"/>
  <c r="U108" i="1"/>
  <c r="U117" i="1"/>
  <c r="U123" i="1"/>
  <c r="U204" i="1"/>
  <c r="U243" i="1"/>
  <c r="U283" i="1"/>
  <c r="U291" i="1"/>
  <c r="U399" i="1"/>
  <c r="U423" i="1"/>
  <c r="U447" i="1"/>
  <c r="U524" i="1"/>
  <c r="U525" i="1"/>
  <c r="U508" i="1"/>
  <c r="U509" i="1"/>
  <c r="U514" i="1"/>
  <c r="U515" i="1"/>
  <c r="U510" i="1"/>
  <c r="U516" i="1"/>
  <c r="U511" i="1"/>
  <c r="U532" i="1"/>
  <c r="U302" i="1"/>
  <c r="U274" i="1"/>
  <c r="U303" i="1"/>
  <c r="U304" i="1"/>
  <c r="U495" i="1"/>
  <c r="U496" i="1"/>
  <c r="U497" i="1"/>
  <c r="U498" i="1"/>
  <c r="U499" i="1"/>
  <c r="U537" i="1"/>
  <c r="U21" i="1"/>
  <c r="U31" i="1"/>
  <c r="U249" i="1"/>
  <c r="U264" i="1"/>
  <c r="U323" i="1"/>
  <c r="U354" i="1"/>
  <c r="U465" i="1"/>
  <c r="U415" i="1"/>
  <c r="U22" i="1"/>
  <c r="U49" i="1"/>
  <c r="U63" i="1"/>
  <c r="U140" i="1"/>
  <c r="U245" i="1"/>
  <c r="U250" i="1"/>
  <c r="U265" i="1"/>
  <c r="U324" i="1"/>
  <c r="U355" i="1"/>
  <c r="U416" i="1"/>
  <c r="U466" i="1"/>
  <c r="U479" i="1"/>
  <c r="U538" i="1"/>
  <c r="U23" i="1"/>
  <c r="U32" i="1"/>
  <c r="U87" i="1"/>
  <c r="U107" i="1"/>
  <c r="U130" i="1"/>
  <c r="U141" i="1"/>
  <c r="U251" i="1"/>
  <c r="U261" i="1"/>
  <c r="U417" i="1"/>
  <c r="U442" i="1"/>
  <c r="U467" i="1"/>
  <c r="U486" i="1"/>
  <c r="U312" i="1"/>
  <c r="U109" i="1"/>
  <c r="U313" i="1"/>
  <c r="U314" i="1"/>
  <c r="U110" i="1"/>
  <c r="U315" i="1"/>
  <c r="U487" i="1"/>
  <c r="U305" i="1"/>
  <c r="U369" i="1"/>
  <c r="U477" i="1"/>
  <c r="U488" i="1"/>
  <c r="U370" i="1"/>
  <c r="U478" i="1"/>
  <c r="U400" i="1"/>
  <c r="U401" i="1"/>
  <c r="U402" i="1"/>
  <c r="U403" i="1"/>
  <c r="U404" i="1"/>
  <c r="U150" i="1"/>
  <c r="U64" i="1"/>
  <c r="U205" i="1"/>
  <c r="U206" i="1"/>
  <c r="U207" i="1"/>
  <c r="U208" i="1"/>
  <c r="U526" i="1"/>
  <c r="U209" i="1"/>
  <c r="U210" i="1"/>
  <c r="U211" i="1"/>
  <c r="U527" i="1"/>
  <c r="U65" i="1"/>
  <c r="U212" i="1"/>
  <c r="U214" i="1"/>
  <c r="U213" i="1"/>
  <c r="U528" i="1"/>
  <c r="U215" i="1"/>
  <c r="U66" i="1"/>
  <c r="U216" i="1"/>
  <c r="U217" i="1"/>
  <c r="U218" i="1"/>
  <c r="U529" i="1"/>
  <c r="U67" i="1"/>
  <c r="U219" i="1"/>
  <c r="U220" i="1"/>
  <c r="U530" i="1"/>
  <c r="U68" i="1"/>
  <c r="U221" i="1"/>
  <c r="U222" i="1"/>
  <c r="U223" i="1"/>
  <c r="U531" i="1"/>
  <c r="U224" i="1"/>
  <c r="U225" i="1"/>
  <c r="U226" i="1"/>
  <c r="U227" i="1"/>
  <c r="U228" i="1"/>
  <c r="U229" i="1"/>
  <c r="U82" i="1"/>
  <c r="U83" i="1"/>
  <c r="U98" i="1"/>
  <c r="U284" i="1"/>
  <c r="U99" i="1"/>
  <c r="U94" i="1"/>
  <c r="U285" i="1"/>
  <c r="U343" i="1"/>
  <c r="U344" i="1"/>
  <c r="U345" i="1"/>
  <c r="U95" i="1"/>
  <c r="U418" i="1"/>
  <c r="U419" i="1"/>
  <c r="U100" i="1"/>
  <c r="U420" i="1"/>
  <c r="U424" i="1"/>
  <c r="U436" i="1"/>
  <c r="U36" i="1"/>
  <c r="U406" i="1"/>
  <c r="U437" i="1"/>
  <c r="U451" i="1"/>
  <c r="U80" i="1"/>
  <c r="U425" i="1"/>
  <c r="U438" i="1"/>
  <c r="U452" i="1"/>
  <c r="U533" i="1"/>
  <c r="U81" i="1"/>
  <c r="U322" i="1"/>
  <c r="U426" i="1"/>
  <c r="U439" i="1"/>
  <c r="U448" i="1"/>
  <c r="U453" i="1"/>
  <c r="U534" i="1"/>
  <c r="U37" i="1"/>
  <c r="U27" i="1"/>
  <c r="U38" i="1"/>
  <c r="U262" i="1"/>
  <c r="U407" i="1"/>
  <c r="U440" i="1"/>
  <c r="U454" i="1"/>
  <c r="U535" i="1"/>
  <c r="U28" i="1"/>
  <c r="U39" i="1"/>
  <c r="U263" i="1"/>
  <c r="U329" i="1"/>
  <c r="U427" i="1"/>
  <c r="U441" i="1"/>
  <c r="U455" i="1"/>
  <c r="U482" i="1"/>
  <c r="U536" i="1"/>
  <c r="U408" i="1"/>
  <c r="U371" i="1"/>
  <c r="U268" i="1"/>
  <c r="U269" i="1"/>
  <c r="U372" i="1"/>
  <c r="U490" i="1"/>
  <c r="U270" i="1"/>
  <c r="U346" i="1"/>
  <c r="U373" i="1"/>
  <c r="U491" i="1"/>
  <c r="U286" i="1"/>
  <c r="U111" i="1"/>
  <c r="U9" i="1"/>
  <c r="U10" i="1"/>
  <c r="U112" i="1"/>
  <c r="U11" i="1"/>
  <c r="U113" i="1"/>
  <c r="U114" i="1"/>
  <c r="U115" i="1"/>
  <c r="U12" i="1"/>
  <c r="U116" i="1"/>
  <c r="U316" i="1"/>
  <c r="U299" i="1"/>
  <c r="U300" i="1"/>
  <c r="U317" i="1"/>
  <c r="U318" i="1"/>
  <c r="U319" i="1"/>
  <c r="U320" i="1"/>
  <c r="U334" i="1"/>
  <c r="U341" i="1"/>
  <c r="U301" i="1"/>
  <c r="U321" i="1"/>
  <c r="U333" i="1"/>
  <c r="U335" i="1"/>
  <c r="U342" i="1"/>
  <c r="U24" i="1"/>
  <c r="U25" i="1"/>
  <c r="U26" i="1"/>
  <c r="U124" i="1"/>
  <c r="U125" i="1"/>
  <c r="U126" i="1"/>
  <c r="U127" i="1"/>
  <c r="U336" i="1"/>
  <c r="U338" i="1"/>
  <c r="U337" i="1"/>
  <c r="U340" i="1"/>
  <c r="U339" i="1"/>
  <c r="U13" i="1"/>
  <c r="U14" i="1"/>
  <c r="U15" i="1"/>
  <c r="U374" i="1"/>
  <c r="U375" i="1"/>
  <c r="U376" i="1"/>
  <c r="U377" i="1"/>
  <c r="U40" i="1"/>
  <c r="U41" i="1"/>
  <c r="U42" i="1"/>
  <c r="U43" i="1"/>
  <c r="U44" i="1"/>
  <c r="U45" i="1"/>
  <c r="U46" i="1"/>
  <c r="U50" i="1"/>
  <c r="U137" i="1"/>
  <c r="U51" i="1"/>
  <c r="U138" i="1"/>
  <c r="U139" i="1"/>
  <c r="U97" i="1"/>
  <c r="U69" i="1"/>
  <c r="U70" i="1"/>
  <c r="U71" i="1"/>
  <c r="U72" i="1"/>
  <c r="U73" i="1"/>
  <c r="U241" i="1"/>
  <c r="U242" i="1"/>
  <c r="U74" i="1"/>
  <c r="U75" i="1"/>
  <c r="U101" i="1"/>
  <c r="U102" i="1"/>
  <c r="U103" i="1"/>
  <c r="U502" i="1"/>
  <c r="U151" i="1"/>
  <c r="U468" i="1"/>
  <c r="U481" i="1"/>
  <c r="U503" i="1"/>
  <c r="U469" i="1"/>
  <c r="U230" i="1"/>
  <c r="U517" i="1"/>
  <c r="U471" i="1"/>
  <c r="U231" i="1"/>
  <c r="U232" i="1"/>
  <c r="U233" i="1"/>
  <c r="U518" i="1"/>
  <c r="U234" i="1"/>
  <c r="U472" i="1"/>
  <c r="U519" i="1"/>
  <c r="U473" i="1"/>
  <c r="U474" i="1"/>
  <c r="U235" i="1"/>
  <c r="U475" i="1"/>
  <c r="U520" i="1"/>
  <c r="U476" i="1"/>
  <c r="U236" i="1"/>
  <c r="U521" i="1"/>
  <c r="U237" i="1"/>
  <c r="U522" i="1"/>
  <c r="U238" i="1"/>
  <c r="U523" i="1"/>
  <c r="U443" i="1"/>
  <c r="U444" i="1"/>
  <c r="U445" i="1"/>
  <c r="U16" i="1"/>
  <c r="U17" i="1"/>
  <c r="U18" i="1"/>
  <c r="U19" i="1"/>
  <c r="U20" i="1"/>
  <c r="U378" i="1"/>
  <c r="U379" i="1"/>
  <c r="U504" i="1"/>
  <c r="U380" i="1"/>
  <c r="U381" i="1"/>
  <c r="U505" i="1"/>
  <c r="U382" i="1"/>
  <c r="U506" i="1"/>
  <c r="U383" i="1"/>
  <c r="U384" i="1"/>
  <c r="U507" i="1"/>
  <c r="U388" i="1"/>
  <c r="T275" i="1"/>
  <c r="T96" i="1"/>
  <c r="T131" i="1"/>
  <c r="T292" i="1"/>
  <c r="T306" i="1"/>
  <c r="T347" i="1"/>
  <c r="T359" i="1"/>
  <c r="T389" i="1"/>
  <c r="T456" i="1"/>
  <c r="T5" i="1"/>
  <c r="T276" i="1"/>
  <c r="T293" i="1"/>
  <c r="T348" i="1"/>
  <c r="T457" i="1"/>
  <c r="T6" i="1"/>
  <c r="T88" i="1"/>
  <c r="T132" i="1"/>
  <c r="T239" i="1"/>
  <c r="T277" i="1"/>
  <c r="T294" i="1"/>
  <c r="T349" i="1"/>
  <c r="T360" i="1"/>
  <c r="T390" i="1"/>
  <c r="T458" i="1"/>
  <c r="T7" i="1"/>
  <c r="T89" i="1"/>
  <c r="T133" i="1"/>
  <c r="T255" i="1"/>
  <c r="T278" i="1"/>
  <c r="T295" i="1"/>
  <c r="T350" i="1"/>
  <c r="T361" i="1"/>
  <c r="T391" i="1"/>
  <c r="T459" i="1"/>
  <c r="T8" i="1"/>
  <c r="T240" i="1"/>
  <c r="T256" i="1"/>
  <c r="T279" i="1"/>
  <c r="T351" i="1"/>
  <c r="T362" i="1"/>
  <c r="T392" i="1"/>
  <c r="T460" i="1"/>
  <c r="T29" i="1"/>
  <c r="T33" i="1"/>
  <c r="T118" i="1"/>
  <c r="T267" i="1"/>
  <c r="T325" i="1"/>
  <c r="T385" i="1"/>
  <c r="T409" i="1"/>
  <c r="T412" i="1"/>
  <c r="T493" i="1"/>
  <c r="T413" i="1"/>
  <c r="T30" i="1"/>
  <c r="T34" i="1"/>
  <c r="T119" i="1"/>
  <c r="T128" i="1"/>
  <c r="T296" i="1"/>
  <c r="T326" i="1"/>
  <c r="T386" i="1"/>
  <c r="T410" i="1"/>
  <c r="T414" i="1"/>
  <c r="T449" i="1"/>
  <c r="T494" i="1"/>
  <c r="T35" i="1"/>
  <c r="T120" i="1"/>
  <c r="T129" i="1"/>
  <c r="T257" i="1"/>
  <c r="T327" i="1"/>
  <c r="T387" i="1"/>
  <c r="T411" i="1"/>
  <c r="T328" i="1"/>
  <c r="T450" i="1"/>
  <c r="T421" i="1"/>
  <c r="T429" i="1"/>
  <c r="T104" i="1"/>
  <c r="T244" i="1"/>
  <c r="T258" i="1"/>
  <c r="T273" i="1"/>
  <c r="T393" i="1"/>
  <c r="T422" i="1"/>
  <c r="T430" i="1"/>
  <c r="T461" i="1"/>
  <c r="T431" i="1"/>
  <c r="T484" i="1"/>
  <c r="T394" i="1"/>
  <c r="T432" i="1"/>
  <c r="T105" i="1"/>
  <c r="T433" i="1"/>
  <c r="T106" i="1"/>
  <c r="T259" i="1"/>
  <c r="T395" i="1"/>
  <c r="T434" i="1"/>
  <c r="T260" i="1"/>
  <c r="T483" i="1"/>
  <c r="T485" i="1"/>
  <c r="T287" i="1"/>
  <c r="T2" i="1"/>
  <c r="T47" i="1"/>
  <c r="T77" i="1"/>
  <c r="T252" i="1"/>
  <c r="T288" i="1"/>
  <c r="T462" i="1"/>
  <c r="T500" i="1"/>
  <c r="T512" i="1"/>
  <c r="T78" i="1"/>
  <c r="T3" i="1"/>
  <c r="T48" i="1"/>
  <c r="T79" i="1"/>
  <c r="T253" i="1"/>
  <c r="T289" i="1"/>
  <c r="T428" i="1"/>
  <c r="T480" i="1"/>
  <c r="T492" i="1"/>
  <c r="T501" i="1"/>
  <c r="T513" i="1"/>
  <c r="T290" i="1"/>
  <c r="T134" i="1"/>
  <c r="T135" i="1"/>
  <c r="T136" i="1"/>
  <c r="T152" i="1"/>
  <c r="T154" i="1"/>
  <c r="T153" i="1"/>
  <c r="T156" i="1"/>
  <c r="T157" i="1"/>
  <c r="T155" i="1"/>
  <c r="T159" i="1"/>
  <c r="T160" i="1"/>
  <c r="T158" i="1"/>
  <c r="T161" i="1"/>
  <c r="T162" i="1"/>
  <c r="T163" i="1"/>
  <c r="T164" i="1"/>
  <c r="T165" i="1"/>
  <c r="T166" i="1"/>
  <c r="T169" i="1"/>
  <c r="T168" i="1"/>
  <c r="T167" i="1"/>
  <c r="T171" i="1"/>
  <c r="T172" i="1"/>
  <c r="T170" i="1"/>
  <c r="T174" i="1"/>
  <c r="T173" i="1"/>
  <c r="T85" i="1"/>
  <c r="T175" i="1"/>
  <c r="T176" i="1"/>
  <c r="T353" i="1"/>
  <c r="T446" i="1"/>
  <c r="T489" i="1"/>
  <c r="T280" i="1"/>
  <c r="T281" i="1"/>
  <c r="T282" i="1"/>
  <c r="T52" i="1"/>
  <c r="T53" i="1"/>
  <c r="T54" i="1"/>
  <c r="T55" i="1"/>
  <c r="T56" i="1"/>
  <c r="T57" i="1"/>
  <c r="T58" i="1"/>
  <c r="T59" i="1"/>
  <c r="T60" i="1"/>
  <c r="T147" i="1"/>
  <c r="T271" i="1"/>
  <c r="T356" i="1"/>
  <c r="T357" i="1"/>
  <c r="T148" i="1"/>
  <c r="T272" i="1"/>
  <c r="T358" i="1"/>
  <c r="T149" i="1"/>
  <c r="T121" i="1"/>
  <c r="T90" i="1"/>
  <c r="T266" i="1"/>
  <c r="T297" i="1"/>
  <c r="T330" i="1"/>
  <c r="T363" i="1"/>
  <c r="T331" i="1"/>
  <c r="T352" i="1"/>
  <c r="T364" i="1"/>
  <c r="T539" i="1"/>
  <c r="T91" i="1"/>
  <c r="T298" i="1"/>
  <c r="T332" i="1"/>
  <c r="T365" i="1"/>
  <c r="T540" i="1"/>
  <c r="T92" i="1"/>
  <c r="T122" i="1"/>
  <c r="T178" i="1"/>
  <c r="T177" i="1"/>
  <c r="T180" i="1"/>
  <c r="T179" i="1"/>
  <c r="T181" i="1"/>
  <c r="T182" i="1"/>
  <c r="T183" i="1"/>
  <c r="T184" i="1"/>
  <c r="T185" i="1"/>
  <c r="T186" i="1"/>
  <c r="T142" i="1"/>
  <c r="T143" i="1"/>
  <c r="T144" i="1"/>
  <c r="T145" i="1"/>
  <c r="T146" i="1"/>
  <c r="T366" i="1"/>
  <c r="T463" i="1"/>
  <c r="T367" i="1"/>
  <c r="T368" i="1"/>
  <c r="T464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1" i="1"/>
  <c r="T200" i="1"/>
  <c r="T307" i="1"/>
  <c r="T202" i="1"/>
  <c r="T308" i="1"/>
  <c r="T396" i="1"/>
  <c r="T61" i="1"/>
  <c r="T309" i="1"/>
  <c r="T470" i="1"/>
  <c r="T203" i="1"/>
  <c r="T310" i="1"/>
  <c r="T397" i="1"/>
  <c r="T4" i="1"/>
  <c r="T311" i="1"/>
  <c r="T398" i="1"/>
  <c r="T246" i="1"/>
  <c r="T247" i="1"/>
  <c r="T248" i="1"/>
  <c r="T405" i="1"/>
  <c r="T62" i="1"/>
  <c r="T84" i="1"/>
  <c r="T86" i="1"/>
  <c r="T93" i="1"/>
  <c r="T108" i="1"/>
  <c r="T117" i="1"/>
  <c r="T123" i="1"/>
  <c r="T204" i="1"/>
  <c r="T243" i="1"/>
  <c r="T283" i="1"/>
  <c r="T291" i="1"/>
  <c r="T399" i="1"/>
  <c r="T423" i="1"/>
  <c r="T447" i="1"/>
  <c r="T524" i="1"/>
  <c r="T525" i="1"/>
  <c r="T508" i="1"/>
  <c r="T509" i="1"/>
  <c r="T514" i="1"/>
  <c r="T515" i="1"/>
  <c r="T510" i="1"/>
  <c r="T516" i="1"/>
  <c r="T511" i="1"/>
  <c r="T532" i="1"/>
  <c r="T302" i="1"/>
  <c r="T274" i="1"/>
  <c r="T303" i="1"/>
  <c r="T304" i="1"/>
  <c r="T495" i="1"/>
  <c r="T496" i="1"/>
  <c r="T497" i="1"/>
  <c r="T498" i="1"/>
  <c r="T499" i="1"/>
  <c r="T537" i="1"/>
  <c r="T21" i="1"/>
  <c r="T31" i="1"/>
  <c r="T249" i="1"/>
  <c r="T264" i="1"/>
  <c r="T323" i="1"/>
  <c r="T354" i="1"/>
  <c r="T465" i="1"/>
  <c r="T415" i="1"/>
  <c r="T22" i="1"/>
  <c r="T49" i="1"/>
  <c r="T63" i="1"/>
  <c r="T140" i="1"/>
  <c r="T245" i="1"/>
  <c r="T250" i="1"/>
  <c r="T265" i="1"/>
  <c r="T324" i="1"/>
  <c r="T355" i="1"/>
  <c r="T416" i="1"/>
  <c r="T466" i="1"/>
  <c r="T479" i="1"/>
  <c r="T538" i="1"/>
  <c r="T23" i="1"/>
  <c r="T32" i="1"/>
  <c r="T87" i="1"/>
  <c r="T107" i="1"/>
  <c r="T130" i="1"/>
  <c r="T141" i="1"/>
  <c r="T251" i="1"/>
  <c r="T261" i="1"/>
  <c r="T417" i="1"/>
  <c r="T442" i="1"/>
  <c r="T467" i="1"/>
  <c r="T486" i="1"/>
  <c r="T312" i="1"/>
  <c r="T109" i="1"/>
  <c r="T313" i="1"/>
  <c r="T314" i="1"/>
  <c r="T110" i="1"/>
  <c r="T315" i="1"/>
  <c r="T487" i="1"/>
  <c r="T305" i="1"/>
  <c r="T369" i="1"/>
  <c r="T477" i="1"/>
  <c r="T488" i="1"/>
  <c r="T370" i="1"/>
  <c r="T478" i="1"/>
  <c r="T400" i="1"/>
  <c r="T401" i="1"/>
  <c r="T402" i="1"/>
  <c r="T403" i="1"/>
  <c r="T404" i="1"/>
  <c r="T150" i="1"/>
  <c r="T64" i="1"/>
  <c r="T205" i="1"/>
  <c r="T206" i="1"/>
  <c r="T207" i="1"/>
  <c r="T208" i="1"/>
  <c r="T526" i="1"/>
  <c r="T209" i="1"/>
  <c r="T210" i="1"/>
  <c r="T211" i="1"/>
  <c r="T527" i="1"/>
  <c r="T65" i="1"/>
  <c r="T212" i="1"/>
  <c r="T214" i="1"/>
  <c r="T213" i="1"/>
  <c r="T528" i="1"/>
  <c r="T215" i="1"/>
  <c r="T66" i="1"/>
  <c r="T216" i="1"/>
  <c r="T217" i="1"/>
  <c r="T218" i="1"/>
  <c r="T529" i="1"/>
  <c r="T67" i="1"/>
  <c r="T219" i="1"/>
  <c r="T220" i="1"/>
  <c r="T530" i="1"/>
  <c r="T68" i="1"/>
  <c r="T221" i="1"/>
  <c r="T222" i="1"/>
  <c r="T223" i="1"/>
  <c r="T531" i="1"/>
  <c r="T224" i="1"/>
  <c r="T225" i="1"/>
  <c r="T226" i="1"/>
  <c r="T227" i="1"/>
  <c r="T228" i="1"/>
  <c r="T229" i="1"/>
  <c r="T82" i="1"/>
  <c r="T83" i="1"/>
  <c r="T98" i="1"/>
  <c r="T284" i="1"/>
  <c r="T99" i="1"/>
  <c r="T94" i="1"/>
  <c r="T285" i="1"/>
  <c r="T343" i="1"/>
  <c r="T344" i="1"/>
  <c r="T345" i="1"/>
  <c r="T95" i="1"/>
  <c r="T418" i="1"/>
  <c r="T419" i="1"/>
  <c r="T100" i="1"/>
  <c r="T420" i="1"/>
  <c r="T424" i="1"/>
  <c r="T436" i="1"/>
  <c r="T36" i="1"/>
  <c r="T406" i="1"/>
  <c r="T437" i="1"/>
  <c r="T451" i="1"/>
  <c r="T80" i="1"/>
  <c r="T425" i="1"/>
  <c r="T438" i="1"/>
  <c r="T452" i="1"/>
  <c r="T533" i="1"/>
  <c r="T81" i="1"/>
  <c r="T322" i="1"/>
  <c r="T426" i="1"/>
  <c r="T439" i="1"/>
  <c r="T448" i="1"/>
  <c r="T453" i="1"/>
  <c r="T534" i="1"/>
  <c r="T37" i="1"/>
  <c r="T27" i="1"/>
  <c r="T38" i="1"/>
  <c r="T262" i="1"/>
  <c r="T407" i="1"/>
  <c r="T440" i="1"/>
  <c r="T454" i="1"/>
  <c r="T535" i="1"/>
  <c r="T28" i="1"/>
  <c r="T39" i="1"/>
  <c r="T263" i="1"/>
  <c r="T329" i="1"/>
  <c r="T427" i="1"/>
  <c r="T441" i="1"/>
  <c r="T455" i="1"/>
  <c r="T482" i="1"/>
  <c r="T536" i="1"/>
  <c r="T408" i="1"/>
  <c r="T371" i="1"/>
  <c r="T268" i="1"/>
  <c r="T269" i="1"/>
  <c r="T372" i="1"/>
  <c r="T490" i="1"/>
  <c r="T270" i="1"/>
  <c r="T346" i="1"/>
  <c r="T373" i="1"/>
  <c r="T491" i="1"/>
  <c r="T286" i="1"/>
  <c r="T111" i="1"/>
  <c r="T9" i="1"/>
  <c r="T10" i="1"/>
  <c r="T112" i="1"/>
  <c r="T11" i="1"/>
  <c r="T113" i="1"/>
  <c r="T114" i="1"/>
  <c r="T115" i="1"/>
  <c r="T12" i="1"/>
  <c r="T116" i="1"/>
  <c r="T316" i="1"/>
  <c r="T299" i="1"/>
  <c r="T300" i="1"/>
  <c r="T317" i="1"/>
  <c r="T318" i="1"/>
  <c r="T319" i="1"/>
  <c r="T320" i="1"/>
  <c r="T334" i="1"/>
  <c r="T341" i="1"/>
  <c r="T301" i="1"/>
  <c r="T321" i="1"/>
  <c r="T333" i="1"/>
  <c r="T335" i="1"/>
  <c r="T342" i="1"/>
  <c r="T24" i="1"/>
  <c r="T25" i="1"/>
  <c r="T26" i="1"/>
  <c r="T124" i="1"/>
  <c r="T125" i="1"/>
  <c r="T126" i="1"/>
  <c r="T127" i="1"/>
  <c r="T336" i="1"/>
  <c r="T338" i="1"/>
  <c r="T337" i="1"/>
  <c r="T340" i="1"/>
  <c r="T339" i="1"/>
  <c r="T13" i="1"/>
  <c r="T14" i="1"/>
  <c r="T15" i="1"/>
  <c r="T374" i="1"/>
  <c r="T375" i="1"/>
  <c r="T376" i="1"/>
  <c r="T377" i="1"/>
  <c r="T40" i="1"/>
  <c r="T41" i="1"/>
  <c r="T42" i="1"/>
  <c r="T43" i="1"/>
  <c r="T44" i="1"/>
  <c r="T45" i="1"/>
  <c r="T46" i="1"/>
  <c r="T50" i="1"/>
  <c r="T137" i="1"/>
  <c r="T51" i="1"/>
  <c r="T138" i="1"/>
  <c r="T139" i="1"/>
  <c r="T97" i="1"/>
  <c r="T69" i="1"/>
  <c r="T70" i="1"/>
  <c r="T71" i="1"/>
  <c r="T72" i="1"/>
  <c r="T73" i="1"/>
  <c r="T241" i="1"/>
  <c r="T242" i="1"/>
  <c r="T74" i="1"/>
  <c r="T75" i="1"/>
  <c r="T101" i="1"/>
  <c r="T102" i="1"/>
  <c r="T103" i="1"/>
  <c r="T502" i="1"/>
  <c r="T151" i="1"/>
  <c r="T468" i="1"/>
  <c r="T481" i="1"/>
  <c r="T503" i="1"/>
  <c r="T469" i="1"/>
  <c r="T230" i="1"/>
  <c r="T517" i="1"/>
  <c r="T471" i="1"/>
  <c r="T231" i="1"/>
  <c r="T232" i="1"/>
  <c r="T233" i="1"/>
  <c r="T518" i="1"/>
  <c r="T234" i="1"/>
  <c r="T472" i="1"/>
  <c r="T519" i="1"/>
  <c r="T473" i="1"/>
  <c r="T474" i="1"/>
  <c r="T235" i="1"/>
  <c r="T475" i="1"/>
  <c r="T520" i="1"/>
  <c r="T476" i="1"/>
  <c r="T236" i="1"/>
  <c r="T521" i="1"/>
  <c r="T237" i="1"/>
  <c r="T522" i="1"/>
  <c r="T238" i="1"/>
  <c r="T523" i="1"/>
  <c r="T443" i="1"/>
  <c r="T444" i="1"/>
  <c r="T445" i="1"/>
  <c r="T16" i="1"/>
  <c r="T17" i="1"/>
  <c r="T18" i="1"/>
  <c r="T19" i="1"/>
  <c r="T20" i="1"/>
  <c r="T378" i="1"/>
  <c r="T379" i="1"/>
  <c r="T504" i="1"/>
  <c r="T380" i="1"/>
  <c r="T381" i="1"/>
  <c r="T505" i="1"/>
  <c r="T382" i="1"/>
  <c r="T506" i="1"/>
  <c r="T383" i="1"/>
  <c r="T384" i="1"/>
  <c r="T507" i="1"/>
  <c r="D12" i="1"/>
  <c r="D11" i="1"/>
  <c r="D10" i="1"/>
  <c r="E273" i="1"/>
</calcChain>
</file>

<file path=xl/sharedStrings.xml><?xml version="1.0" encoding="utf-8"?>
<sst xmlns="http://schemas.openxmlformats.org/spreadsheetml/2006/main" count="8690" uniqueCount="322">
  <si>
    <t>frug</t>
  </si>
  <si>
    <t>plant_visit</t>
  </si>
  <si>
    <t>n_visits</t>
  </si>
  <si>
    <t>obs_time</t>
  </si>
  <si>
    <t>visit_rate</t>
  </si>
  <si>
    <t>n_fruits</t>
  </si>
  <si>
    <t>fruit_visit</t>
  </si>
  <si>
    <t>v_source</t>
  </si>
  <si>
    <t>v_location</t>
  </si>
  <si>
    <t>frug_order</t>
  </si>
  <si>
    <t>frug_family</t>
  </si>
  <si>
    <t>body_mass</t>
  </si>
  <si>
    <t>gape_size</t>
  </si>
  <si>
    <t>feed_beh</t>
  </si>
  <si>
    <t>migration</t>
  </si>
  <si>
    <t>status</t>
  </si>
  <si>
    <t>trend</t>
  </si>
  <si>
    <t>Euphonia pectoralis</t>
  </si>
  <si>
    <t>Myrsine umbellata</t>
  </si>
  <si>
    <t>NA</t>
  </si>
  <si>
    <t>Alves 2005</t>
  </si>
  <si>
    <t>Ubatuba</t>
  </si>
  <si>
    <t>Passeriformes</t>
  </si>
  <si>
    <t>Fringillidae</t>
  </si>
  <si>
    <t>MA</t>
  </si>
  <si>
    <t>RES</t>
  </si>
  <si>
    <t>LC</t>
  </si>
  <si>
    <t>DE</t>
  </si>
  <si>
    <t>Tangara cayana</t>
  </si>
  <si>
    <t>Livistona chinensis</t>
  </si>
  <si>
    <t>Thraupidae</t>
  </si>
  <si>
    <t>ST</t>
  </si>
  <si>
    <t>Tangara cyanocephala</t>
  </si>
  <si>
    <t>Clusia criuva</t>
  </si>
  <si>
    <t>Erythroxylum ambiguum</t>
  </si>
  <si>
    <t>Guapira opposita</t>
  </si>
  <si>
    <t>Miconia albicans</t>
  </si>
  <si>
    <t>Miconia cinnamomifolia</t>
  </si>
  <si>
    <t>Myrcia fallax</t>
  </si>
  <si>
    <t>Myrsine coriacea</t>
  </si>
  <si>
    <t>Schinus terebinthifolius</t>
  </si>
  <si>
    <t>Thraupis palmarum</t>
  </si>
  <si>
    <t>Aegiphila sellowiana</t>
  </si>
  <si>
    <t>Thraupis sayaca</t>
  </si>
  <si>
    <t>Citharexylum myrianthum</t>
  </si>
  <si>
    <t>Euterpe oleracea</t>
  </si>
  <si>
    <t>Turdus albicollis</t>
  </si>
  <si>
    <t>Turdidae</t>
  </si>
  <si>
    <t>GU</t>
  </si>
  <si>
    <t>MIG</t>
  </si>
  <si>
    <t>Turdus rufiventris</t>
  </si>
  <si>
    <t>Anacardium occidentale</t>
  </si>
  <si>
    <t>Andrade 2011</t>
  </si>
  <si>
    <t>Bahia</t>
  </si>
  <si>
    <t>Byrsonima sericea</t>
  </si>
  <si>
    <t>Cupania emarginata</t>
  </si>
  <si>
    <t>Hirtella ciliata</t>
  </si>
  <si>
    <t>Miconia minutiflora</t>
  </si>
  <si>
    <t>Myrsine gardneriana</t>
  </si>
  <si>
    <t>Paullinia micrantha</t>
  </si>
  <si>
    <t>Pera glabrata</t>
  </si>
  <si>
    <t>Tapirira guianensis</t>
  </si>
  <si>
    <t>Tangara seledon</t>
  </si>
  <si>
    <t>Curatella americana</t>
  </si>
  <si>
    <t>Schefflera morototoni</t>
  </si>
  <si>
    <t>Euphonia chlorotica</t>
  </si>
  <si>
    <t>Phoradendron piperoides</t>
  </si>
  <si>
    <t>Argel-Oliveira 1999</t>
  </si>
  <si>
    <t>Restinga</t>
  </si>
  <si>
    <t>Protium heptaphyllum</t>
  </si>
  <si>
    <t>Euphonia violacea</t>
  </si>
  <si>
    <t>Cordia curassavica</t>
  </si>
  <si>
    <t>Ficus hirsuta</t>
  </si>
  <si>
    <t>Lantana pohliana</t>
  </si>
  <si>
    <t>Procnias nudicollis</t>
  </si>
  <si>
    <t>Cotingidae</t>
  </si>
  <si>
    <t>VU</t>
  </si>
  <si>
    <t>Sorocea ilicifolia</t>
  </si>
  <si>
    <t>Melia azedarach</t>
  </si>
  <si>
    <t>Athie 2009</t>
  </si>
  <si>
    <t>Rio Claro</t>
  </si>
  <si>
    <t>Acnistus arborescens</t>
  </si>
  <si>
    <t>Casearia sylvestris</t>
  </si>
  <si>
    <t>Cecropia pachystachya</t>
  </si>
  <si>
    <t>Frangula purshiana</t>
  </si>
  <si>
    <t>Trema micrantha</t>
  </si>
  <si>
    <t>Trichilia clausseni</t>
  </si>
  <si>
    <t>Plinia cauliflora</t>
  </si>
  <si>
    <t>Solanum granulosoleprosum</t>
  </si>
  <si>
    <t>Syzygium cumini</t>
  </si>
  <si>
    <t>Ramphastos dicolorus</t>
  </si>
  <si>
    <t>Camargo 2014</t>
  </si>
  <si>
    <t>Carlos Botelho</t>
  </si>
  <si>
    <t>Piciformes</t>
  </si>
  <si>
    <t>Ramphastidae</t>
  </si>
  <si>
    <t>ALT</t>
  </si>
  <si>
    <t>Penelope obscura</t>
  </si>
  <si>
    <t>Euterpe edulis</t>
  </si>
  <si>
    <t>Castro 2003</t>
  </si>
  <si>
    <t>Encosta (Cardoso)</t>
  </si>
  <si>
    <t>Craciformes</t>
  </si>
  <si>
    <t>Cracidae</t>
  </si>
  <si>
    <t>Planicie (Cardoso)</t>
  </si>
  <si>
    <t>Restinga (Cardoso)</t>
  </si>
  <si>
    <t>Ramphastos vitellinus</t>
  </si>
  <si>
    <t>Selenidera maculirostris</t>
  </si>
  <si>
    <t>Tityra cayana</t>
  </si>
  <si>
    <t>Trogon viridis</t>
  </si>
  <si>
    <t>Trogoniformes</t>
  </si>
  <si>
    <t>Trogonidae</t>
  </si>
  <si>
    <t>Aburria jacutinga</t>
  </si>
  <si>
    <t>Cinnamodendron dinisii</t>
  </si>
  <si>
    <t>Castro 2007</t>
  </si>
  <si>
    <t>Cardoso</t>
  </si>
  <si>
    <t>EN</t>
  </si>
  <si>
    <t>Myrcia pubipetala</t>
  </si>
  <si>
    <t>Quiina glazovii</t>
  </si>
  <si>
    <t>Symplocos uniflora</t>
  </si>
  <si>
    <t>Magnolia ovata</t>
  </si>
  <si>
    <t>Cazetta et al 2002</t>
  </si>
  <si>
    <t>Fazenda Sao José</t>
  </si>
  <si>
    <t>Cecropia glaziovii</t>
  </si>
  <si>
    <t>Cecropia_data.xls</t>
  </si>
  <si>
    <t>Intervales</t>
  </si>
  <si>
    <t>Trogon surrucura</t>
  </si>
  <si>
    <t>Eugenia uniflora</t>
  </si>
  <si>
    <t>Colussi &amp; Prestes 2011</t>
  </si>
  <si>
    <t>Rio Grande do Sul</t>
  </si>
  <si>
    <t>Ilex paraguariensis</t>
  </si>
  <si>
    <t>Myrciaria trunciflora</t>
  </si>
  <si>
    <t>Colussi e Prestes 2011</t>
  </si>
  <si>
    <t>Cupania oblongifolia</t>
  </si>
  <si>
    <t>Correia 1997</t>
  </si>
  <si>
    <t>Poço das Antas</t>
  </si>
  <si>
    <t>Henriettea saldanhaei</t>
  </si>
  <si>
    <t>Miconia prasina</t>
  </si>
  <si>
    <t>Xylopia sericea</t>
  </si>
  <si>
    <t>Cortes 2003</t>
  </si>
  <si>
    <t>Eugenia umbelliflora</t>
  </si>
  <si>
    <t>Cortes et al 2008</t>
  </si>
  <si>
    <t>Cortes et al 2009</t>
  </si>
  <si>
    <t>De Jesus &amp; Monteiro</t>
  </si>
  <si>
    <t>Vila Velha</t>
  </si>
  <si>
    <t>Euterpe_dataset_files.xls</t>
  </si>
  <si>
    <t>Baillonius bailloni</t>
  </si>
  <si>
    <t>NT</t>
  </si>
  <si>
    <t>Fadini &amp; de Marco 2004</t>
  </si>
  <si>
    <t>Minas Gerais</t>
  </si>
  <si>
    <t>Nectandra lanceolata</t>
  </si>
  <si>
    <t>Senna macranthera</t>
  </si>
  <si>
    <t>Aegiphila integrifolia</t>
  </si>
  <si>
    <t>Ficus microcarpa</t>
  </si>
  <si>
    <t>Figueiredo et al 1995</t>
  </si>
  <si>
    <t>Sao Carlos, SP</t>
  </si>
  <si>
    <t>Ocotea pulchella</t>
  </si>
  <si>
    <t>Francisco &amp; Galetti 2002</t>
  </si>
  <si>
    <t>Cerrado, Sao Carlos</t>
  </si>
  <si>
    <t>Galetti 1997</t>
  </si>
  <si>
    <t>Chrysophyllum flexuosum</t>
  </si>
  <si>
    <t>Cordia silvestris</t>
  </si>
  <si>
    <t>Cryptocarya moschata</t>
  </si>
  <si>
    <t>Ficus enormis</t>
  </si>
  <si>
    <t>Matayba elaeagnoides</t>
  </si>
  <si>
    <t>Meliosma sinuata</t>
  </si>
  <si>
    <t>Nectandra megapotamica</t>
  </si>
  <si>
    <t>Phytolacca dioica</t>
  </si>
  <si>
    <t>Virola gardneri</t>
  </si>
  <si>
    <t>Virola oleifera</t>
  </si>
  <si>
    <t>Trichilia catigua</t>
  </si>
  <si>
    <t>Godim 2001</t>
  </si>
  <si>
    <t>Virola sebifera</t>
  </si>
  <si>
    <t>Godim 2002</t>
  </si>
  <si>
    <t>Cerrado</t>
  </si>
  <si>
    <t>Miconia cinerascens</t>
  </si>
  <si>
    <t>Gridi-Papp et al 2004</t>
  </si>
  <si>
    <t>Mantiqueira</t>
  </si>
  <si>
    <t>Leandra carassana</t>
  </si>
  <si>
    <t>Guimaraes 2003</t>
  </si>
  <si>
    <t>Araruama, RJ</t>
  </si>
  <si>
    <t>Vitex polygama</t>
  </si>
  <si>
    <t>Hasui 1994</t>
  </si>
  <si>
    <t>Cuaso, SP</t>
  </si>
  <si>
    <t>Alchornea sidifolia</t>
  </si>
  <si>
    <t>Archontophoenix cunninghamiana</t>
  </si>
  <si>
    <t xml:space="preserve">NA </t>
  </si>
  <si>
    <t>Guettarda viburnoides</t>
  </si>
  <si>
    <t>Miconia ligustroides</t>
  </si>
  <si>
    <t>Phoebe pickelli</t>
  </si>
  <si>
    <t>Eugenia cerasiflora</t>
  </si>
  <si>
    <t>Ficus insipida</t>
  </si>
  <si>
    <t>Myrcia tomentosa</t>
  </si>
  <si>
    <t>Solanum erianthum</t>
  </si>
  <si>
    <t>Cissus selloana</t>
  </si>
  <si>
    <t>Cordia ecalyculata</t>
  </si>
  <si>
    <t>Endlicheria paniculata</t>
  </si>
  <si>
    <t>Guarea macrophylla</t>
  </si>
  <si>
    <t>Prunus myrtifolia</t>
  </si>
  <si>
    <t>Struthanthus vulgaris</t>
  </si>
  <si>
    <t>Ikuta &amp; Martins 2013</t>
  </si>
  <si>
    <t>Canteiras</t>
  </si>
  <si>
    <t>Coussapoa microcarpa</t>
  </si>
  <si>
    <t>Styrax leprosus</t>
  </si>
  <si>
    <t>Kindel 1996</t>
  </si>
  <si>
    <t>Aracuri</t>
  </si>
  <si>
    <t>Sloanea monosperma</t>
  </si>
  <si>
    <t>Krugel et al 2006</t>
  </si>
  <si>
    <t>Lamberti et al 2012</t>
  </si>
  <si>
    <t>Sorocaba</t>
  </si>
  <si>
    <t>Laps 1996</t>
  </si>
  <si>
    <t xml:space="preserve">Laps 1996 </t>
  </si>
  <si>
    <t>Chamissoa altissima</t>
  </si>
  <si>
    <t>Lopes 2000</t>
  </si>
  <si>
    <t>Botucatu</t>
  </si>
  <si>
    <t>Copaifera langsdorffii</t>
  </si>
  <si>
    <t>Miconia urophylla</t>
  </si>
  <si>
    <t>Manhaes et al 2003</t>
  </si>
  <si>
    <t>Marcondes &amp; Braga 2005</t>
  </si>
  <si>
    <t>Campinas</t>
  </si>
  <si>
    <t>Phoradendron affine</t>
  </si>
  <si>
    <t>Maruyama 2012</t>
  </si>
  <si>
    <t>Uberlândia, Brazil</t>
  </si>
  <si>
    <t>Maruyama 2013</t>
  </si>
  <si>
    <t>Motta-Jr &amp; Lombardi 1990</t>
  </si>
  <si>
    <t>Phoradendron crassifolium</t>
  </si>
  <si>
    <t>Motta-Junior 1991</t>
  </si>
  <si>
    <t>Brasilia Cerrado</t>
  </si>
  <si>
    <t>Piper tectoniifolium</t>
  </si>
  <si>
    <t>Cabralea canjerana</t>
  </si>
  <si>
    <t>Paullinia carpopoda</t>
  </si>
  <si>
    <t>Miconia cuspidata</t>
  </si>
  <si>
    <t>Richeria grandis</t>
  </si>
  <si>
    <t>Amaioua guianensis</t>
  </si>
  <si>
    <t>Guatteria sellowiana</t>
  </si>
  <si>
    <t>Miconia pepericarpa</t>
  </si>
  <si>
    <t>Solanum viscosissimum</t>
  </si>
  <si>
    <t xml:space="preserve">Motta-Junior 1991 </t>
  </si>
  <si>
    <t>Muller 2006</t>
  </si>
  <si>
    <t>Aparados da serra</t>
  </si>
  <si>
    <t>Ilex brevicuspis</t>
  </si>
  <si>
    <t>Myrceugenia myrcioides</t>
  </si>
  <si>
    <t>Matayba guianensis</t>
  </si>
  <si>
    <t>Oliveira et al 2011</t>
  </si>
  <si>
    <t>Parrini &amp; Pacheco 2010</t>
  </si>
  <si>
    <t>Rio Janeiro</t>
  </si>
  <si>
    <t>Alchornea glandulosa</t>
  </si>
  <si>
    <t>Costa Verde</t>
  </si>
  <si>
    <t>Parrini &amp; Pacheco 2011a</t>
  </si>
  <si>
    <t>Serra dos Orgaos</t>
  </si>
  <si>
    <t>Miconia chartacea</t>
  </si>
  <si>
    <t>Miconia sellowiana</t>
  </si>
  <si>
    <t>Miconia tristis</t>
  </si>
  <si>
    <t>Miconia pusilliflora</t>
  </si>
  <si>
    <t>Alchornea triplinervia</t>
  </si>
  <si>
    <t>Parrini &amp; Pacheco 2011b</t>
  </si>
  <si>
    <t>Tres Picos</t>
  </si>
  <si>
    <t>Parrini &amp; Pacheco 2014</t>
  </si>
  <si>
    <t>Parrini et al 2008</t>
  </si>
  <si>
    <t>Itatiaia</t>
  </si>
  <si>
    <t>Pascotto 2006</t>
  </si>
  <si>
    <t>Mata ciliar</t>
  </si>
  <si>
    <t>Pascotto 2007</t>
  </si>
  <si>
    <t>Sao Manuel</t>
  </si>
  <si>
    <t>Pizo (Zimmermann et al. 2002)</t>
  </si>
  <si>
    <t>Blumenau</t>
  </si>
  <si>
    <t>Pizo 1997</t>
  </si>
  <si>
    <t>Pizo 2004</t>
  </si>
  <si>
    <t>Itaiba</t>
  </si>
  <si>
    <t>Erythroxylum deciduum</t>
  </si>
  <si>
    <t>Pizo unpublished</t>
  </si>
  <si>
    <t>Ilha do Cardoso</t>
  </si>
  <si>
    <t>Quintero 2017</t>
  </si>
  <si>
    <t>Ficus benjamina</t>
  </si>
  <si>
    <t>Rabello et al 2010</t>
  </si>
  <si>
    <t>Alfenas</t>
  </si>
  <si>
    <t>Robinson 2015</t>
  </si>
  <si>
    <t>Piracicaba</t>
  </si>
  <si>
    <t>Solanum myrianthum</t>
  </si>
  <si>
    <t>Rother 2016</t>
  </si>
  <si>
    <t>Virola bicuhyba</t>
  </si>
  <si>
    <t>Sloanea guianensis</t>
  </si>
  <si>
    <t>Psidium guajava</t>
  </si>
  <si>
    <t>Silva et al 2013</t>
  </si>
  <si>
    <t>Caracu, Paraná</t>
  </si>
  <si>
    <t>Zimmermann 1996</t>
  </si>
  <si>
    <t>Zimmermann 2001</t>
  </si>
  <si>
    <t>plant_family</t>
  </si>
  <si>
    <t>SYNONIMS</t>
  </si>
  <si>
    <t>fru_color</t>
  </si>
  <si>
    <t>reported</t>
  </si>
  <si>
    <t>FRDIAM (mm)</t>
  </si>
  <si>
    <t>FRLENG (mm)</t>
  </si>
  <si>
    <t>SDIAM (mm)</t>
  </si>
  <si>
    <t>SLENG (mm)</t>
  </si>
  <si>
    <t>FRFM (g)</t>
  </si>
  <si>
    <t>PFM (g)</t>
  </si>
  <si>
    <t>SFM (g)</t>
  </si>
  <si>
    <t>PDM (g)</t>
  </si>
  <si>
    <t>SDM (g)</t>
  </si>
  <si>
    <t>SEEDS</t>
  </si>
  <si>
    <t>P/S(wet)</t>
  </si>
  <si>
    <t>P/S(dry)</t>
  </si>
  <si>
    <t>SOURCE</t>
  </si>
  <si>
    <t>WATER</t>
  </si>
  <si>
    <t>LIP</t>
  </si>
  <si>
    <t>PRO</t>
  </si>
  <si>
    <t>SSUGAR</t>
  </si>
  <si>
    <t>INSUGAR</t>
  </si>
  <si>
    <t>NSC</t>
  </si>
  <si>
    <t>TOTALC</t>
  </si>
  <si>
    <t>ASH</t>
  </si>
  <si>
    <t>FIB</t>
  </si>
  <si>
    <t>FRDIAM</t>
  </si>
  <si>
    <t>FRLENG</t>
  </si>
  <si>
    <t>FRFM</t>
  </si>
  <si>
    <t>PFM</t>
  </si>
  <si>
    <t>SFM</t>
  </si>
  <si>
    <t>PDM</t>
  </si>
  <si>
    <t>SDM</t>
  </si>
  <si>
    <t>plant</t>
  </si>
  <si>
    <t>TOTALSUG</t>
  </si>
  <si>
    <t>QTY</t>
  </si>
  <si>
    <t>corrected_fruits_visit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</si>
</sst>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name val="Calibri"/>
      <scheme val="minor"/>
    </font>
    <font>
      <i/>
      <sz val="12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thin">
        <color rgb="FFEBF1DE"/>
      </bottom>
      <diagonal/>
    </border>
  </borders>
  <cellStyleXfs count="28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6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4" borderId="0" xfId="0" applyFont="1" applyFill="1"/>
    <xf numFmtId="0" fontId="4" fillId="0" borderId="0" xfId="0" applyFont="1"/>
    <xf numFmtId="0" fontId="5" fillId="0" borderId="0" xfId="0" applyFont="1" applyBorder="1" applyAlignment="1">
      <alignment horizontal="left"/>
    </xf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Border="1"/>
    <xf numFmtId="165" fontId="0" fillId="0" borderId="0" xfId="0" applyNumberFormat="1"/>
    <xf numFmtId="0" fontId="4" fillId="0" borderId="1" xfId="0" applyFont="1" applyBorder="1" applyAlignment="1">
      <alignment horizontal="left"/>
    </xf>
    <xf numFmtId="0" fontId="0" fillId="0" borderId="0" xfId="0" applyFill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6" fillId="0" borderId="0" xfId="0" applyFont="1"/>
    <xf numFmtId="165" fontId="6" fillId="0" borderId="0" xfId="0" applyNumberFormat="1" applyFont="1"/>
    <xf numFmtId="0" fontId="4" fillId="0" borderId="0" xfId="0" applyFont="1" applyFill="1"/>
    <xf numFmtId="2" fontId="6" fillId="0" borderId="0" xfId="0" applyNumberFormat="1" applyFont="1"/>
    <xf numFmtId="0" fontId="7" fillId="0" borderId="0" xfId="0" applyFont="1" applyFill="1"/>
    <xf numFmtId="0" fontId="7" fillId="0" borderId="0" xfId="0" applyFont="1"/>
    <xf numFmtId="0" fontId="7" fillId="0" borderId="0" xfId="0" applyFont="1" applyBorder="1" applyAlignment="1">
      <alignment horizontal="left"/>
    </xf>
    <xf numFmtId="164" fontId="6" fillId="0" borderId="0" xfId="0" applyNumberFormat="1" applyFont="1"/>
    <xf numFmtId="0" fontId="8" fillId="0" borderId="0" xfId="0" applyFont="1" applyBorder="1"/>
    <xf numFmtId="0" fontId="8" fillId="0" borderId="0" xfId="0" applyFont="1"/>
    <xf numFmtId="164" fontId="8" fillId="0" borderId="0" xfId="0" applyNumberFormat="1" applyFont="1"/>
    <xf numFmtId="2" fontId="8" fillId="0" borderId="0" xfId="0" applyNumberFormat="1" applyFont="1"/>
    <xf numFmtId="0" fontId="8" fillId="0" borderId="0" xfId="0" applyFont="1" applyBorder="1" applyAlignment="1">
      <alignment horizontal="left"/>
    </xf>
    <xf numFmtId="0" fontId="2" fillId="0" borderId="0" xfId="0" applyFont="1"/>
    <xf numFmtId="2" fontId="0" fillId="0" borderId="0" xfId="0" applyNumberFormat="1" applyFont="1"/>
    <xf numFmtId="0" fontId="7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4" fillId="0" borderId="2" xfId="0" applyFont="1" applyBorder="1"/>
    <xf numFmtId="0" fontId="4" fillId="0" borderId="2" xfId="0" applyFont="1" applyFill="1" applyBorder="1"/>
    <xf numFmtId="0" fontId="0" fillId="0" borderId="0" xfId="0" applyFont="1" applyFill="1"/>
    <xf numFmtId="0" fontId="4" fillId="0" borderId="3" xfId="0" applyFont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3" xfId="0" applyFont="1" applyBorder="1"/>
    <xf numFmtId="0" fontId="5" fillId="0" borderId="3" xfId="0" applyFont="1" applyBorder="1" applyAlignment="1">
      <alignment horizontal="left"/>
    </xf>
    <xf numFmtId="2" fontId="1" fillId="0" borderId="0" xfId="0" applyNumberFormat="1" applyFont="1"/>
    <xf numFmtId="0" fontId="0" fillId="0" borderId="0" xfId="0" applyFill="1" applyBorder="1"/>
    <xf numFmtId="0" fontId="6" fillId="0" borderId="0" xfId="0" applyFont="1" applyBorder="1"/>
    <xf numFmtId="0" fontId="6" fillId="0" borderId="0" xfId="0" applyFont="1" applyFill="1"/>
    <xf numFmtId="0" fontId="2" fillId="5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2" fontId="3" fillId="7" borderId="0" xfId="0" applyNumberFormat="1" applyFont="1" applyFill="1" applyAlignment="1"/>
    <xf numFmtId="164" fontId="3" fillId="7" borderId="0" xfId="0" applyNumberFormat="1" applyFont="1" applyFill="1" applyAlignment="1"/>
    <xf numFmtId="0" fontId="2" fillId="7" borderId="0" xfId="0" applyFont="1" applyFill="1"/>
    <xf numFmtId="10" fontId="3" fillId="8" borderId="0" xfId="0" applyNumberFormat="1" applyFont="1" applyFill="1" applyAlignment="1">
      <alignment horizontal="center"/>
    </xf>
    <xf numFmtId="10" fontId="3" fillId="8" borderId="0" xfId="0" applyNumberFormat="1" applyFont="1" applyFill="1" applyBorder="1" applyAlignment="1">
      <alignment horizontal="center"/>
    </xf>
    <xf numFmtId="164" fontId="3" fillId="8" borderId="0" xfId="0" applyNumberFormat="1" applyFont="1" applyFill="1" applyBorder="1" applyAlignment="1">
      <alignment horizontal="center"/>
    </xf>
    <xf numFmtId="1" fontId="0" fillId="0" borderId="0" xfId="0" applyNumberFormat="1" applyFont="1"/>
    <xf numFmtId="1" fontId="0" fillId="0" borderId="0" xfId="0" applyNumberFormat="1"/>
    <xf numFmtId="1" fontId="6" fillId="0" borderId="0" xfId="0" applyNumberFormat="1" applyFont="1"/>
    <xf numFmtId="1" fontId="8" fillId="0" borderId="0" xfId="0" applyNumberFormat="1" applyFont="1"/>
    <xf numFmtId="1" fontId="0" fillId="0" borderId="0" xfId="0" applyNumberFormat="1" applyFont="1" applyFill="1"/>
    <xf numFmtId="165" fontId="0" fillId="0" borderId="0" xfId="0" applyNumberFormat="1" applyFont="1"/>
    <xf numFmtId="165" fontId="8" fillId="0" borderId="0" xfId="0" applyNumberFormat="1" applyFont="1"/>
    <xf numFmtId="0" fontId="7" fillId="0" borderId="3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3" xfId="0" applyFont="1" applyFill="1" applyBorder="1"/>
    <xf numFmtId="10" fontId="3" fillId="5" borderId="0" xfId="0" applyNumberFormat="1" applyFont="1" applyFill="1" applyAlignment="1">
      <alignment horizontal="center"/>
    </xf>
    <xf numFmtId="10" fontId="3" fillId="5" borderId="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6" fillId="0" borderId="0" xfId="0" applyNumberFormat="1" applyFont="1" applyFill="1"/>
    <xf numFmtId="165" fontId="0" fillId="0" borderId="0" xfId="0" applyNumberFormat="1" applyFont="1" applyFill="1"/>
    <xf numFmtId="165" fontId="0" fillId="0" borderId="0" xfId="0" applyNumberFormat="1" applyFill="1"/>
    <xf numFmtId="164" fontId="1" fillId="0" borderId="0" xfId="0" applyNumberFormat="1" applyFont="1"/>
    <xf numFmtId="0" fontId="5" fillId="0" borderId="1" xfId="0" applyFont="1" applyBorder="1" applyAlignment="1">
      <alignment horizontal="left"/>
    </xf>
    <xf numFmtId="0" fontId="7" fillId="0" borderId="3" xfId="0" applyFont="1" applyBorder="1"/>
    <xf numFmtId="0" fontId="0" fillId="0" borderId="1" xfId="0" applyBorder="1"/>
    <xf numFmtId="0" fontId="4" fillId="0" borderId="0" xfId="0" applyFont="1" applyFill="1" applyBorder="1"/>
    <xf numFmtId="0" fontId="5" fillId="0" borderId="0" xfId="0" applyFont="1"/>
    <xf numFmtId="0" fontId="5" fillId="0" borderId="0" xfId="0" applyFont="1" applyBorder="1"/>
    <xf numFmtId="0" fontId="7" fillId="0" borderId="0" xfId="0" applyFont="1" applyBorder="1"/>
    <xf numFmtId="0" fontId="4" fillId="0" borderId="2" xfId="0" applyFont="1" applyFill="1" applyBorder="1" applyAlignment="1">
      <alignment horizontal="left"/>
    </xf>
    <xf numFmtId="0" fontId="5" fillId="0" borderId="2" xfId="0" applyFont="1" applyBorder="1"/>
  </cellXfs>
  <cellStyles count="28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a_Data_compil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ugivore data"/>
      <sheetName val="Plant data"/>
      <sheetName val="Metadata"/>
    </sheetNames>
    <sheetDataSet>
      <sheetData sheetId="0"/>
      <sheetData sheetId="1">
        <row r="1">
          <cell r="A1" t="str">
            <v>plant_sp</v>
          </cell>
          <cell r="B1" t="str">
            <v>plant_family</v>
          </cell>
          <cell r="C1" t="str">
            <v>SYNONIMS</v>
          </cell>
          <cell r="D1" t="str">
            <v>fru_color</v>
          </cell>
          <cell r="E1" t="str">
            <v>reported</v>
          </cell>
          <cell r="F1" t="str">
            <v>FRDIAM (mm)</v>
          </cell>
          <cell r="G1" t="str">
            <v>FRLENG (mm)</v>
          </cell>
          <cell r="H1" t="str">
            <v>SDIAM (mm)</v>
          </cell>
          <cell r="I1" t="str">
            <v>SLENG (mm)</v>
          </cell>
          <cell r="J1" t="str">
            <v>FRFM (g)</v>
          </cell>
          <cell r="K1" t="str">
            <v>PFM (g)</v>
          </cell>
          <cell r="L1" t="str">
            <v>SFM (g)</v>
          </cell>
          <cell r="M1" t="str">
            <v>PDM (g)</v>
          </cell>
          <cell r="N1" t="str">
            <v>SDM (g)</v>
          </cell>
          <cell r="O1" t="str">
            <v>SEEDS</v>
          </cell>
          <cell r="P1" t="str">
            <v>P/S(wet)</v>
          </cell>
          <cell r="Q1" t="str">
            <v>P/S(dry)</v>
          </cell>
          <cell r="R1" t="str">
            <v>SOURCE</v>
          </cell>
          <cell r="S1" t="str">
            <v>WATER</v>
          </cell>
          <cell r="T1" t="str">
            <v>LIP</v>
          </cell>
          <cell r="U1" t="str">
            <v>PRO</v>
          </cell>
          <cell r="V1" t="str">
            <v>SSUGAR</v>
          </cell>
          <cell r="W1" t="str">
            <v>INSUGAR</v>
          </cell>
          <cell r="X1" t="str">
            <v>NSC</v>
          </cell>
          <cell r="Y1" t="str">
            <v>TOTALC</v>
          </cell>
          <cell r="Z1" t="str">
            <v>ASH</v>
          </cell>
          <cell r="AA1" t="str">
            <v>FIB</v>
          </cell>
          <cell r="AB1" t="str">
            <v>SOURCE</v>
          </cell>
        </row>
        <row r="2">
          <cell r="A2" t="str">
            <v>Acnistus arborescens</v>
          </cell>
          <cell r="B2" t="str">
            <v>Solanaceae</v>
          </cell>
          <cell r="C2" t="str">
            <v>NA</v>
          </cell>
          <cell r="D2" t="str">
            <v>yellow</v>
          </cell>
          <cell r="E2" t="str">
            <v>YES</v>
          </cell>
          <cell r="F2">
            <v>6.05</v>
          </cell>
          <cell r="G2">
            <v>6.27</v>
          </cell>
          <cell r="H2" t="str">
            <v>NA</v>
          </cell>
          <cell r="I2" t="str">
            <v>NA</v>
          </cell>
          <cell r="J2">
            <v>0.15</v>
          </cell>
          <cell r="K2" t="str">
            <v>NA</v>
          </cell>
          <cell r="L2">
            <v>8.5000000000000006E-2</v>
          </cell>
          <cell r="M2" t="str">
            <v>NA</v>
          </cell>
          <cell r="N2" t="str">
            <v>NA</v>
          </cell>
          <cell r="O2">
            <v>12.7</v>
          </cell>
          <cell r="P2" t="str">
            <v>NA</v>
          </cell>
          <cell r="Q2" t="str">
            <v>NA</v>
          </cell>
          <cell r="R2" t="str">
            <v>Athie &amp; Dias 2012</v>
          </cell>
          <cell r="S2">
            <v>0.82</v>
          </cell>
          <cell r="T2">
            <v>0.04</v>
          </cell>
          <cell r="U2">
            <v>7.9000000000000001E-2</v>
          </cell>
          <cell r="V2" t="str">
            <v>NA</v>
          </cell>
          <cell r="W2" t="str">
            <v>NA</v>
          </cell>
          <cell r="X2">
            <v>0.48299999999999998</v>
          </cell>
          <cell r="Y2" t="str">
            <v>NA</v>
          </cell>
          <cell r="Z2" t="str">
            <v>NA</v>
          </cell>
          <cell r="AA2" t="str">
            <v>NA</v>
          </cell>
          <cell r="AB2" t="str">
            <v>FRUBASE (Dinerstein E. 1986)</v>
          </cell>
        </row>
        <row r="3">
          <cell r="A3" t="str">
            <v>Aegiphila integrifolia</v>
          </cell>
          <cell r="B3" t="str">
            <v>Lamiaceae</v>
          </cell>
          <cell r="C3" t="str">
            <v>NA</v>
          </cell>
          <cell r="D3" t="str">
            <v>red</v>
          </cell>
          <cell r="E3" t="str">
            <v>YES</v>
          </cell>
          <cell r="F3">
            <v>8</v>
          </cell>
          <cell r="G3">
            <v>9</v>
          </cell>
          <cell r="H3">
            <v>7</v>
          </cell>
          <cell r="I3">
            <v>8</v>
          </cell>
          <cell r="J3" t="str">
            <v>NA</v>
          </cell>
          <cell r="K3" t="str">
            <v>NA</v>
          </cell>
          <cell r="L3" t="str">
            <v>NA</v>
          </cell>
          <cell r="M3" t="str">
            <v>NA</v>
          </cell>
          <cell r="N3" t="str">
            <v>NA</v>
          </cell>
          <cell r="O3" t="str">
            <v>NA</v>
          </cell>
          <cell r="P3" t="str">
            <v>NA</v>
          </cell>
          <cell r="Q3" t="str">
            <v>NA</v>
          </cell>
          <cell r="R3" t="str">
            <v>ATLANTIC</v>
          </cell>
          <cell r="S3" t="str">
            <v>NA</v>
          </cell>
          <cell r="T3" t="str">
            <v>NA</v>
          </cell>
          <cell r="U3" t="str">
            <v>NA</v>
          </cell>
          <cell r="V3" t="str">
            <v>NA</v>
          </cell>
          <cell r="W3" t="str">
            <v>NA</v>
          </cell>
          <cell r="X3" t="str">
            <v>NA</v>
          </cell>
          <cell r="Y3" t="str">
            <v>NA</v>
          </cell>
          <cell r="Z3" t="str">
            <v>NA</v>
          </cell>
          <cell r="AA3" t="str">
            <v>NA</v>
          </cell>
          <cell r="AB3" t="str">
            <v>NA</v>
          </cell>
        </row>
        <row r="4">
          <cell r="A4" t="str">
            <v>Aegiphila sellowiana</v>
          </cell>
          <cell r="B4" t="str">
            <v>Lamiaceae</v>
          </cell>
          <cell r="C4" t="str">
            <v>NA</v>
          </cell>
          <cell r="D4" t="str">
            <v>red/orange</v>
          </cell>
          <cell r="E4" t="str">
            <v>YES</v>
          </cell>
          <cell r="F4">
            <v>5.1875</v>
          </cell>
          <cell r="G4">
            <v>9.76</v>
          </cell>
          <cell r="H4">
            <v>3.5150000000000001</v>
          </cell>
          <cell r="I4">
            <v>6.1050000000000004</v>
          </cell>
          <cell r="J4">
            <v>0.16700000000000004</v>
          </cell>
          <cell r="K4" t="str">
            <v>NA</v>
          </cell>
          <cell r="L4">
            <v>4.2200000000000001E-2</v>
          </cell>
          <cell r="M4">
            <v>9.180000000000002E-2</v>
          </cell>
          <cell r="N4">
            <v>4.2200000000000001E-2</v>
          </cell>
          <cell r="O4">
            <v>1</v>
          </cell>
          <cell r="P4" t="str">
            <v>NA</v>
          </cell>
          <cell r="Q4">
            <v>2.1753554502369674</v>
          </cell>
          <cell r="R4" t="str">
            <v>Correia 1997, Erica&amp;Wesley, Intervales_morfo, Alves 2008</v>
          </cell>
          <cell r="S4" t="str">
            <v>NA</v>
          </cell>
          <cell r="T4">
            <v>8.7008017492702774E-2</v>
          </cell>
          <cell r="U4">
            <v>7.5690999999999994E-2</v>
          </cell>
          <cell r="V4">
            <v>0.10180344715883068</v>
          </cell>
          <cell r="W4">
            <v>0.21479582528139882</v>
          </cell>
          <cell r="X4" t="str">
            <v>NA</v>
          </cell>
          <cell r="Y4" t="str">
            <v>NA</v>
          </cell>
          <cell r="Z4" t="str">
            <v>NA</v>
          </cell>
          <cell r="AA4" t="str">
            <v>NA</v>
          </cell>
          <cell r="AB4" t="str">
            <v>Erica &amp; Wesley, unpubl.</v>
          </cell>
        </row>
        <row r="5">
          <cell r="A5" t="str">
            <v>Alchornea glandulosa</v>
          </cell>
          <cell r="B5" t="str">
            <v>Euphorbiaceae</v>
          </cell>
          <cell r="C5" t="str">
            <v>NA</v>
          </cell>
          <cell r="D5" t="str">
            <v>red</v>
          </cell>
          <cell r="E5" t="str">
            <v>YES</v>
          </cell>
          <cell r="F5">
            <v>5.0250000000000004</v>
          </cell>
          <cell r="G5">
            <v>6.36</v>
          </cell>
          <cell r="H5">
            <v>4.05</v>
          </cell>
          <cell r="I5">
            <v>8</v>
          </cell>
          <cell r="J5">
            <v>0.08</v>
          </cell>
          <cell r="K5">
            <v>0.03</v>
          </cell>
          <cell r="L5" t="str">
            <v>NA</v>
          </cell>
          <cell r="M5" t="str">
            <v>NA</v>
          </cell>
          <cell r="N5" t="str">
            <v>NA</v>
          </cell>
          <cell r="O5">
            <v>1.65</v>
          </cell>
          <cell r="P5" t="str">
            <v>NA</v>
          </cell>
          <cell r="Q5" t="str">
            <v>NA</v>
          </cell>
          <cell r="R5" t="str">
            <v>ATLANTIC, Castro 2001, Intervales_morfo, Motta Jr. 1981, Pizo &amp; Oliveira 2001</v>
          </cell>
          <cell r="S5">
            <v>0.40700000000000003</v>
          </cell>
          <cell r="T5">
            <v>0.68400000000000005</v>
          </cell>
          <cell r="U5">
            <v>7.5999999999999998E-2</v>
          </cell>
          <cell r="V5" t="str">
            <v>NA</v>
          </cell>
          <cell r="W5" t="str">
            <v>NA</v>
          </cell>
          <cell r="X5" t="str">
            <v>NA</v>
          </cell>
          <cell r="Y5">
            <v>0.217</v>
          </cell>
          <cell r="Z5">
            <v>2.4E-2</v>
          </cell>
          <cell r="AA5" t="str">
            <v>NA</v>
          </cell>
          <cell r="AB5" t="str">
            <v>Pizo &amp; Oliveira 2001, Motta Jr. 1981</v>
          </cell>
        </row>
        <row r="6">
          <cell r="A6" t="str">
            <v>Alchornea sidifolia</v>
          </cell>
          <cell r="B6" t="str">
            <v>Euphorbiaceae</v>
          </cell>
          <cell r="C6" t="str">
            <v>NA</v>
          </cell>
          <cell r="D6" t="str">
            <v>red</v>
          </cell>
          <cell r="E6" t="str">
            <v>YES</v>
          </cell>
          <cell r="F6">
            <v>5</v>
          </cell>
          <cell r="G6">
            <v>10</v>
          </cell>
          <cell r="H6">
            <v>4</v>
          </cell>
          <cell r="I6">
            <v>6</v>
          </cell>
          <cell r="J6" t="str">
            <v>NA</v>
          </cell>
          <cell r="K6" t="str">
            <v>NA</v>
          </cell>
          <cell r="L6" t="str">
            <v>NA</v>
          </cell>
          <cell r="M6" t="str">
            <v>NA</v>
          </cell>
          <cell r="N6" t="str">
            <v>NA</v>
          </cell>
          <cell r="O6" t="str">
            <v>NA</v>
          </cell>
          <cell r="P6" t="str">
            <v>NA</v>
          </cell>
          <cell r="Q6" t="str">
            <v>NA</v>
          </cell>
          <cell r="R6" t="str">
            <v>ATLANTIC</v>
          </cell>
          <cell r="S6" t="str">
            <v>NA</v>
          </cell>
          <cell r="T6" t="str">
            <v>NA</v>
          </cell>
          <cell r="U6" t="str">
            <v>NA</v>
          </cell>
          <cell r="V6" t="str">
            <v>NA</v>
          </cell>
          <cell r="W6" t="str">
            <v>NA</v>
          </cell>
          <cell r="X6" t="str">
            <v>NA</v>
          </cell>
          <cell r="Y6" t="str">
            <v>NA</v>
          </cell>
          <cell r="Z6" t="str">
            <v>NA</v>
          </cell>
          <cell r="AA6" t="str">
            <v>NA</v>
          </cell>
          <cell r="AB6" t="str">
            <v>NA</v>
          </cell>
        </row>
        <row r="7">
          <cell r="A7" t="str">
            <v>Alchornea triplinervia</v>
          </cell>
          <cell r="B7" t="str">
            <v>Euphorbiaceae</v>
          </cell>
          <cell r="C7" t="str">
            <v>NA</v>
          </cell>
          <cell r="D7" t="str">
            <v>red</v>
          </cell>
          <cell r="E7" t="str">
            <v>YES</v>
          </cell>
          <cell r="F7">
            <v>6.257142857142858</v>
          </cell>
          <cell r="G7">
            <v>7.0042857142857144</v>
          </cell>
          <cell r="H7">
            <v>4.4119999999999999</v>
          </cell>
          <cell r="I7">
            <v>5.2700000000000005</v>
          </cell>
          <cell r="J7">
            <v>0.25</v>
          </cell>
          <cell r="K7" t="str">
            <v>NA</v>
          </cell>
          <cell r="L7">
            <v>6.9550000000000001E-2</v>
          </cell>
          <cell r="M7" t="str">
            <v>NA</v>
          </cell>
          <cell r="N7">
            <v>2</v>
          </cell>
          <cell r="O7">
            <v>1.6666666666666667</v>
          </cell>
          <cell r="P7" t="str">
            <v>NA</v>
          </cell>
          <cell r="Q7" t="str">
            <v>NA</v>
          </cell>
          <cell r="R7" t="str">
            <v>ATLANTIC, Erica&amp;Wesley, Intervales_morfo, Mikich 2002, Passos &amp; Oliveira 2003, Correia 1997, Faustino 2004</v>
          </cell>
          <cell r="S7">
            <v>0.433</v>
          </cell>
          <cell r="T7">
            <v>0.67072503840246056</v>
          </cell>
          <cell r="U7">
            <v>7.7989499999999989E-2</v>
          </cell>
          <cell r="V7">
            <v>1.4905612061493325E-2</v>
          </cell>
          <cell r="W7">
            <v>6.5201378207114441E-2</v>
          </cell>
          <cell r="X7" t="str">
            <v>NA</v>
          </cell>
          <cell r="Y7">
            <v>0.217</v>
          </cell>
          <cell r="Z7">
            <v>2.4E-2</v>
          </cell>
          <cell r="AA7" t="str">
            <v>NA</v>
          </cell>
          <cell r="AB7" t="str">
            <v>Erica &amp; Wesley, unpubl., Saibadela</v>
          </cell>
        </row>
        <row r="8">
          <cell r="A8" t="str">
            <v>Amaioua guianensis</v>
          </cell>
          <cell r="B8" t="str">
            <v>Rubiaceae</v>
          </cell>
          <cell r="C8" t="str">
            <v>NA</v>
          </cell>
          <cell r="D8" t="str">
            <v>red</v>
          </cell>
          <cell r="E8" t="str">
            <v>YES</v>
          </cell>
          <cell r="F8">
            <v>10.343999999999999</v>
          </cell>
          <cell r="G8">
            <v>16.733999999999998</v>
          </cell>
          <cell r="H8">
            <v>3.4866666666666668</v>
          </cell>
          <cell r="I8">
            <v>4.1099999999999994</v>
          </cell>
          <cell r="J8">
            <v>0.93</v>
          </cell>
          <cell r="K8" t="str">
            <v>NA</v>
          </cell>
          <cell r="L8">
            <v>0.01</v>
          </cell>
          <cell r="M8" t="str">
            <v>NA</v>
          </cell>
          <cell r="N8" t="str">
            <v>NA</v>
          </cell>
          <cell r="O8">
            <v>19.133333333333336</v>
          </cell>
          <cell r="P8">
            <v>4.22</v>
          </cell>
          <cell r="Q8" t="str">
            <v>NA</v>
          </cell>
          <cell r="R8" t="str">
            <v>ATLANTIC, FRUBASE, Motta Jr. 1981, Camargo 2014, Gondim 2002</v>
          </cell>
          <cell r="S8">
            <v>0.69599999999999995</v>
          </cell>
          <cell r="T8">
            <v>0.2</v>
          </cell>
          <cell r="U8" t="str">
            <v>NA</v>
          </cell>
          <cell r="V8" t="str">
            <v>NA</v>
          </cell>
          <cell r="W8" t="str">
            <v>NA</v>
          </cell>
          <cell r="X8" t="str">
            <v>NA</v>
          </cell>
          <cell r="Y8" t="str">
            <v>NA</v>
          </cell>
          <cell r="Z8" t="str">
            <v>NA</v>
          </cell>
          <cell r="AA8" t="str">
            <v>NA</v>
          </cell>
          <cell r="AB8" t="str">
            <v>Motta Jr. 1981</v>
          </cell>
        </row>
        <row r="9">
          <cell r="A9" t="str">
            <v>Anacardium occidentale</v>
          </cell>
          <cell r="B9" t="str">
            <v>Anacardiaceae</v>
          </cell>
          <cell r="C9" t="str">
            <v>NA</v>
          </cell>
          <cell r="D9" t="str">
            <v>yellow</v>
          </cell>
          <cell r="E9" t="str">
            <v>YES</v>
          </cell>
          <cell r="F9" t="str">
            <v>NA</v>
          </cell>
          <cell r="G9" t="str">
            <v>NA</v>
          </cell>
          <cell r="H9" t="str">
            <v>NA</v>
          </cell>
          <cell r="I9" t="str">
            <v>NA</v>
          </cell>
          <cell r="J9" t="str">
            <v>NA</v>
          </cell>
          <cell r="K9" t="str">
            <v>NA</v>
          </cell>
          <cell r="L9" t="str">
            <v>NA</v>
          </cell>
          <cell r="M9" t="str">
            <v>NA</v>
          </cell>
          <cell r="N9" t="str">
            <v>NA</v>
          </cell>
          <cell r="O9" t="str">
            <v>NA</v>
          </cell>
          <cell r="P9" t="str">
            <v>NA</v>
          </cell>
          <cell r="Q9" t="str">
            <v>NA</v>
          </cell>
          <cell r="R9" t="str">
            <v>NA</v>
          </cell>
          <cell r="S9" t="str">
            <v>NA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  <cell r="X9" t="str">
            <v>NA</v>
          </cell>
          <cell r="Y9" t="str">
            <v>NA</v>
          </cell>
          <cell r="Z9" t="str">
            <v>NA</v>
          </cell>
          <cell r="AA9" t="str">
            <v>NA</v>
          </cell>
          <cell r="AB9" t="str">
            <v>NA</v>
          </cell>
        </row>
        <row r="10">
          <cell r="A10" t="str">
            <v>Archontophoenix cunninghamiana</v>
          </cell>
          <cell r="B10" t="str">
            <v>Arecaceae</v>
          </cell>
          <cell r="C10" t="str">
            <v>NA</v>
          </cell>
          <cell r="D10" t="str">
            <v>red</v>
          </cell>
          <cell r="E10" t="str">
            <v>YES</v>
          </cell>
          <cell r="F10">
            <v>9.8000000000000007</v>
          </cell>
          <cell r="G10">
            <v>12.6</v>
          </cell>
          <cell r="H10">
            <v>8.26</v>
          </cell>
          <cell r="I10">
            <v>11.274999999999999</v>
          </cell>
          <cell r="J10">
            <v>0.9</v>
          </cell>
          <cell r="K10" t="str">
            <v>NA</v>
          </cell>
          <cell r="L10">
            <v>0.7</v>
          </cell>
          <cell r="M10" t="str">
            <v>NA</v>
          </cell>
          <cell r="N10" t="str">
            <v>NA</v>
          </cell>
          <cell r="O10">
            <v>1</v>
          </cell>
          <cell r="P10" t="str">
            <v>NA</v>
          </cell>
          <cell r="Q10" t="str">
            <v>NA</v>
          </cell>
          <cell r="R10" t="str">
            <v>Castro &amp; Galetti 2004, ATLANTIC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  <cell r="X10" t="str">
            <v>NA</v>
          </cell>
          <cell r="Y10" t="str">
            <v>NA</v>
          </cell>
          <cell r="Z10" t="str">
            <v>NA</v>
          </cell>
          <cell r="AA10" t="str">
            <v>NA</v>
          </cell>
          <cell r="AB10" t="str">
            <v>NA</v>
          </cell>
        </row>
        <row r="11">
          <cell r="A11" t="str">
            <v>Byrsonima sericea</v>
          </cell>
          <cell r="B11" t="str">
            <v>Malpighiaceae</v>
          </cell>
          <cell r="C11" t="str">
            <v>NA</v>
          </cell>
          <cell r="D11" t="str">
            <v>red</v>
          </cell>
          <cell r="E11" t="str">
            <v>YES</v>
          </cell>
          <cell r="F11">
            <v>7.42</v>
          </cell>
          <cell r="G11">
            <v>7.7</v>
          </cell>
          <cell r="H11">
            <v>5</v>
          </cell>
          <cell r="I11">
            <v>6</v>
          </cell>
          <cell r="J11">
            <v>0.54</v>
          </cell>
          <cell r="K11" t="str">
            <v>NA</v>
          </cell>
          <cell r="L11" t="str">
            <v>NA</v>
          </cell>
          <cell r="M11" t="str">
            <v>NA</v>
          </cell>
          <cell r="N11" t="str">
            <v>NA</v>
          </cell>
          <cell r="O11">
            <v>1</v>
          </cell>
          <cell r="P11" t="str">
            <v>NA</v>
          </cell>
          <cell r="Q11" t="str">
            <v>NA</v>
          </cell>
          <cell r="R11" t="str">
            <v>ATLANTIC, Santana et al. 2013</v>
          </cell>
          <cell r="S11">
            <v>0.77180000000000004</v>
          </cell>
          <cell r="T11">
            <v>0.21864999999999998</v>
          </cell>
          <cell r="U11">
            <v>4.7850000000000004E-2</v>
          </cell>
          <cell r="V11">
            <v>4.7500000000000001E-2</v>
          </cell>
          <cell r="W11" t="str">
            <v>NA</v>
          </cell>
          <cell r="X11" t="str">
            <v>NA</v>
          </cell>
          <cell r="Y11" t="str">
            <v>NA</v>
          </cell>
          <cell r="Z11" t="str">
            <v>NA</v>
          </cell>
          <cell r="AA11" t="str">
            <v>NA</v>
          </cell>
          <cell r="AB11" t="str">
            <v>Gomes et al. 2010, Santana et al. 2013</v>
          </cell>
        </row>
        <row r="12">
          <cell r="A12" t="str">
            <v>Cabralea canjerana</v>
          </cell>
          <cell r="B12" t="str">
            <v>Meliaceae</v>
          </cell>
          <cell r="C12" t="str">
            <v>NA</v>
          </cell>
          <cell r="D12" t="str">
            <v>red</v>
          </cell>
          <cell r="E12" t="str">
            <v>YES</v>
          </cell>
          <cell r="F12">
            <v>9.7337500000000006</v>
          </cell>
          <cell r="G12">
            <v>17.306249999999999</v>
          </cell>
          <cell r="H12">
            <v>7.2966666666666669</v>
          </cell>
          <cell r="I12">
            <v>9.4324999999999992</v>
          </cell>
          <cell r="J12">
            <v>0.93490624999999994</v>
          </cell>
          <cell r="K12">
            <v>0.39499999999999996</v>
          </cell>
          <cell r="L12">
            <v>0.139125</v>
          </cell>
          <cell r="M12">
            <v>0.51612499999999994</v>
          </cell>
          <cell r="N12">
            <v>0.40368749999999998</v>
          </cell>
          <cell r="O12">
            <v>3.0575000000000001</v>
          </cell>
          <cell r="P12" t="str">
            <v>NA</v>
          </cell>
          <cell r="Q12">
            <v>1.7440896870929297</v>
          </cell>
          <cell r="R12" t="str">
            <v>Cazetta 2007, Erica&amp;Wesley, Motta Jr. 1981, Pizo &amp; Oliveira 2001</v>
          </cell>
          <cell r="S12">
            <v>0.40903333333333336</v>
          </cell>
          <cell r="T12">
            <v>0.71116666666666661</v>
          </cell>
          <cell r="U12">
            <v>8.8350000000000012E-2</v>
          </cell>
          <cell r="V12">
            <v>1.1599999999999999E-2</v>
          </cell>
          <cell r="W12" t="str">
            <v>NA</v>
          </cell>
          <cell r="X12" t="str">
            <v>NA</v>
          </cell>
          <cell r="Y12">
            <v>0.16500000000000001</v>
          </cell>
          <cell r="Z12">
            <v>2.3E-2</v>
          </cell>
          <cell r="AA12" t="str">
            <v>NA</v>
          </cell>
          <cell r="AB12" t="str">
            <v>Cazetta 2007, Erica &amp; Wesley unpubl., Pizo &amp; Oliveira 2001, Motta Jr. 1981</v>
          </cell>
        </row>
        <row r="13">
          <cell r="A13" t="str">
            <v>Casearia sylvestris</v>
          </cell>
          <cell r="B13" t="str">
            <v>Salicaceae</v>
          </cell>
          <cell r="C13" t="str">
            <v>NA</v>
          </cell>
          <cell r="D13" t="str">
            <v>red</v>
          </cell>
          <cell r="E13" t="str">
            <v>YES</v>
          </cell>
          <cell r="F13">
            <v>5</v>
          </cell>
          <cell r="G13">
            <v>4.5</v>
          </cell>
          <cell r="H13">
            <v>1.335</v>
          </cell>
          <cell r="I13">
            <v>2.1349999999999998</v>
          </cell>
          <cell r="J13">
            <v>0.02</v>
          </cell>
          <cell r="K13" t="str">
            <v>NA</v>
          </cell>
          <cell r="L13">
            <v>3.3E-3</v>
          </cell>
          <cell r="M13" t="str">
            <v>NA</v>
          </cell>
          <cell r="N13" t="str">
            <v>NA</v>
          </cell>
          <cell r="O13">
            <v>4</v>
          </cell>
          <cell r="P13" t="str">
            <v>NA</v>
          </cell>
          <cell r="Q13" t="str">
            <v>NA</v>
          </cell>
          <cell r="R13" t="str">
            <v>ATLANTIC, Erica&amp;Wesley, Athie &amp; Dias 2012</v>
          </cell>
          <cell r="S13" t="str">
            <v>NA</v>
          </cell>
          <cell r="T13" t="str">
            <v>NA</v>
          </cell>
          <cell r="U13" t="str">
            <v>NA</v>
          </cell>
          <cell r="V13" t="str">
            <v>NA</v>
          </cell>
          <cell r="W13" t="str">
            <v>NA</v>
          </cell>
          <cell r="X13" t="str">
            <v>NA</v>
          </cell>
          <cell r="Y13" t="str">
            <v>NA</v>
          </cell>
          <cell r="Z13" t="str">
            <v>NA</v>
          </cell>
          <cell r="AA13" t="str">
            <v>NA</v>
          </cell>
          <cell r="AB13" t="str">
            <v>NA</v>
          </cell>
        </row>
        <row r="14">
          <cell r="A14" t="str">
            <v>Cecropia glaziovii</v>
          </cell>
          <cell r="B14" t="str">
            <v>Urticaceae</v>
          </cell>
          <cell r="C14" t="str">
            <v>NA</v>
          </cell>
          <cell r="D14" t="str">
            <v>green</v>
          </cell>
          <cell r="E14" t="str">
            <v>YES</v>
          </cell>
          <cell r="F14">
            <v>11.2</v>
          </cell>
          <cell r="G14">
            <v>147.6</v>
          </cell>
          <cell r="H14">
            <v>1.37</v>
          </cell>
          <cell r="I14">
            <v>2.4</v>
          </cell>
          <cell r="J14">
            <v>14.87</v>
          </cell>
          <cell r="K14" t="str">
            <v>NA</v>
          </cell>
          <cell r="L14">
            <v>1.0000000000000002E-3</v>
          </cell>
          <cell r="M14" t="str">
            <v>NA</v>
          </cell>
          <cell r="N14" t="str">
            <v>NA</v>
          </cell>
          <cell r="O14">
            <v>2964</v>
          </cell>
          <cell r="P14" t="str">
            <v>NA</v>
          </cell>
          <cell r="Q14" t="str">
            <v>NA</v>
          </cell>
          <cell r="R14" t="str">
            <v>Erica&amp;Wesley</v>
          </cell>
          <cell r="S14" t="str">
            <v>NA</v>
          </cell>
          <cell r="T14">
            <v>3.7072243346005632E-2</v>
          </cell>
          <cell r="U14">
            <v>0.12086333333333334</v>
          </cell>
          <cell r="V14">
            <v>7.6045627376425846E-3</v>
          </cell>
          <cell r="W14">
            <v>7.6846874408169827E-2</v>
          </cell>
          <cell r="X14" t="str">
            <v>NA</v>
          </cell>
          <cell r="Y14" t="str">
            <v>NA</v>
          </cell>
          <cell r="Z14" t="str">
            <v>NA</v>
          </cell>
          <cell r="AA14" t="str">
            <v>NA</v>
          </cell>
          <cell r="AB14" t="str">
            <v>Erica &amp; Wesley</v>
          </cell>
        </row>
        <row r="15">
          <cell r="A15" t="str">
            <v>Cecropia pachystachya</v>
          </cell>
          <cell r="B15" t="str">
            <v>Urticaceae</v>
          </cell>
          <cell r="C15" t="str">
            <v>NA</v>
          </cell>
          <cell r="D15" t="str">
            <v>green</v>
          </cell>
          <cell r="E15" t="str">
            <v>YES</v>
          </cell>
          <cell r="F15">
            <v>13.65</v>
          </cell>
          <cell r="G15">
            <v>159.32</v>
          </cell>
          <cell r="H15">
            <v>0.96200000000000008</v>
          </cell>
          <cell r="I15">
            <v>2.2850000000000001</v>
          </cell>
          <cell r="J15">
            <v>10.4</v>
          </cell>
          <cell r="K15" t="str">
            <v>NA</v>
          </cell>
          <cell r="L15" t="str">
            <v>NA</v>
          </cell>
          <cell r="M15">
            <v>0.8</v>
          </cell>
          <cell r="N15" t="str">
            <v>NA</v>
          </cell>
          <cell r="O15">
            <v>4137</v>
          </cell>
          <cell r="P15" t="str">
            <v>NA</v>
          </cell>
          <cell r="Q15" t="str">
            <v>NA</v>
          </cell>
          <cell r="R15" t="str">
            <v>Souza 2004, Motta Jr. 1981, ATLANTIC, Castro 2001, Fábio Jacomassa, unpubl., Intervales_morfo, Mikich 2002</v>
          </cell>
          <cell r="S15">
            <v>0.63100000000000001</v>
          </cell>
          <cell r="T15">
            <v>3.9E-2</v>
          </cell>
          <cell r="U15">
            <v>0.11699999999999999</v>
          </cell>
          <cell r="V15" t="str">
            <v>NA</v>
          </cell>
          <cell r="W15" t="str">
            <v>NA</v>
          </cell>
          <cell r="X15" t="str">
            <v>NA</v>
          </cell>
          <cell r="Y15">
            <v>0.77599999999999991</v>
          </cell>
          <cell r="Z15">
            <v>6.3E-2</v>
          </cell>
          <cell r="AA15" t="str">
            <v>NA</v>
          </cell>
          <cell r="AB15" t="str">
            <v>Saibadela,Motta Jr. 1981</v>
          </cell>
        </row>
        <row r="16">
          <cell r="A16" t="str">
            <v>Chamissoa altissima</v>
          </cell>
          <cell r="B16" t="str">
            <v>Amaranthaceae</v>
          </cell>
          <cell r="C16" t="str">
            <v>NA</v>
          </cell>
          <cell r="D16" t="str">
            <v>white</v>
          </cell>
          <cell r="E16" t="str">
            <v>YES</v>
          </cell>
          <cell r="F16" t="str">
            <v>NA</v>
          </cell>
          <cell r="G16" t="str">
            <v>NA</v>
          </cell>
          <cell r="H16" t="str">
            <v>NA</v>
          </cell>
          <cell r="I16" t="str">
            <v>NA</v>
          </cell>
          <cell r="J16" t="str">
            <v>NA</v>
          </cell>
          <cell r="K16" t="str">
            <v>NA</v>
          </cell>
          <cell r="L16" t="str">
            <v>NA</v>
          </cell>
          <cell r="M16" t="str">
            <v>NA</v>
          </cell>
          <cell r="N16" t="str">
            <v>NA</v>
          </cell>
          <cell r="O16" t="str">
            <v>NA</v>
          </cell>
          <cell r="P16" t="str">
            <v>NA</v>
          </cell>
          <cell r="Q16" t="str">
            <v>NA</v>
          </cell>
          <cell r="R16" t="str">
            <v>NA</v>
          </cell>
          <cell r="S16" t="str">
            <v>NA</v>
          </cell>
          <cell r="T16" t="str">
            <v>NA</v>
          </cell>
          <cell r="U16" t="str">
            <v>NA</v>
          </cell>
          <cell r="V16" t="str">
            <v>NA</v>
          </cell>
          <cell r="W16" t="str">
            <v>NA</v>
          </cell>
          <cell r="X16" t="str">
            <v>NA</v>
          </cell>
          <cell r="Y16" t="str">
            <v>NA</v>
          </cell>
          <cell r="Z16" t="str">
            <v>NA</v>
          </cell>
          <cell r="AA16" t="str">
            <v>NA</v>
          </cell>
          <cell r="AB16" t="str">
            <v>NA</v>
          </cell>
        </row>
        <row r="17">
          <cell r="A17" t="str">
            <v>Chrysophyllum flexuosum</v>
          </cell>
          <cell r="B17" t="str">
            <v>Sapotaceae</v>
          </cell>
          <cell r="C17" t="str">
            <v>NA</v>
          </cell>
          <cell r="D17" t="str">
            <v>orange</v>
          </cell>
          <cell r="E17" t="str">
            <v>YES</v>
          </cell>
          <cell r="F17">
            <v>10</v>
          </cell>
          <cell r="G17">
            <v>28</v>
          </cell>
          <cell r="H17">
            <v>7</v>
          </cell>
          <cell r="I17">
            <v>19</v>
          </cell>
          <cell r="J17" t="str">
            <v>NA</v>
          </cell>
          <cell r="K17" t="str">
            <v>NA</v>
          </cell>
          <cell r="L17" t="str">
            <v>NA</v>
          </cell>
          <cell r="M17" t="str">
            <v>NA</v>
          </cell>
          <cell r="N17" t="str">
            <v>NA</v>
          </cell>
          <cell r="O17" t="str">
            <v>NA</v>
          </cell>
          <cell r="P17" t="str">
            <v>NA</v>
          </cell>
          <cell r="Q17" t="str">
            <v>NA</v>
          </cell>
          <cell r="R17" t="str">
            <v>ATLANTIC</v>
          </cell>
          <cell r="S17" t="str">
            <v>NA</v>
          </cell>
          <cell r="T17" t="str">
            <v>NA</v>
          </cell>
          <cell r="U17" t="str">
            <v>NA</v>
          </cell>
          <cell r="V17" t="str">
            <v>NA</v>
          </cell>
          <cell r="W17" t="str">
            <v>NA</v>
          </cell>
          <cell r="X17" t="str">
            <v>NA</v>
          </cell>
          <cell r="Y17" t="str">
            <v>NA</v>
          </cell>
          <cell r="Z17" t="str">
            <v>NA</v>
          </cell>
          <cell r="AA17" t="str">
            <v>NA</v>
          </cell>
          <cell r="AB17" t="str">
            <v>NA</v>
          </cell>
        </row>
        <row r="18">
          <cell r="A18" t="str">
            <v>Cinnamodendron dinisii</v>
          </cell>
          <cell r="B18" t="str">
            <v>Canellaceae</v>
          </cell>
          <cell r="C18" t="str">
            <v>NA</v>
          </cell>
          <cell r="D18" t="str">
            <v>orange</v>
          </cell>
          <cell r="E18" t="str">
            <v>YES</v>
          </cell>
          <cell r="F18">
            <v>10.5</v>
          </cell>
          <cell r="G18">
            <v>14</v>
          </cell>
          <cell r="H18">
            <v>8</v>
          </cell>
          <cell r="I18">
            <v>8.5</v>
          </cell>
          <cell r="J18">
            <v>2.2999999999999998</v>
          </cell>
          <cell r="K18" t="str">
            <v>NA</v>
          </cell>
          <cell r="L18">
            <v>0.5</v>
          </cell>
          <cell r="M18" t="str">
            <v>NA</v>
          </cell>
          <cell r="N18" t="str">
            <v>NA</v>
          </cell>
          <cell r="O18">
            <v>2</v>
          </cell>
          <cell r="P18" t="str">
            <v>NA</v>
          </cell>
          <cell r="Q18" t="str">
            <v>NA</v>
          </cell>
          <cell r="R18" t="str">
            <v>ATLANTIC, Intervales_morfo</v>
          </cell>
          <cell r="S18">
            <v>0.752</v>
          </cell>
          <cell r="T18">
            <v>0.155</v>
          </cell>
          <cell r="U18">
            <v>9.3000000000000013E-2</v>
          </cell>
          <cell r="V18" t="str">
            <v>NA</v>
          </cell>
          <cell r="W18" t="str">
            <v>NA</v>
          </cell>
          <cell r="X18" t="str">
            <v>NA</v>
          </cell>
          <cell r="Y18">
            <v>0.70299999999999996</v>
          </cell>
          <cell r="Z18">
            <v>4.8000000000000001E-2</v>
          </cell>
          <cell r="AA18" t="str">
            <v>NA</v>
          </cell>
          <cell r="AB18" t="str">
            <v>Saibadela</v>
          </cell>
        </row>
        <row r="19">
          <cell r="A19" t="str">
            <v>Cissus selloana</v>
          </cell>
          <cell r="B19" t="str">
            <v>Vitaceae</v>
          </cell>
          <cell r="C19" t="str">
            <v>NA</v>
          </cell>
          <cell r="D19" t="str">
            <v>red</v>
          </cell>
          <cell r="E19" t="str">
            <v>YES</v>
          </cell>
          <cell r="F19" t="str">
            <v>NA</v>
          </cell>
          <cell r="G19" t="str">
            <v>NA</v>
          </cell>
          <cell r="H19" t="str">
            <v>NA</v>
          </cell>
          <cell r="I19" t="str">
            <v>NA</v>
          </cell>
          <cell r="J19" t="str">
            <v>NA</v>
          </cell>
          <cell r="K19" t="str">
            <v>NA</v>
          </cell>
          <cell r="L19" t="str">
            <v>NA</v>
          </cell>
          <cell r="M19" t="str">
            <v>NA</v>
          </cell>
          <cell r="N19" t="str">
            <v>NA</v>
          </cell>
          <cell r="O19" t="str">
            <v>NA</v>
          </cell>
          <cell r="P19" t="str">
            <v>NA</v>
          </cell>
          <cell r="Q19" t="str">
            <v>NA</v>
          </cell>
          <cell r="R19" t="str">
            <v>NA</v>
          </cell>
          <cell r="S19" t="str">
            <v>NA</v>
          </cell>
          <cell r="T19" t="str">
            <v>NA</v>
          </cell>
          <cell r="U19" t="str">
            <v>NA</v>
          </cell>
          <cell r="V19" t="str">
            <v>NA</v>
          </cell>
          <cell r="W19" t="str">
            <v>NA</v>
          </cell>
          <cell r="X19" t="str">
            <v>NA</v>
          </cell>
          <cell r="Y19" t="str">
            <v>NA</v>
          </cell>
          <cell r="Z19" t="str">
            <v>NA</v>
          </cell>
          <cell r="AA19" t="str">
            <v>NA</v>
          </cell>
          <cell r="AB19" t="str">
            <v>NA</v>
          </cell>
        </row>
        <row r="20">
          <cell r="A20" t="str">
            <v>Citharexylum myrianthum</v>
          </cell>
          <cell r="B20" t="str">
            <v>Verbenaceae</v>
          </cell>
          <cell r="C20" t="str">
            <v>Cytharexylum myrianthum</v>
          </cell>
          <cell r="D20" t="str">
            <v>red</v>
          </cell>
          <cell r="E20" t="str">
            <v>YES</v>
          </cell>
          <cell r="F20">
            <v>10.700000000000001</v>
          </cell>
          <cell r="G20">
            <v>12.3</v>
          </cell>
          <cell r="H20">
            <v>3.5</v>
          </cell>
          <cell r="I20">
            <v>9.5</v>
          </cell>
          <cell r="J20">
            <v>1.5999999999999999</v>
          </cell>
          <cell r="K20">
            <v>0.7</v>
          </cell>
          <cell r="L20">
            <v>1.05</v>
          </cell>
          <cell r="M20" t="str">
            <v>NA</v>
          </cell>
          <cell r="N20" t="str">
            <v>NA</v>
          </cell>
          <cell r="O20">
            <v>2</v>
          </cell>
          <cell r="P20" t="str">
            <v>NA</v>
          </cell>
          <cell r="Q20" t="str">
            <v>NA</v>
          </cell>
          <cell r="R20" t="str">
            <v>Intervales_morfo, Castro &amp; Galetti 2004, Correia 1997, Alves 2008</v>
          </cell>
          <cell r="S20">
            <v>0.81400000000000006</v>
          </cell>
          <cell r="T20">
            <v>6.3E-2</v>
          </cell>
          <cell r="U20">
            <v>6.8000000000000005E-2</v>
          </cell>
          <cell r="V20" t="str">
            <v>NA</v>
          </cell>
          <cell r="W20" t="str">
            <v>NA</v>
          </cell>
          <cell r="X20" t="str">
            <v>NA</v>
          </cell>
          <cell r="Y20">
            <v>0.82700000000000007</v>
          </cell>
          <cell r="Z20">
            <v>4.0999999999999995E-2</v>
          </cell>
          <cell r="AA20" t="str">
            <v>NA</v>
          </cell>
          <cell r="AB20" t="str">
            <v>Saibadela</v>
          </cell>
        </row>
        <row r="21">
          <cell r="A21" t="str">
            <v>Clusia criuva</v>
          </cell>
          <cell r="B21" t="str">
            <v>Clusiaceae</v>
          </cell>
          <cell r="C21" t="str">
            <v>NA</v>
          </cell>
          <cell r="D21" t="str">
            <v>red</v>
          </cell>
          <cell r="E21" t="str">
            <v>YES</v>
          </cell>
          <cell r="F21">
            <v>5.4749999999999996</v>
          </cell>
          <cell r="G21">
            <v>9.8425000000000011</v>
          </cell>
          <cell r="H21">
            <v>1.6966666666666665</v>
          </cell>
          <cell r="I21">
            <v>4</v>
          </cell>
          <cell r="J21">
            <v>0.25719999999999998</v>
          </cell>
          <cell r="K21">
            <v>0.33</v>
          </cell>
          <cell r="L21">
            <v>5.1000000000000004E-3</v>
          </cell>
          <cell r="M21">
            <v>5.1799999999999999E-2</v>
          </cell>
          <cell r="N21">
            <v>0.14899999999999999</v>
          </cell>
          <cell r="O21">
            <v>19.933333333333334</v>
          </cell>
          <cell r="P21">
            <v>1.1100000000000001</v>
          </cell>
          <cell r="Q21">
            <v>0.57416666666666671</v>
          </cell>
          <cell r="R21" t="str">
            <v>ATLANTIC, Cazetta 2007, Erica&amp;Wesley, Passos &amp; Oliveira 2003, Alves 2008</v>
          </cell>
          <cell r="S21" t="str">
            <v>NA</v>
          </cell>
          <cell r="T21">
            <v>0.74609772374074845</v>
          </cell>
          <cell r="U21">
            <v>5.5761000000000005E-2</v>
          </cell>
          <cell r="V21">
            <v>1.7926766066134539E-2</v>
          </cell>
          <cell r="W21">
            <v>3.0705513460981874E-2</v>
          </cell>
          <cell r="X21" t="str">
            <v>NA</v>
          </cell>
          <cell r="Y21">
            <v>9.1700000000000004E-2</v>
          </cell>
          <cell r="Z21">
            <v>9.7000000000000003E-3</v>
          </cell>
          <cell r="AA21" t="str">
            <v>NA</v>
          </cell>
          <cell r="AB21" t="str">
            <v>Erica &amp; Wesley, unpubl., Passos 2001</v>
          </cell>
        </row>
        <row r="22">
          <cell r="A22" t="str">
            <v>Copaifera langsdorffii</v>
          </cell>
          <cell r="B22" t="str">
            <v>Fabaceae</v>
          </cell>
          <cell r="C22" t="str">
            <v>NA</v>
          </cell>
          <cell r="D22" t="str">
            <v>multicolor</v>
          </cell>
          <cell r="E22" t="str">
            <v>YES</v>
          </cell>
          <cell r="F22">
            <v>15.360000000000001</v>
          </cell>
          <cell r="G22">
            <v>21.445</v>
          </cell>
          <cell r="H22">
            <v>9.8633333333333333</v>
          </cell>
          <cell r="I22">
            <v>13.736666666666666</v>
          </cell>
          <cell r="J22">
            <v>0.98</v>
          </cell>
          <cell r="K22" t="str">
            <v>NA</v>
          </cell>
          <cell r="L22">
            <v>0.70500000000000007</v>
          </cell>
          <cell r="M22" t="str">
            <v>NA</v>
          </cell>
          <cell r="N22" t="str">
            <v>NA</v>
          </cell>
          <cell r="O22">
            <v>1.0433333333333332</v>
          </cell>
          <cell r="P22" t="str">
            <v>NA</v>
          </cell>
          <cell r="Q22" t="str">
            <v>NA</v>
          </cell>
          <cell r="R22" t="str">
            <v>ATLANTIC, Intervales_morfo, Camargo 2014, Gondim 2002</v>
          </cell>
          <cell r="S22">
            <v>0.752</v>
          </cell>
          <cell r="T22">
            <v>0.155</v>
          </cell>
          <cell r="U22">
            <v>9.3000000000000013E-2</v>
          </cell>
          <cell r="V22" t="str">
            <v>NA</v>
          </cell>
          <cell r="W22" t="str">
            <v>NA</v>
          </cell>
          <cell r="X22" t="str">
            <v>NA</v>
          </cell>
          <cell r="Y22">
            <v>0.70299999999999996</v>
          </cell>
          <cell r="Z22">
            <v>4.8000000000000001E-2</v>
          </cell>
          <cell r="AA22" t="str">
            <v>NA</v>
          </cell>
          <cell r="AB22" t="str">
            <v>Saibadela</v>
          </cell>
        </row>
        <row r="23">
          <cell r="A23" t="str">
            <v>Cordia curassavica</v>
          </cell>
          <cell r="B23" t="str">
            <v>Boraginaceae</v>
          </cell>
          <cell r="C23" t="str">
            <v>Varronia curassavica, Cordia verbenacea</v>
          </cell>
          <cell r="D23" t="str">
            <v>red</v>
          </cell>
          <cell r="E23" t="str">
            <v>YES</v>
          </cell>
          <cell r="F23">
            <v>6.5750000000000002</v>
          </cell>
          <cell r="G23">
            <v>5.92</v>
          </cell>
          <cell r="H23">
            <v>2.855</v>
          </cell>
          <cell r="I23">
            <v>3.8850000000000002</v>
          </cell>
          <cell r="J23">
            <v>0.13450000000000001</v>
          </cell>
          <cell r="K23">
            <v>0.16</v>
          </cell>
          <cell r="L23" t="str">
            <v>NA</v>
          </cell>
          <cell r="M23">
            <v>0.02</v>
          </cell>
          <cell r="N23">
            <v>0.02</v>
          </cell>
          <cell r="O23">
            <v>1</v>
          </cell>
          <cell r="P23" t="str">
            <v>NA</v>
          </cell>
          <cell r="Q23">
            <v>1</v>
          </cell>
          <cell r="R23" t="str">
            <v>Cazetta 2007, Argel-de-Oliveira 1999</v>
          </cell>
          <cell r="S23">
            <v>0.875</v>
          </cell>
          <cell r="T23">
            <v>0.18420000000000003</v>
          </cell>
          <cell r="U23">
            <v>9.4499999999999987E-2</v>
          </cell>
          <cell r="V23">
            <v>2.0899999999999998E-2</v>
          </cell>
          <cell r="W23" t="str">
            <v>NA</v>
          </cell>
          <cell r="X23" t="str">
            <v>NA</v>
          </cell>
          <cell r="Y23" t="str">
            <v>NA</v>
          </cell>
          <cell r="Z23" t="str">
            <v>NA</v>
          </cell>
          <cell r="AA23" t="str">
            <v>NA</v>
          </cell>
          <cell r="AB23" t="str">
            <v>Cazetta 2007</v>
          </cell>
        </row>
        <row r="24">
          <cell r="A24" t="str">
            <v>Cordia ecalyculata</v>
          </cell>
          <cell r="B24" t="str">
            <v>Boraginaceae</v>
          </cell>
          <cell r="C24" t="str">
            <v>NA</v>
          </cell>
          <cell r="D24" t="str">
            <v>red</v>
          </cell>
          <cell r="E24" t="str">
            <v>YES</v>
          </cell>
          <cell r="F24">
            <v>11.05</v>
          </cell>
          <cell r="G24">
            <v>11.55</v>
          </cell>
          <cell r="H24">
            <v>7</v>
          </cell>
          <cell r="I24">
            <v>9</v>
          </cell>
          <cell r="J24">
            <v>3</v>
          </cell>
          <cell r="K24" t="str">
            <v>NA</v>
          </cell>
          <cell r="L24">
            <v>2</v>
          </cell>
          <cell r="M24" t="str">
            <v>NA</v>
          </cell>
          <cell r="N24" t="str">
            <v>NA</v>
          </cell>
          <cell r="O24">
            <v>1</v>
          </cell>
          <cell r="P24" t="str">
            <v>NA</v>
          </cell>
          <cell r="Q24" t="str">
            <v>NA</v>
          </cell>
          <cell r="R24" t="str">
            <v>Alves 2008, Castro &amp; Galetti 2004</v>
          </cell>
          <cell r="S24" t="str">
            <v>NA</v>
          </cell>
          <cell r="T24" t="str">
            <v>NA</v>
          </cell>
          <cell r="U24" t="str">
            <v>NA</v>
          </cell>
          <cell r="V24" t="str">
            <v>NA</v>
          </cell>
          <cell r="W24" t="str">
            <v>NA</v>
          </cell>
          <cell r="X24" t="str">
            <v>NA</v>
          </cell>
          <cell r="Y24" t="str">
            <v>NA</v>
          </cell>
          <cell r="Z24" t="str">
            <v>NA</v>
          </cell>
          <cell r="AA24" t="str">
            <v>NA</v>
          </cell>
          <cell r="AB24" t="str">
            <v>NA</v>
          </cell>
        </row>
        <row r="25">
          <cell r="A25" t="str">
            <v>Cordia silvestris</v>
          </cell>
          <cell r="B25" t="str">
            <v>Boraginaceae</v>
          </cell>
          <cell r="C25" t="str">
            <v>NA</v>
          </cell>
          <cell r="D25" t="str">
            <v>NA</v>
          </cell>
          <cell r="E25" t="str">
            <v>YES</v>
          </cell>
          <cell r="F25">
            <v>9.1</v>
          </cell>
          <cell r="G25">
            <v>11</v>
          </cell>
          <cell r="H25">
            <v>4</v>
          </cell>
          <cell r="I25">
            <v>7.5</v>
          </cell>
          <cell r="J25">
            <v>0.6</v>
          </cell>
          <cell r="K25" t="str">
            <v>NA</v>
          </cell>
          <cell r="L25">
            <v>0.1</v>
          </cell>
          <cell r="M25" t="str">
            <v>NA</v>
          </cell>
          <cell r="N25" t="str">
            <v>NA</v>
          </cell>
          <cell r="O25">
            <v>1</v>
          </cell>
          <cell r="P25" t="str">
            <v>NA</v>
          </cell>
          <cell r="Q25" t="str">
            <v>NA</v>
          </cell>
          <cell r="R25" t="str">
            <v>ATLANTIC, Intervales_morfo</v>
          </cell>
          <cell r="S25">
            <v>0.81</v>
          </cell>
          <cell r="T25">
            <v>1.6E-2</v>
          </cell>
          <cell r="U25">
            <v>7.8E-2</v>
          </cell>
          <cell r="V25" t="str">
            <v>NA</v>
          </cell>
          <cell r="W25" t="str">
            <v>NA</v>
          </cell>
          <cell r="X25" t="str">
            <v>NA</v>
          </cell>
          <cell r="Y25">
            <v>0.83899999999999997</v>
          </cell>
          <cell r="Z25">
            <v>6.8000000000000005E-2</v>
          </cell>
          <cell r="AA25" t="str">
            <v>NA</v>
          </cell>
          <cell r="AB25" t="str">
            <v>Saibadela</v>
          </cell>
        </row>
        <row r="26">
          <cell r="A26" t="str">
            <v>Coussapoa microcarpa</v>
          </cell>
          <cell r="B26" t="str">
            <v>Urticaceae</v>
          </cell>
          <cell r="C26" t="str">
            <v>NA</v>
          </cell>
          <cell r="D26" t="str">
            <v>black</v>
          </cell>
          <cell r="E26" t="str">
            <v>YES</v>
          </cell>
          <cell r="F26">
            <v>12.11</v>
          </cell>
          <cell r="G26">
            <v>9.956666666666667</v>
          </cell>
          <cell r="H26">
            <v>1.4266666666666667</v>
          </cell>
          <cell r="I26">
            <v>2.6466666666666665</v>
          </cell>
          <cell r="J26">
            <v>0.35944999999999999</v>
          </cell>
          <cell r="K26">
            <v>0.45800000000000002</v>
          </cell>
          <cell r="L26">
            <v>2.0000000000000005E-3</v>
          </cell>
          <cell r="M26">
            <v>0.1343</v>
          </cell>
          <cell r="N26" t="str">
            <v>NA</v>
          </cell>
          <cell r="O26">
            <v>37.299999999999997</v>
          </cell>
          <cell r="P26" t="str">
            <v>NA</v>
          </cell>
          <cell r="Q26">
            <v>19.14676616915423</v>
          </cell>
          <cell r="R26" t="str">
            <v>Cazetta 2007, Erica&amp;Wesley, Intervales_morfo</v>
          </cell>
          <cell r="S26" t="str">
            <v>NA</v>
          </cell>
          <cell r="T26">
            <v>2.2737776134571043E-2</v>
          </cell>
          <cell r="U26">
            <v>0.12401400000000001</v>
          </cell>
          <cell r="V26">
            <v>5.3758128792152594E-3</v>
          </cell>
          <cell r="W26">
            <v>6.9127712386219925E-2</v>
          </cell>
          <cell r="X26" t="str">
            <v>NA</v>
          </cell>
          <cell r="Y26" t="str">
            <v>NA</v>
          </cell>
          <cell r="Z26" t="str">
            <v>NA</v>
          </cell>
          <cell r="AA26" t="str">
            <v>NA</v>
          </cell>
          <cell r="AB26" t="str">
            <v>Erica &amp; Wesley, unpubl.</v>
          </cell>
        </row>
        <row r="27">
          <cell r="A27" t="str">
            <v>Cryptocarya moschata</v>
          </cell>
          <cell r="B27" t="str">
            <v>Lauraceae</v>
          </cell>
          <cell r="C27" t="str">
            <v>NA</v>
          </cell>
          <cell r="D27" t="str">
            <v>yellow</v>
          </cell>
          <cell r="E27" t="str">
            <v>YES</v>
          </cell>
          <cell r="F27">
            <v>17.855</v>
          </cell>
          <cell r="G27">
            <v>19.95</v>
          </cell>
          <cell r="H27">
            <v>13.067499999999999</v>
          </cell>
          <cell r="I27">
            <v>17.32</v>
          </cell>
          <cell r="J27">
            <v>4.2233749999999999</v>
          </cell>
          <cell r="K27">
            <v>2.12</v>
          </cell>
          <cell r="L27">
            <v>1.7343249999999999</v>
          </cell>
          <cell r="M27">
            <v>1.8431000000000002</v>
          </cell>
          <cell r="N27">
            <v>1.6173000000000002</v>
          </cell>
          <cell r="O27">
            <v>1</v>
          </cell>
          <cell r="P27" t="str">
            <v>NA</v>
          </cell>
          <cell r="Q27">
            <v>1.1139575451282069</v>
          </cell>
          <cell r="R27" t="str">
            <v>Cazetta 2007, Erica&amp;Wesley, Intervales_morfo, Castro &amp; Galetti 2004</v>
          </cell>
          <cell r="S27">
            <v>0.84205000000000008</v>
          </cell>
          <cell r="T27">
            <v>0.13662311126987126</v>
          </cell>
          <cell r="U27">
            <v>9.5786807429846521E-2</v>
          </cell>
          <cell r="V27">
            <v>0.12784807152891969</v>
          </cell>
          <cell r="W27">
            <v>0.13371298514581492</v>
          </cell>
          <cell r="X27" t="str">
            <v>NA</v>
          </cell>
          <cell r="Y27">
            <v>0.84099999999999997</v>
          </cell>
          <cell r="Z27">
            <v>3.7999999999999999E-2</v>
          </cell>
          <cell r="AA27" t="str">
            <v>NA</v>
          </cell>
          <cell r="AB27" t="str">
            <v>Saibadela, Cazetta 2007, Erica &amp; Wesley, unpubl.</v>
          </cell>
        </row>
        <row r="28">
          <cell r="A28" t="str">
            <v>Cupania emarginata</v>
          </cell>
          <cell r="B28" t="str">
            <v>Sapindaceae</v>
          </cell>
          <cell r="C28" t="str">
            <v>NA</v>
          </cell>
          <cell r="D28" t="str">
            <v>multicolor</v>
          </cell>
          <cell r="E28" t="str">
            <v>YES</v>
          </cell>
          <cell r="F28">
            <v>7.15</v>
          </cell>
          <cell r="G28">
            <v>10.6</v>
          </cell>
          <cell r="H28">
            <v>6.9550000000000001</v>
          </cell>
          <cell r="I28">
            <v>9.8000000000000007</v>
          </cell>
          <cell r="J28">
            <v>0.44</v>
          </cell>
          <cell r="K28" t="str">
            <v>NA</v>
          </cell>
          <cell r="L28">
            <v>0.32</v>
          </cell>
          <cell r="M28" t="str">
            <v>NA</v>
          </cell>
          <cell r="N28" t="str">
            <v>NA</v>
          </cell>
          <cell r="O28">
            <v>1.2</v>
          </cell>
          <cell r="P28" t="str">
            <v>NA</v>
          </cell>
          <cell r="Q28" t="str">
            <v>NA</v>
          </cell>
          <cell r="R28" t="str">
            <v>ATLANTIC, Angel-de-Oliveira 1999</v>
          </cell>
          <cell r="S28" t="str">
            <v>NA</v>
          </cell>
          <cell r="T28" t="str">
            <v>NA</v>
          </cell>
          <cell r="U28" t="str">
            <v>NA</v>
          </cell>
          <cell r="V28" t="str">
            <v>NA</v>
          </cell>
          <cell r="W28" t="str">
            <v>NA</v>
          </cell>
          <cell r="X28" t="str">
            <v>NA</v>
          </cell>
          <cell r="Y28" t="str">
            <v>NA</v>
          </cell>
          <cell r="Z28" t="str">
            <v>NA</v>
          </cell>
          <cell r="AA28" t="str">
            <v>NA</v>
          </cell>
          <cell r="AB28" t="str">
            <v>NA</v>
          </cell>
        </row>
        <row r="29">
          <cell r="A29" t="str">
            <v>Cupania oblongifolia</v>
          </cell>
          <cell r="B29" t="str">
            <v>Sapindaceae</v>
          </cell>
          <cell r="C29" t="str">
            <v>NA</v>
          </cell>
          <cell r="D29" t="str">
            <v>multicolor</v>
          </cell>
          <cell r="E29" t="str">
            <v>YES</v>
          </cell>
          <cell r="F29">
            <v>15.476666666666667</v>
          </cell>
          <cell r="G29">
            <v>20.463333333333335</v>
          </cell>
          <cell r="H29">
            <v>9.85</v>
          </cell>
          <cell r="I29">
            <v>14.4</v>
          </cell>
          <cell r="J29">
            <v>1.4</v>
          </cell>
          <cell r="K29" t="str">
            <v>NA</v>
          </cell>
          <cell r="L29">
            <v>1.1000000000000001</v>
          </cell>
          <cell r="M29" t="str">
            <v>NA</v>
          </cell>
          <cell r="N29" t="str">
            <v>NA</v>
          </cell>
          <cell r="O29">
            <v>3</v>
          </cell>
          <cell r="P29" t="str">
            <v>NA</v>
          </cell>
          <cell r="Q29" t="str">
            <v>NA</v>
          </cell>
          <cell r="R29" t="str">
            <v>ATLANTIC, Intervales_morfo, Correia 1997</v>
          </cell>
          <cell r="S29">
            <v>0.56000000000000005</v>
          </cell>
          <cell r="T29">
            <v>0.626</v>
          </cell>
          <cell r="U29">
            <v>0.11</v>
          </cell>
          <cell r="V29" t="str">
            <v>NA</v>
          </cell>
          <cell r="W29" t="str">
            <v>NA</v>
          </cell>
          <cell r="X29" t="str">
            <v>NA</v>
          </cell>
          <cell r="Y29">
            <v>0.246</v>
          </cell>
          <cell r="Z29">
            <v>1.7999999999999999E-2</v>
          </cell>
          <cell r="AA29" t="str">
            <v>NA</v>
          </cell>
          <cell r="AB29" t="str">
            <v>Saibadela</v>
          </cell>
        </row>
        <row r="30">
          <cell r="A30" t="str">
            <v>Curatella americana</v>
          </cell>
          <cell r="B30" t="str">
            <v>Dilleniaceae</v>
          </cell>
          <cell r="C30" t="str">
            <v>NA</v>
          </cell>
          <cell r="D30" t="str">
            <v>multicolor</v>
          </cell>
          <cell r="E30" t="str">
            <v>YES</v>
          </cell>
          <cell r="F30">
            <v>5.5</v>
          </cell>
          <cell r="G30">
            <v>7.8</v>
          </cell>
          <cell r="H30">
            <v>3.8</v>
          </cell>
          <cell r="I30">
            <v>4</v>
          </cell>
          <cell r="J30" t="str">
            <v>NA</v>
          </cell>
          <cell r="K30" t="str">
            <v>NA</v>
          </cell>
          <cell r="L30" t="str">
            <v>NA</v>
          </cell>
          <cell r="M30" t="str">
            <v>NA</v>
          </cell>
          <cell r="N30" t="str">
            <v>NA</v>
          </cell>
          <cell r="O30">
            <v>2</v>
          </cell>
          <cell r="P30" t="str">
            <v>NA</v>
          </cell>
          <cell r="Q30" t="str">
            <v>NA</v>
          </cell>
          <cell r="R30" t="str">
            <v>ATLANTIC, Donatti 2011, Souza 2004</v>
          </cell>
          <cell r="S30" t="str">
            <v>NA</v>
          </cell>
          <cell r="T30" t="str">
            <v>NA</v>
          </cell>
          <cell r="U30" t="str">
            <v>NA</v>
          </cell>
          <cell r="V30" t="str">
            <v>NA</v>
          </cell>
          <cell r="W30" t="str">
            <v>NA</v>
          </cell>
          <cell r="X30" t="str">
            <v>NA</v>
          </cell>
          <cell r="Y30" t="str">
            <v>NA</v>
          </cell>
          <cell r="Z30" t="str">
            <v>NA</v>
          </cell>
          <cell r="AA30" t="str">
            <v>NA</v>
          </cell>
          <cell r="AB30" t="str">
            <v>NA</v>
          </cell>
        </row>
        <row r="31">
          <cell r="A31" t="str">
            <v>Endlicheria paniculata</v>
          </cell>
          <cell r="B31" t="str">
            <v>Lauraceae</v>
          </cell>
          <cell r="C31" t="str">
            <v>NA</v>
          </cell>
          <cell r="D31" t="str">
            <v>black</v>
          </cell>
          <cell r="E31" t="str">
            <v>YES</v>
          </cell>
          <cell r="F31">
            <v>14</v>
          </cell>
          <cell r="G31">
            <v>20</v>
          </cell>
          <cell r="H31">
            <v>12.5</v>
          </cell>
          <cell r="I31">
            <v>18.7</v>
          </cell>
          <cell r="J31" t="str">
            <v>NA</v>
          </cell>
          <cell r="K31" t="str">
            <v>NA</v>
          </cell>
          <cell r="L31" t="str">
            <v>NA</v>
          </cell>
          <cell r="M31" t="str">
            <v>NA</v>
          </cell>
          <cell r="N31" t="str">
            <v>NA</v>
          </cell>
          <cell r="O31">
            <v>1</v>
          </cell>
          <cell r="P31" t="str">
            <v>NA</v>
          </cell>
          <cell r="Q31" t="str">
            <v>NA</v>
          </cell>
          <cell r="R31" t="str">
            <v>ATLANTIC, Intervales_morfo</v>
          </cell>
          <cell r="S31" t="str">
            <v>NA</v>
          </cell>
          <cell r="T31" t="str">
            <v>NA</v>
          </cell>
          <cell r="U31" t="str">
            <v>NA</v>
          </cell>
          <cell r="V31" t="str">
            <v>NA</v>
          </cell>
          <cell r="W31" t="str">
            <v>NA</v>
          </cell>
          <cell r="X31" t="str">
            <v>NA</v>
          </cell>
          <cell r="Y31" t="str">
            <v>NA</v>
          </cell>
          <cell r="Z31" t="str">
            <v>NA</v>
          </cell>
          <cell r="AA31" t="str">
            <v>NA</v>
          </cell>
          <cell r="AB31" t="str">
            <v>NA</v>
          </cell>
        </row>
        <row r="32">
          <cell r="A32" t="str">
            <v>Erythroxylum ambiguum</v>
          </cell>
          <cell r="B32" t="str">
            <v>Erythroxylaceae</v>
          </cell>
          <cell r="C32" t="str">
            <v>NA</v>
          </cell>
          <cell r="D32" t="str">
            <v>red</v>
          </cell>
          <cell r="E32" t="str">
            <v>YES</v>
          </cell>
          <cell r="F32">
            <v>5.49</v>
          </cell>
          <cell r="G32">
            <v>7.51</v>
          </cell>
          <cell r="H32">
            <v>3.11</v>
          </cell>
          <cell r="I32">
            <v>6.27</v>
          </cell>
          <cell r="J32">
            <v>0.16840000000000002</v>
          </cell>
          <cell r="K32" t="str">
            <v>NA</v>
          </cell>
          <cell r="L32">
            <v>5.1200000000000002E-2</v>
          </cell>
          <cell r="M32">
            <v>0.13589999999999999</v>
          </cell>
          <cell r="N32">
            <v>3.2500000000000001E-2</v>
          </cell>
          <cell r="O32">
            <v>1</v>
          </cell>
          <cell r="P32" t="str">
            <v>NA</v>
          </cell>
          <cell r="Q32">
            <v>4.1815384615384614</v>
          </cell>
          <cell r="R32" t="str">
            <v>Erica&amp;Wesley</v>
          </cell>
          <cell r="S32" t="str">
            <v>NA</v>
          </cell>
          <cell r="T32">
            <v>0.88</v>
          </cell>
          <cell r="U32">
            <v>8.0000000000000002E-3</v>
          </cell>
          <cell r="V32" t="str">
            <v>NA</v>
          </cell>
          <cell r="W32" t="str">
            <v>NA</v>
          </cell>
          <cell r="X32" t="str">
            <v>NA</v>
          </cell>
          <cell r="Y32">
            <v>0.04</v>
          </cell>
          <cell r="Z32">
            <v>0.02</v>
          </cell>
          <cell r="AA32">
            <v>0.05</v>
          </cell>
          <cell r="AB32" t="str">
            <v>Camargo 2014</v>
          </cell>
        </row>
        <row r="33">
          <cell r="A33" t="str">
            <v>Erythroxylum deciduum</v>
          </cell>
          <cell r="B33" t="str">
            <v>Erythroxylaceae</v>
          </cell>
          <cell r="C33" t="str">
            <v>NA</v>
          </cell>
          <cell r="D33" t="str">
            <v>red</v>
          </cell>
          <cell r="E33" t="str">
            <v>YES</v>
          </cell>
          <cell r="F33">
            <v>4</v>
          </cell>
          <cell r="G33">
            <v>11</v>
          </cell>
          <cell r="H33">
            <v>4.7</v>
          </cell>
          <cell r="I33">
            <v>9</v>
          </cell>
          <cell r="J33" t="str">
            <v>NA</v>
          </cell>
          <cell r="K33" t="str">
            <v>NA</v>
          </cell>
          <cell r="L33" t="str">
            <v>NA</v>
          </cell>
          <cell r="M33" t="str">
            <v>NA</v>
          </cell>
          <cell r="N33" t="str">
            <v>NA</v>
          </cell>
          <cell r="O33" t="str">
            <v>NA</v>
          </cell>
          <cell r="P33" t="str">
            <v>NA</v>
          </cell>
          <cell r="Q33" t="str">
            <v>NA</v>
          </cell>
          <cell r="R33" t="str">
            <v>ATLANTIC</v>
          </cell>
          <cell r="S33" t="str">
            <v>NA</v>
          </cell>
          <cell r="T33" t="str">
            <v>NA</v>
          </cell>
          <cell r="U33" t="str">
            <v>NA</v>
          </cell>
          <cell r="V33" t="str">
            <v>NA</v>
          </cell>
          <cell r="W33" t="str">
            <v>NA</v>
          </cell>
          <cell r="X33" t="str">
            <v>NA</v>
          </cell>
          <cell r="Y33" t="str">
            <v>NA</v>
          </cell>
          <cell r="Z33" t="str">
            <v>NA</v>
          </cell>
          <cell r="AA33" t="str">
            <v>NA</v>
          </cell>
          <cell r="AB33" t="str">
            <v>NA</v>
          </cell>
        </row>
        <row r="34">
          <cell r="A34" t="str">
            <v>Eugenia cerasiflora</v>
          </cell>
          <cell r="B34" t="str">
            <v>Myrtaceae</v>
          </cell>
          <cell r="C34" t="str">
            <v>Syzygium kurzii</v>
          </cell>
          <cell r="D34" t="str">
            <v>red</v>
          </cell>
          <cell r="E34" t="str">
            <v>YES</v>
          </cell>
          <cell r="F34">
            <v>11</v>
          </cell>
          <cell r="G34">
            <v>16</v>
          </cell>
          <cell r="H34">
            <v>10</v>
          </cell>
          <cell r="I34">
            <v>14</v>
          </cell>
          <cell r="J34" t="str">
            <v>NA</v>
          </cell>
          <cell r="K34" t="str">
            <v>NA</v>
          </cell>
          <cell r="L34" t="str">
            <v>NA</v>
          </cell>
          <cell r="M34" t="str">
            <v>NA</v>
          </cell>
          <cell r="N34" t="str">
            <v>NA</v>
          </cell>
          <cell r="O34" t="str">
            <v>NA</v>
          </cell>
          <cell r="P34" t="str">
            <v>NA</v>
          </cell>
          <cell r="Q34" t="str">
            <v>NA</v>
          </cell>
          <cell r="R34" t="str">
            <v>ATLANTIC</v>
          </cell>
          <cell r="S34" t="str">
            <v>NA</v>
          </cell>
          <cell r="T34" t="str">
            <v>NA</v>
          </cell>
          <cell r="U34" t="str">
            <v>NA</v>
          </cell>
          <cell r="V34" t="str">
            <v>NA</v>
          </cell>
          <cell r="W34" t="str">
            <v>NA</v>
          </cell>
          <cell r="X34" t="str">
            <v>NA</v>
          </cell>
          <cell r="Y34" t="str">
            <v>NA</v>
          </cell>
          <cell r="Z34" t="str">
            <v>NA</v>
          </cell>
          <cell r="AA34" t="str">
            <v>NA</v>
          </cell>
          <cell r="AB34" t="str">
            <v>NA</v>
          </cell>
        </row>
        <row r="35">
          <cell r="A35" t="str">
            <v>Eugenia umbelliflora</v>
          </cell>
          <cell r="B35" t="str">
            <v>Myrtaceae</v>
          </cell>
          <cell r="C35" t="str">
            <v>NA</v>
          </cell>
          <cell r="D35" t="str">
            <v>black</v>
          </cell>
          <cell r="E35" t="str">
            <v>YES</v>
          </cell>
          <cell r="F35">
            <v>12.12</v>
          </cell>
          <cell r="G35">
            <v>14.95</v>
          </cell>
          <cell r="H35">
            <v>9.1300000000000008</v>
          </cell>
          <cell r="I35">
            <v>12.06</v>
          </cell>
          <cell r="J35">
            <v>1.38</v>
          </cell>
          <cell r="K35">
            <v>0.78</v>
          </cell>
          <cell r="L35">
            <v>0.6</v>
          </cell>
          <cell r="M35">
            <v>0.26</v>
          </cell>
          <cell r="N35" t="str">
            <v>NA</v>
          </cell>
          <cell r="O35">
            <v>1.1599999999999999</v>
          </cell>
          <cell r="P35" t="str">
            <v>NA</v>
          </cell>
          <cell r="Q35">
            <v>0.43333333333333335</v>
          </cell>
          <cell r="R35" t="str">
            <v>Cazetta 2007</v>
          </cell>
          <cell r="S35">
            <v>0.52854999999999996</v>
          </cell>
          <cell r="T35">
            <v>3.8650000000000004E-2</v>
          </cell>
          <cell r="U35">
            <v>3.5799999999999998E-2</v>
          </cell>
          <cell r="V35">
            <v>7.6350000000000001E-2</v>
          </cell>
          <cell r="W35" t="str">
            <v>NA</v>
          </cell>
          <cell r="X35" t="str">
            <v>NA</v>
          </cell>
          <cell r="Y35" t="str">
            <v>NA</v>
          </cell>
          <cell r="Z35" t="str">
            <v>NA</v>
          </cell>
          <cell r="AA35" t="str">
            <v>NA</v>
          </cell>
          <cell r="AB35" t="str">
            <v>Cazetta 2007, Gomes et al. 2010</v>
          </cell>
        </row>
        <row r="36">
          <cell r="A36" t="str">
            <v>Eugenia uniflora</v>
          </cell>
          <cell r="B36" t="str">
            <v>Myrtaceae</v>
          </cell>
          <cell r="C36" t="str">
            <v>Eugenia bergii</v>
          </cell>
          <cell r="D36" t="str">
            <v>red</v>
          </cell>
          <cell r="E36" t="str">
            <v>YES</v>
          </cell>
          <cell r="F36">
            <v>19.07</v>
          </cell>
          <cell r="G36">
            <v>24.386666666666667</v>
          </cell>
          <cell r="H36">
            <v>9.1999999999999993</v>
          </cell>
          <cell r="I36">
            <v>13</v>
          </cell>
          <cell r="J36">
            <v>4.9989999999999997</v>
          </cell>
          <cell r="K36">
            <v>4.109</v>
          </cell>
          <cell r="L36" t="str">
            <v>NA</v>
          </cell>
          <cell r="M36">
            <v>0.43099999999999999</v>
          </cell>
          <cell r="N36" t="str">
            <v>NA</v>
          </cell>
          <cell r="O36">
            <v>1.23</v>
          </cell>
          <cell r="P36" t="str">
            <v>NA</v>
          </cell>
          <cell r="Q36" t="str">
            <v>NA</v>
          </cell>
          <cell r="R36" t="str">
            <v>ATLANTIC, Castro &amp; Galetti 2004, Gosper &amp; Vivian-Smith 2010</v>
          </cell>
          <cell r="S36">
            <v>0.85799999999999998</v>
          </cell>
          <cell r="T36">
            <v>2.8000000000000001E-2</v>
          </cell>
          <cell r="U36">
            <v>5.6000000000000001E-2</v>
          </cell>
          <cell r="V36" t="str">
            <v>NA</v>
          </cell>
          <cell r="W36" t="str">
            <v>NA</v>
          </cell>
          <cell r="X36">
            <v>0.88</v>
          </cell>
          <cell r="Y36" t="str">
            <v>NA</v>
          </cell>
          <cell r="Z36">
            <v>3.5000000000000003E-2</v>
          </cell>
          <cell r="AA36" t="str">
            <v>NA</v>
          </cell>
          <cell r="AB36" t="str">
            <v>FRUBASE</v>
          </cell>
        </row>
        <row r="37">
          <cell r="A37" t="str">
            <v>Euterpe edulis</v>
          </cell>
          <cell r="B37" t="str">
            <v>Arecaceae</v>
          </cell>
          <cell r="C37" t="str">
            <v>NA</v>
          </cell>
          <cell r="D37" t="str">
            <v>black</v>
          </cell>
          <cell r="E37" t="str">
            <v>YES</v>
          </cell>
          <cell r="F37">
            <v>13.294285714285715</v>
          </cell>
          <cell r="G37">
            <v>12.980000000000002</v>
          </cell>
          <cell r="H37">
            <v>11.3575</v>
          </cell>
          <cell r="I37">
            <v>11.62275</v>
          </cell>
          <cell r="J37">
            <v>1.4212800000000001</v>
          </cell>
          <cell r="K37">
            <v>0.46</v>
          </cell>
          <cell r="L37">
            <v>1.06515</v>
          </cell>
          <cell r="M37">
            <v>0.32305000000000006</v>
          </cell>
          <cell r="N37">
            <v>0.96343333333333325</v>
          </cell>
          <cell r="O37">
            <v>1</v>
          </cell>
          <cell r="P37" t="str">
            <v>NA</v>
          </cell>
          <cell r="Q37">
            <v>0.36819721900926922</v>
          </cell>
          <cell r="R37" t="str">
            <v>Castro &amp; Galetti 2004, Cazetta 2007, Erica&amp;Wesley, Intervales_morfo, Mikich 2002, Santana et al. 2013, Alves 2008</v>
          </cell>
          <cell r="S37">
            <v>0.67774999999999996</v>
          </cell>
          <cell r="T37">
            <v>0.13617499999999999</v>
          </cell>
          <cell r="U37">
            <v>5.0733332999999999E-2</v>
          </cell>
          <cell r="V37">
            <v>3.65E-3</v>
          </cell>
          <cell r="W37">
            <v>0.182</v>
          </cell>
          <cell r="X37" t="str">
            <v>NA</v>
          </cell>
          <cell r="Y37">
            <v>0.69899999999999995</v>
          </cell>
          <cell r="Z37">
            <v>2.7E-2</v>
          </cell>
          <cell r="AA37" t="str">
            <v>NA</v>
          </cell>
          <cell r="AB37" t="str">
            <v>Cazetta 2007, Erica &amp; Wesley, unpubl., Saibadela, Santana et al. 2013</v>
          </cell>
        </row>
        <row r="38">
          <cell r="A38" t="str">
            <v>Euterpe oleracea</v>
          </cell>
          <cell r="B38" t="str">
            <v>Arecaceae</v>
          </cell>
          <cell r="C38" t="str">
            <v>NA</v>
          </cell>
          <cell r="D38" t="str">
            <v>black</v>
          </cell>
          <cell r="E38" t="str">
            <v>YES</v>
          </cell>
          <cell r="F38">
            <v>12.3</v>
          </cell>
          <cell r="G38">
            <v>12.4</v>
          </cell>
          <cell r="H38">
            <v>9.6300000000000008</v>
          </cell>
          <cell r="I38">
            <v>10.18</v>
          </cell>
          <cell r="J38" t="str">
            <v>NA</v>
          </cell>
          <cell r="K38" t="str">
            <v>NA</v>
          </cell>
          <cell r="L38" t="str">
            <v>NA</v>
          </cell>
          <cell r="M38" t="str">
            <v>NA</v>
          </cell>
          <cell r="N38" t="str">
            <v>NA</v>
          </cell>
          <cell r="O38">
            <v>1</v>
          </cell>
          <cell r="P38" t="str">
            <v>NA</v>
          </cell>
          <cell r="Q38" t="str">
            <v>NA</v>
          </cell>
          <cell r="R38" t="str">
            <v>ATLANTIC, Alves 2008</v>
          </cell>
          <cell r="S38" t="str">
            <v>NA</v>
          </cell>
          <cell r="T38">
            <v>0.40749999999999997</v>
          </cell>
          <cell r="U38">
            <v>8.1299999999999997E-2</v>
          </cell>
          <cell r="V38" t="str">
            <v>NA</v>
          </cell>
          <cell r="W38" t="str">
            <v>NA</v>
          </cell>
          <cell r="X38" t="str">
            <v>NA</v>
          </cell>
          <cell r="Y38">
            <v>0.42530000000000001</v>
          </cell>
          <cell r="Z38">
            <v>3.6799999999999999E-2</v>
          </cell>
          <cell r="AA38" t="str">
            <v>NA</v>
          </cell>
          <cell r="AB38" t="str">
            <v>Menezes et al. 2008</v>
          </cell>
        </row>
        <row r="39">
          <cell r="A39" t="str">
            <v>Ficus benjamina</v>
          </cell>
          <cell r="B39" t="str">
            <v>Moraceae</v>
          </cell>
          <cell r="C39" t="str">
            <v>Ficus nitida</v>
          </cell>
          <cell r="D39" t="str">
            <v>green</v>
          </cell>
          <cell r="E39" t="str">
            <v>YES</v>
          </cell>
          <cell r="F39">
            <v>7.6</v>
          </cell>
          <cell r="G39">
            <v>8.9</v>
          </cell>
          <cell r="H39">
            <v>6.6000000000000003E-2</v>
          </cell>
          <cell r="I39">
            <v>1.21</v>
          </cell>
          <cell r="J39">
            <v>0.84499999999999997</v>
          </cell>
          <cell r="K39" t="str">
            <v>NA</v>
          </cell>
          <cell r="L39" t="str">
            <v>NA</v>
          </cell>
          <cell r="M39">
            <v>8.2000000000000003E-2</v>
          </cell>
          <cell r="N39">
            <v>7.5999999999999998E-2</v>
          </cell>
          <cell r="O39" t="str">
            <v>NA</v>
          </cell>
          <cell r="P39" t="str">
            <v>NA</v>
          </cell>
          <cell r="Q39">
            <v>1.0789473684210527</v>
          </cell>
          <cell r="R39" t="str">
            <v>Fábio Jacomassa, unpubl., FRUBASE</v>
          </cell>
          <cell r="S39">
            <v>0.79600000000000004</v>
          </cell>
          <cell r="T39">
            <v>4.4999999999999998E-2</v>
          </cell>
          <cell r="U39">
            <v>6.4000000000000001E-2</v>
          </cell>
          <cell r="V39" t="str">
            <v>NA</v>
          </cell>
          <cell r="W39" t="str">
            <v>NA</v>
          </cell>
          <cell r="X39">
            <v>0.79900000000000004</v>
          </cell>
          <cell r="Y39" t="str">
            <v>NA</v>
          </cell>
          <cell r="Z39">
            <v>9.1999999999999998E-2</v>
          </cell>
          <cell r="AA39" t="str">
            <v>NA</v>
          </cell>
          <cell r="AB39" t="str">
            <v>FRUBASE</v>
          </cell>
        </row>
        <row r="40">
          <cell r="A40" t="str">
            <v>Ficus enormis</v>
          </cell>
          <cell r="B40" t="str">
            <v>Moraceae</v>
          </cell>
          <cell r="C40" t="str">
            <v>NA</v>
          </cell>
          <cell r="D40" t="str">
            <v>green</v>
          </cell>
          <cell r="E40" t="str">
            <v>YES</v>
          </cell>
          <cell r="F40">
            <v>14</v>
          </cell>
          <cell r="G40">
            <v>14</v>
          </cell>
          <cell r="H40" t="str">
            <v>NA</v>
          </cell>
          <cell r="I40" t="str">
            <v>NA</v>
          </cell>
          <cell r="J40">
            <v>1.3</v>
          </cell>
          <cell r="K40" t="str">
            <v>NA</v>
          </cell>
          <cell r="L40" t="str">
            <v>NA</v>
          </cell>
          <cell r="M40" t="str">
            <v>NA</v>
          </cell>
          <cell r="N40" t="str">
            <v>NA</v>
          </cell>
          <cell r="O40">
            <v>50</v>
          </cell>
          <cell r="P40" t="str">
            <v>NA</v>
          </cell>
          <cell r="Q40" t="str">
            <v>NA</v>
          </cell>
          <cell r="R40" t="str">
            <v>Intervales_morfo</v>
          </cell>
          <cell r="S40">
            <v>0.79500000000000004</v>
          </cell>
          <cell r="T40">
            <v>5.4000000000000006E-2</v>
          </cell>
          <cell r="U40">
            <v>3.5000000000000003E-2</v>
          </cell>
          <cell r="V40" t="str">
            <v>NA</v>
          </cell>
          <cell r="W40" t="str">
            <v>NA</v>
          </cell>
          <cell r="X40" t="str">
            <v>NA</v>
          </cell>
          <cell r="Y40">
            <v>0.79599999999999993</v>
          </cell>
          <cell r="Z40">
            <v>0.114</v>
          </cell>
          <cell r="AA40" t="str">
            <v>NA</v>
          </cell>
          <cell r="AB40" t="str">
            <v>Saibadela</v>
          </cell>
        </row>
        <row r="41">
          <cell r="A41" t="str">
            <v>Ficus hirsuta</v>
          </cell>
          <cell r="B41" t="str">
            <v>Moraceae</v>
          </cell>
          <cell r="C41" t="str">
            <v>Ficus hirta, Ficus villosa</v>
          </cell>
          <cell r="D41" t="str">
            <v>green</v>
          </cell>
          <cell r="E41" t="str">
            <v>YES</v>
          </cell>
          <cell r="F41">
            <v>8.1999999999999993</v>
          </cell>
          <cell r="G41">
            <v>9.1</v>
          </cell>
          <cell r="H41">
            <v>0.7</v>
          </cell>
          <cell r="I41">
            <v>1</v>
          </cell>
          <cell r="J41">
            <v>0.26</v>
          </cell>
          <cell r="K41" t="str">
            <v>NA</v>
          </cell>
          <cell r="L41">
            <v>8.0000000000000004E-4</v>
          </cell>
          <cell r="M41" t="str">
            <v>NA</v>
          </cell>
          <cell r="N41" t="str">
            <v>NA</v>
          </cell>
          <cell r="O41">
            <v>41.7</v>
          </cell>
          <cell r="P41" t="str">
            <v>NA</v>
          </cell>
          <cell r="Q41" t="str">
            <v>NA</v>
          </cell>
          <cell r="R41" t="str">
            <v>Angel-de-Oliveira 1999</v>
          </cell>
          <cell r="S41" t="str">
            <v>NA</v>
          </cell>
          <cell r="T41" t="str">
            <v>NA</v>
          </cell>
          <cell r="U41" t="str">
            <v>NA</v>
          </cell>
          <cell r="V41" t="str">
            <v>NA</v>
          </cell>
          <cell r="W41" t="str">
            <v>NA</v>
          </cell>
          <cell r="X41" t="str">
            <v>NA</v>
          </cell>
          <cell r="Y41" t="str">
            <v>NA</v>
          </cell>
          <cell r="Z41" t="str">
            <v>NA</v>
          </cell>
          <cell r="AA41" t="str">
            <v>NA</v>
          </cell>
          <cell r="AB41" t="str">
            <v>NA</v>
          </cell>
        </row>
        <row r="42">
          <cell r="A42" t="str">
            <v>Ficus insipida</v>
          </cell>
          <cell r="B42" t="str">
            <v>Moraceae</v>
          </cell>
          <cell r="C42" t="str">
            <v>NA</v>
          </cell>
          <cell r="D42" t="str">
            <v>green</v>
          </cell>
          <cell r="E42" t="str">
            <v>YES</v>
          </cell>
          <cell r="F42">
            <v>24.310000000000002</v>
          </cell>
          <cell r="G42">
            <v>24.738333333333333</v>
          </cell>
          <cell r="H42">
            <v>1.5</v>
          </cell>
          <cell r="I42">
            <v>2.36</v>
          </cell>
          <cell r="J42">
            <v>9.7347999999999999</v>
          </cell>
          <cell r="K42">
            <v>10.237</v>
          </cell>
          <cell r="L42">
            <v>8.900000000000001E-2</v>
          </cell>
          <cell r="M42">
            <v>2.2876250000000002</v>
          </cell>
          <cell r="N42">
            <v>0.19350000000000001</v>
          </cell>
          <cell r="O42">
            <v>148.9</v>
          </cell>
          <cell r="P42" t="str">
            <v>NA</v>
          </cell>
          <cell r="Q42">
            <v>17.860238278399116</v>
          </cell>
          <cell r="R42" t="str">
            <v>ATLANTIC, Cazetta 2007, Erica&amp;Wesley, FRUBASE, Intervales_morfo, Mikich 2002, Souza 2004</v>
          </cell>
          <cell r="S42">
            <v>0.85849999999999993</v>
          </cell>
          <cell r="T42">
            <v>4.4947077333843483E-2</v>
          </cell>
          <cell r="U42">
            <v>5.3575999999999999E-2</v>
          </cell>
          <cell r="V42">
            <v>2.4763407008446025E-3</v>
          </cell>
          <cell r="W42">
            <v>9.1702662701896559E-2</v>
          </cell>
          <cell r="X42">
            <v>0.90800000000000003</v>
          </cell>
          <cell r="Y42">
            <v>0.80799999999999994</v>
          </cell>
          <cell r="Z42">
            <v>6.0999999999999999E-2</v>
          </cell>
          <cell r="AA42" t="str">
            <v>NA</v>
          </cell>
          <cell r="AB42" t="str">
            <v>Cazetta 2007, Erica &amp; Wesley, unpubl., FRUBASE, Saibadela</v>
          </cell>
        </row>
        <row r="43">
          <cell r="A43" t="str">
            <v>Ficus microcarpa</v>
          </cell>
          <cell r="B43" t="str">
            <v>Moraceae</v>
          </cell>
          <cell r="C43" t="str">
            <v>Ficus thonningii, F. recurva</v>
          </cell>
          <cell r="D43" t="str">
            <v>green</v>
          </cell>
          <cell r="E43" t="str">
            <v>YES</v>
          </cell>
          <cell r="F43">
            <v>8</v>
          </cell>
          <cell r="G43">
            <v>10</v>
          </cell>
          <cell r="H43">
            <v>1</v>
          </cell>
          <cell r="I43" t="str">
            <v>NA</v>
          </cell>
          <cell r="J43" t="str">
            <v>NA</v>
          </cell>
          <cell r="K43" t="str">
            <v>NA</v>
          </cell>
          <cell r="L43" t="str">
            <v>NA</v>
          </cell>
          <cell r="M43" t="str">
            <v>NA</v>
          </cell>
          <cell r="N43" t="str">
            <v>NA</v>
          </cell>
          <cell r="O43" t="str">
            <v>NA</v>
          </cell>
          <cell r="P43" t="str">
            <v>NA</v>
          </cell>
          <cell r="Q43" t="str">
            <v>NA</v>
          </cell>
          <cell r="R43" t="str">
            <v>ATLANTIC</v>
          </cell>
          <cell r="S43" t="str">
            <v>NA</v>
          </cell>
          <cell r="T43" t="str">
            <v>NA</v>
          </cell>
          <cell r="U43" t="str">
            <v>NA</v>
          </cell>
          <cell r="V43" t="str">
            <v>NA</v>
          </cell>
          <cell r="W43" t="str">
            <v>NA</v>
          </cell>
          <cell r="X43" t="str">
            <v>NA</v>
          </cell>
          <cell r="Y43" t="str">
            <v>NA</v>
          </cell>
          <cell r="Z43" t="str">
            <v>NA</v>
          </cell>
          <cell r="AA43" t="str">
            <v>NA</v>
          </cell>
          <cell r="AB43" t="str">
            <v>NA</v>
          </cell>
        </row>
        <row r="44">
          <cell r="A44" t="str">
            <v>Frangula purshiana</v>
          </cell>
          <cell r="B44" t="str">
            <v>Rhamnaceae</v>
          </cell>
          <cell r="C44" t="str">
            <v>Rhampus purshiana</v>
          </cell>
          <cell r="D44" t="str">
            <v>black</v>
          </cell>
          <cell r="E44" t="str">
            <v>YES</v>
          </cell>
          <cell r="F44">
            <v>9</v>
          </cell>
          <cell r="G44">
            <v>10.6</v>
          </cell>
          <cell r="H44" t="str">
            <v>NA</v>
          </cell>
          <cell r="I44" t="str">
            <v>NA</v>
          </cell>
          <cell r="J44">
            <v>0.6</v>
          </cell>
          <cell r="K44" t="str">
            <v>NA</v>
          </cell>
          <cell r="L44">
            <v>0.1</v>
          </cell>
          <cell r="M44">
            <v>0.13</v>
          </cell>
          <cell r="N44" t="str">
            <v>NA</v>
          </cell>
          <cell r="O44">
            <v>1</v>
          </cell>
          <cell r="P44" t="str">
            <v>NA</v>
          </cell>
          <cell r="Q44" t="str">
            <v>NA</v>
          </cell>
          <cell r="R44" t="str">
            <v>Athie &amp; Dias 2012</v>
          </cell>
          <cell r="S44" t="str">
            <v>NA</v>
          </cell>
          <cell r="T44" t="str">
            <v>NA</v>
          </cell>
          <cell r="U44" t="str">
            <v>NA</v>
          </cell>
          <cell r="V44" t="str">
            <v>NA</v>
          </cell>
          <cell r="W44" t="str">
            <v>NA</v>
          </cell>
          <cell r="X44" t="str">
            <v>NA</v>
          </cell>
          <cell r="Y44" t="str">
            <v>NA</v>
          </cell>
          <cell r="Z44" t="str">
            <v>NA</v>
          </cell>
          <cell r="AA44" t="str">
            <v>NA</v>
          </cell>
          <cell r="AB44" t="str">
            <v>NA</v>
          </cell>
        </row>
        <row r="45">
          <cell r="A45" t="str">
            <v>Guapira opposita</v>
          </cell>
          <cell r="B45" t="str">
            <v>Nyctaginaceae</v>
          </cell>
          <cell r="C45" t="str">
            <v>NA</v>
          </cell>
          <cell r="D45" t="str">
            <v>multicolor</v>
          </cell>
          <cell r="E45" t="str">
            <v>YES</v>
          </cell>
          <cell r="F45">
            <v>6.7537500000000001</v>
          </cell>
          <cell r="G45">
            <v>8.35</v>
          </cell>
          <cell r="H45">
            <v>4.1033333333333335</v>
          </cell>
          <cell r="I45">
            <v>6.7766666666666664</v>
          </cell>
          <cell r="J45">
            <v>0.19342499999999999</v>
          </cell>
          <cell r="K45">
            <v>0.16</v>
          </cell>
          <cell r="L45">
            <v>4.4450000000000003E-2</v>
          </cell>
          <cell r="M45">
            <v>6.094999999999999E-2</v>
          </cell>
          <cell r="N45">
            <v>3.1800000000000009E-2</v>
          </cell>
          <cell r="O45">
            <v>1</v>
          </cell>
          <cell r="P45">
            <v>1.75</v>
          </cell>
          <cell r="Q45">
            <v>1.7449685534591188</v>
          </cell>
          <cell r="R45" t="str">
            <v>ATLANTIC, Cazetta 2007, Erica&amp;Wesley, Intervales_morfo, Passos &amp; Oliveira 2003, Alves 2008, Angel-de-Oliveira 1999, Camargo 2014</v>
          </cell>
          <cell r="S45">
            <v>0.76200000000000001</v>
          </cell>
          <cell r="T45">
            <v>2.4614824629022293E-2</v>
          </cell>
          <cell r="U45">
            <v>0.18857499999999999</v>
          </cell>
          <cell r="V45">
            <v>3.0427057790241518E-2</v>
          </cell>
          <cell r="W45">
            <v>9.273965188665384E-2</v>
          </cell>
          <cell r="X45" t="str">
            <v>NA</v>
          </cell>
          <cell r="Y45">
            <v>0.6915</v>
          </cell>
          <cell r="Z45">
            <v>5.3499999999999999E-2</v>
          </cell>
          <cell r="AA45" t="str">
            <v>NA</v>
          </cell>
          <cell r="AB45" t="str">
            <v>Cazetta 2007, Erica &amp; Wesley, unpubl., Saibadela, Passos 2001</v>
          </cell>
        </row>
        <row r="46">
          <cell r="A46" t="str">
            <v>Guarea macrophylla</v>
          </cell>
          <cell r="B46" t="str">
            <v>Meliaceae</v>
          </cell>
          <cell r="C46" t="str">
            <v>NA</v>
          </cell>
          <cell r="D46" t="str">
            <v>red</v>
          </cell>
          <cell r="E46" t="str">
            <v>YES</v>
          </cell>
          <cell r="F46">
            <v>8.5383333333333322</v>
          </cell>
          <cell r="G46">
            <v>11.948333333333332</v>
          </cell>
          <cell r="H46">
            <v>8.33</v>
          </cell>
          <cell r="I46">
            <v>11.076666666666668</v>
          </cell>
          <cell r="J46">
            <v>0.49099999999999994</v>
          </cell>
          <cell r="K46">
            <v>0.15</v>
          </cell>
          <cell r="L46">
            <v>0.323125</v>
          </cell>
          <cell r="M46">
            <v>0.10837499999999999</v>
          </cell>
          <cell r="N46">
            <v>0.28625</v>
          </cell>
          <cell r="O46">
            <v>1</v>
          </cell>
          <cell r="P46" t="str">
            <v>NA</v>
          </cell>
          <cell r="Q46">
            <v>0.36428918000970401</v>
          </cell>
          <cell r="R46" t="str">
            <v>ATLANTIC, Cazetta 2007, Erica&amp;Wesley, Intervales_morfo</v>
          </cell>
          <cell r="S46">
            <v>0.73510000000000009</v>
          </cell>
          <cell r="T46">
            <v>0.44079999999999997</v>
          </cell>
          <cell r="U46">
            <v>8.9600000000000013E-2</v>
          </cell>
          <cell r="V46">
            <v>1E-3</v>
          </cell>
          <cell r="W46" t="str">
            <v>NA</v>
          </cell>
          <cell r="X46" t="str">
            <v>NA</v>
          </cell>
          <cell r="Y46" t="str">
            <v>NA</v>
          </cell>
          <cell r="Z46" t="str">
            <v>NA</v>
          </cell>
          <cell r="AA46" t="str">
            <v>NA</v>
          </cell>
          <cell r="AB46" t="str">
            <v>Cazetta 2007</v>
          </cell>
        </row>
        <row r="47">
          <cell r="A47" t="str">
            <v>Guatteria sellowiana</v>
          </cell>
          <cell r="B47" t="str">
            <v>Annonaceae</v>
          </cell>
          <cell r="C47" t="str">
            <v>NA</v>
          </cell>
          <cell r="D47" t="str">
            <v>black</v>
          </cell>
          <cell r="E47" t="str">
            <v>YES</v>
          </cell>
          <cell r="F47">
            <v>6</v>
          </cell>
          <cell r="G47">
            <v>11.265000000000001</v>
          </cell>
          <cell r="H47">
            <v>5.52</v>
          </cell>
          <cell r="I47">
            <v>8.5</v>
          </cell>
          <cell r="J47">
            <v>0.38</v>
          </cell>
          <cell r="K47" t="str">
            <v>NA</v>
          </cell>
          <cell r="L47" t="str">
            <v>NA</v>
          </cell>
          <cell r="M47" t="str">
            <v>NA</v>
          </cell>
          <cell r="N47" t="str">
            <v>NA</v>
          </cell>
          <cell r="O47">
            <v>1</v>
          </cell>
          <cell r="P47" t="str">
            <v>NA</v>
          </cell>
          <cell r="Q47" t="str">
            <v>NA</v>
          </cell>
          <cell r="R47" t="str">
            <v>ATLANTIC, Motta Jr. 1981</v>
          </cell>
          <cell r="S47">
            <v>0.67800000000000005</v>
          </cell>
          <cell r="T47">
            <v>8.5999999999999993E-2</v>
          </cell>
          <cell r="U47" t="str">
            <v>NA</v>
          </cell>
          <cell r="V47" t="str">
            <v>NA</v>
          </cell>
          <cell r="W47" t="str">
            <v>NA</v>
          </cell>
          <cell r="X47" t="str">
            <v>NA</v>
          </cell>
          <cell r="Y47" t="str">
            <v>NA</v>
          </cell>
          <cell r="Z47" t="str">
            <v>NA</v>
          </cell>
          <cell r="AA47" t="str">
            <v>NA</v>
          </cell>
          <cell r="AB47" t="str">
            <v>Motta Jr. 1981</v>
          </cell>
        </row>
        <row r="48">
          <cell r="A48" t="str">
            <v>Guettarda viburnoides</v>
          </cell>
          <cell r="B48" t="str">
            <v>Rubiaceae</v>
          </cell>
          <cell r="C48" t="str">
            <v>NA</v>
          </cell>
          <cell r="D48" t="str">
            <v>black</v>
          </cell>
          <cell r="E48" t="str">
            <v>YES</v>
          </cell>
          <cell r="F48">
            <v>9.8000000000000007</v>
          </cell>
          <cell r="G48">
            <v>8.1</v>
          </cell>
          <cell r="H48">
            <v>13.3</v>
          </cell>
          <cell r="I48">
            <v>15</v>
          </cell>
          <cell r="J48" t="str">
            <v>NA</v>
          </cell>
          <cell r="K48" t="str">
            <v>NA</v>
          </cell>
          <cell r="L48" t="str">
            <v>NA</v>
          </cell>
          <cell r="M48" t="str">
            <v>NA</v>
          </cell>
          <cell r="N48" t="str">
            <v>NA</v>
          </cell>
          <cell r="O48" t="str">
            <v>NA</v>
          </cell>
          <cell r="P48" t="str">
            <v>NA</v>
          </cell>
          <cell r="Q48" t="str">
            <v>NA</v>
          </cell>
          <cell r="R48" t="str">
            <v>ATLANTIC</v>
          </cell>
          <cell r="S48" t="str">
            <v>NA</v>
          </cell>
          <cell r="T48" t="str">
            <v>NA</v>
          </cell>
          <cell r="U48" t="str">
            <v>NA</v>
          </cell>
          <cell r="V48" t="str">
            <v>NA</v>
          </cell>
          <cell r="W48" t="str">
            <v>NA</v>
          </cell>
          <cell r="X48" t="str">
            <v>NA</v>
          </cell>
          <cell r="Y48" t="str">
            <v>NA</v>
          </cell>
          <cell r="Z48" t="str">
            <v>NA</v>
          </cell>
          <cell r="AA48" t="str">
            <v>NA</v>
          </cell>
          <cell r="AB48" t="str">
            <v>NA</v>
          </cell>
        </row>
        <row r="49">
          <cell r="A49" t="str">
            <v>Henriettea saldanhaei</v>
          </cell>
          <cell r="B49" t="str">
            <v>Melastomataceae</v>
          </cell>
          <cell r="C49" t="str">
            <v>NA</v>
          </cell>
          <cell r="D49" t="str">
            <v>red</v>
          </cell>
          <cell r="E49" t="str">
            <v>YES</v>
          </cell>
          <cell r="F49">
            <v>11.9</v>
          </cell>
          <cell r="G49">
            <v>13.3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  <cell r="M49" t="str">
            <v>NA</v>
          </cell>
          <cell r="N49" t="str">
            <v>NA</v>
          </cell>
          <cell r="O49" t="str">
            <v>NA</v>
          </cell>
          <cell r="P49" t="str">
            <v>NA</v>
          </cell>
          <cell r="Q49" t="str">
            <v>NA</v>
          </cell>
          <cell r="R49" t="str">
            <v>Correia 1997</v>
          </cell>
          <cell r="S49" t="str">
            <v>NA</v>
          </cell>
          <cell r="T49" t="str">
            <v>NA</v>
          </cell>
          <cell r="U49" t="str">
            <v>NA</v>
          </cell>
          <cell r="V49" t="str">
            <v>NA</v>
          </cell>
          <cell r="W49" t="str">
            <v>NA</v>
          </cell>
          <cell r="X49" t="str">
            <v>NA</v>
          </cell>
          <cell r="Y49" t="str">
            <v>NA</v>
          </cell>
          <cell r="Z49" t="str">
            <v>NA</v>
          </cell>
          <cell r="AA49" t="str">
            <v>NA</v>
          </cell>
          <cell r="AB49" t="str">
            <v>NA</v>
          </cell>
        </row>
        <row r="50">
          <cell r="A50" t="str">
            <v>Hirtella ciliata</v>
          </cell>
          <cell r="B50" t="str">
            <v>Chrysobalanaceae</v>
          </cell>
          <cell r="C50" t="str">
            <v>NA</v>
          </cell>
          <cell r="D50" t="str">
            <v>NA</v>
          </cell>
          <cell r="E50" t="str">
            <v>YES</v>
          </cell>
          <cell r="F50" t="str">
            <v>NA</v>
          </cell>
          <cell r="G50" t="str">
            <v>NA</v>
          </cell>
          <cell r="H50" t="str">
            <v>NA</v>
          </cell>
          <cell r="I50" t="str">
            <v>NA</v>
          </cell>
          <cell r="J50" t="str">
            <v>NA</v>
          </cell>
          <cell r="K50" t="str">
            <v>NA</v>
          </cell>
          <cell r="L50" t="str">
            <v>NA</v>
          </cell>
          <cell r="M50" t="str">
            <v>NA</v>
          </cell>
          <cell r="N50" t="str">
            <v>NA</v>
          </cell>
          <cell r="O50" t="str">
            <v>NA</v>
          </cell>
          <cell r="P50" t="str">
            <v>NA</v>
          </cell>
          <cell r="Q50" t="str">
            <v>NA</v>
          </cell>
          <cell r="R50" t="str">
            <v>NA</v>
          </cell>
          <cell r="S50" t="str">
            <v>NA</v>
          </cell>
          <cell r="T50" t="str">
            <v>NA</v>
          </cell>
          <cell r="U50" t="str">
            <v>NA</v>
          </cell>
          <cell r="V50" t="str">
            <v>NA</v>
          </cell>
          <cell r="W50" t="str">
            <v>NA</v>
          </cell>
          <cell r="X50" t="str">
            <v>NA</v>
          </cell>
          <cell r="Y50" t="str">
            <v>NA</v>
          </cell>
          <cell r="Z50" t="str">
            <v>NA</v>
          </cell>
          <cell r="AA50" t="str">
            <v>NA</v>
          </cell>
          <cell r="AB50" t="str">
            <v>NA</v>
          </cell>
        </row>
        <row r="51">
          <cell r="A51" t="str">
            <v>Ilex brevicuspis</v>
          </cell>
          <cell r="B51" t="str">
            <v>Aquifoliaceae</v>
          </cell>
          <cell r="C51" t="str">
            <v>NA</v>
          </cell>
          <cell r="D51" t="str">
            <v>black</v>
          </cell>
          <cell r="E51" t="str">
            <v>YES</v>
          </cell>
          <cell r="F51">
            <v>3.145</v>
          </cell>
          <cell r="G51">
            <v>3.86</v>
          </cell>
          <cell r="H51">
            <v>1.7779999999999998</v>
          </cell>
          <cell r="I51">
            <v>2.8553333333333337</v>
          </cell>
          <cell r="J51">
            <v>4.8799999999999996E-2</v>
          </cell>
          <cell r="K51" t="str">
            <v>NA</v>
          </cell>
          <cell r="L51">
            <v>5.3900000000000007E-3</v>
          </cell>
          <cell r="M51">
            <v>2.9100000000000004E-2</v>
          </cell>
          <cell r="N51">
            <v>1.9699999999999999E-2</v>
          </cell>
          <cell r="O51">
            <v>4.0999999999999996</v>
          </cell>
          <cell r="P51" t="str">
            <v>NA</v>
          </cell>
          <cell r="Q51">
            <v>1.4771573604060917</v>
          </cell>
          <cell r="R51" t="str">
            <v>ATLANTIC, Clóvis Azambuja, unpubl., Erica&amp;Wesley</v>
          </cell>
          <cell r="S51" t="str">
            <v>NA</v>
          </cell>
          <cell r="T51" t="str">
            <v>NA</v>
          </cell>
          <cell r="U51" t="str">
            <v>NA</v>
          </cell>
          <cell r="V51" t="str">
            <v>NA</v>
          </cell>
          <cell r="W51" t="str">
            <v>NA</v>
          </cell>
          <cell r="X51" t="str">
            <v>NA</v>
          </cell>
          <cell r="Y51" t="str">
            <v>NA</v>
          </cell>
          <cell r="Z51" t="str">
            <v>NA</v>
          </cell>
          <cell r="AA51" t="str">
            <v>NA</v>
          </cell>
          <cell r="AB51" t="str">
            <v>NA</v>
          </cell>
        </row>
        <row r="52">
          <cell r="A52" t="str">
            <v>Ilex paraguariensis</v>
          </cell>
          <cell r="B52" t="str">
            <v>Aquifoliaceae</v>
          </cell>
          <cell r="C52" t="str">
            <v>NA</v>
          </cell>
          <cell r="D52" t="str">
            <v>black</v>
          </cell>
          <cell r="E52" t="str">
            <v>YES</v>
          </cell>
          <cell r="F52">
            <v>7.9049999999999994</v>
          </cell>
          <cell r="G52">
            <v>9.2249999999999996</v>
          </cell>
          <cell r="H52">
            <v>2.7313333333333332</v>
          </cell>
          <cell r="I52">
            <v>4.056</v>
          </cell>
          <cell r="J52">
            <v>0.23</v>
          </cell>
          <cell r="K52">
            <v>0.18</v>
          </cell>
          <cell r="L52">
            <v>2.9020000000000001E-2</v>
          </cell>
          <cell r="M52">
            <v>0.05</v>
          </cell>
          <cell r="N52" t="str">
            <v>NA</v>
          </cell>
          <cell r="O52">
            <v>3.7</v>
          </cell>
          <cell r="P52" t="str">
            <v>NA</v>
          </cell>
          <cell r="Q52">
            <v>1</v>
          </cell>
          <cell r="R52" t="str">
            <v>ATLANTIC, Cazetta 2007, Clóvis Azambuja, unpubl.</v>
          </cell>
          <cell r="S52" t="str">
            <v>NA</v>
          </cell>
          <cell r="T52" t="str">
            <v>NA</v>
          </cell>
          <cell r="U52" t="str">
            <v>NA</v>
          </cell>
          <cell r="V52" t="str">
            <v>NA</v>
          </cell>
          <cell r="W52" t="str">
            <v>NA</v>
          </cell>
          <cell r="X52" t="str">
            <v>NA</v>
          </cell>
          <cell r="Y52" t="str">
            <v>NA</v>
          </cell>
          <cell r="Z52" t="str">
            <v>NA</v>
          </cell>
          <cell r="AA52" t="str">
            <v>NA</v>
          </cell>
          <cell r="AB52" t="str">
            <v>NA</v>
          </cell>
        </row>
        <row r="53">
          <cell r="A53" t="str">
            <v>Lantana pohliana</v>
          </cell>
          <cell r="B53" t="str">
            <v>Verbenaceae</v>
          </cell>
          <cell r="C53" t="str">
            <v>NA</v>
          </cell>
          <cell r="D53" t="str">
            <v>black</v>
          </cell>
          <cell r="E53" t="str">
            <v>YES</v>
          </cell>
          <cell r="F53">
            <v>5</v>
          </cell>
          <cell r="G53">
            <v>4.4000000000000004</v>
          </cell>
          <cell r="H53">
            <v>3</v>
          </cell>
          <cell r="I53">
            <v>3.3</v>
          </cell>
          <cell r="J53">
            <v>7.0999999999999994E-2</v>
          </cell>
          <cell r="K53" t="str">
            <v>NA</v>
          </cell>
          <cell r="L53">
            <v>7.0000000000000001E-3</v>
          </cell>
          <cell r="M53" t="str">
            <v>NA</v>
          </cell>
          <cell r="N53" t="str">
            <v>NA</v>
          </cell>
          <cell r="O53">
            <v>1</v>
          </cell>
          <cell r="P53" t="str">
            <v>NA</v>
          </cell>
          <cell r="Q53" t="str">
            <v>NA</v>
          </cell>
          <cell r="R53" t="str">
            <v>Angel-de-Oliveira 1999</v>
          </cell>
          <cell r="S53" t="str">
            <v>NA</v>
          </cell>
          <cell r="T53" t="str">
            <v>NA</v>
          </cell>
          <cell r="U53" t="str">
            <v>NA</v>
          </cell>
          <cell r="V53" t="str">
            <v>NA</v>
          </cell>
          <cell r="W53" t="str">
            <v>NA</v>
          </cell>
          <cell r="X53" t="str">
            <v>NA</v>
          </cell>
          <cell r="Y53" t="str">
            <v>NA</v>
          </cell>
          <cell r="Z53" t="str">
            <v>NA</v>
          </cell>
          <cell r="AA53" t="str">
            <v>NA</v>
          </cell>
          <cell r="AB53" t="str">
            <v>NA</v>
          </cell>
        </row>
        <row r="54">
          <cell r="A54" t="str">
            <v>Leandra carassana</v>
          </cell>
          <cell r="B54" t="str">
            <v>Melastomataceae</v>
          </cell>
          <cell r="C54" t="str">
            <v>Leandra sublanata</v>
          </cell>
          <cell r="D54" t="str">
            <v>black</v>
          </cell>
          <cell r="E54" t="str">
            <v>YES</v>
          </cell>
          <cell r="F54">
            <v>6.81</v>
          </cell>
          <cell r="G54">
            <v>7.05</v>
          </cell>
          <cell r="H54">
            <v>0.61</v>
          </cell>
          <cell r="I54">
            <v>1.1399999999999999</v>
          </cell>
          <cell r="J54">
            <v>0.188</v>
          </cell>
          <cell r="K54" t="str">
            <v>NA</v>
          </cell>
          <cell r="L54">
            <v>1E-3</v>
          </cell>
          <cell r="M54" t="str">
            <v>NA</v>
          </cell>
          <cell r="N54" t="str">
            <v>NA</v>
          </cell>
          <cell r="O54">
            <v>160.19999999999999</v>
          </cell>
          <cell r="P54" t="str">
            <v>NA</v>
          </cell>
          <cell r="Q54" t="str">
            <v>NA</v>
          </cell>
          <cell r="R54" t="str">
            <v>Gridi-Papp et al. 2004</v>
          </cell>
          <cell r="S54" t="str">
            <v>NA</v>
          </cell>
          <cell r="T54" t="str">
            <v>NA</v>
          </cell>
          <cell r="U54" t="str">
            <v>NA</v>
          </cell>
          <cell r="V54" t="str">
            <v>NA</v>
          </cell>
          <cell r="W54" t="str">
            <v>NA</v>
          </cell>
          <cell r="X54" t="str">
            <v>NA</v>
          </cell>
          <cell r="Y54" t="str">
            <v>NA</v>
          </cell>
          <cell r="Z54" t="str">
            <v>NA</v>
          </cell>
          <cell r="AA54" t="str">
            <v>NA</v>
          </cell>
          <cell r="AB54" t="str">
            <v>NA</v>
          </cell>
        </row>
        <row r="55">
          <cell r="A55" t="str">
            <v>Livistona chinensis</v>
          </cell>
          <cell r="B55" t="str">
            <v>Arecaceae</v>
          </cell>
          <cell r="C55" t="str">
            <v>NA</v>
          </cell>
          <cell r="D55" t="str">
            <v>green</v>
          </cell>
          <cell r="E55" t="str">
            <v>YES</v>
          </cell>
          <cell r="F55">
            <v>14.1</v>
          </cell>
          <cell r="G55">
            <v>20.149999999999999</v>
          </cell>
          <cell r="H55">
            <v>10</v>
          </cell>
          <cell r="I55">
            <v>14</v>
          </cell>
          <cell r="J55" t="str">
            <v>NA</v>
          </cell>
          <cell r="K55" t="str">
            <v>NA</v>
          </cell>
          <cell r="L55" t="str">
            <v>NA</v>
          </cell>
          <cell r="M55" t="str">
            <v>NA</v>
          </cell>
          <cell r="N55" t="str">
            <v>NA</v>
          </cell>
          <cell r="O55">
            <v>1</v>
          </cell>
          <cell r="P55" t="str">
            <v>NA</v>
          </cell>
          <cell r="Q55" t="str">
            <v>NA</v>
          </cell>
          <cell r="R55" t="str">
            <v>ATLANTIC, Alves 2008</v>
          </cell>
          <cell r="S55" t="str">
            <v>NA</v>
          </cell>
          <cell r="T55" t="str">
            <v>NA</v>
          </cell>
          <cell r="U55" t="str">
            <v>NA</v>
          </cell>
          <cell r="V55" t="str">
            <v>NA</v>
          </cell>
          <cell r="W55" t="str">
            <v>NA</v>
          </cell>
          <cell r="X55" t="str">
            <v>NA</v>
          </cell>
          <cell r="Y55" t="str">
            <v>NA</v>
          </cell>
          <cell r="Z55" t="str">
            <v>NA</v>
          </cell>
          <cell r="AA55" t="str">
            <v>NA</v>
          </cell>
          <cell r="AB55" t="str">
            <v>NA</v>
          </cell>
        </row>
        <row r="56">
          <cell r="A56" t="str">
            <v>Magnolia ovata</v>
          </cell>
          <cell r="B56" t="str">
            <v>Magnoliaceae</v>
          </cell>
          <cell r="C56" t="str">
            <v>Talauma ovata</v>
          </cell>
          <cell r="D56" t="str">
            <v>red</v>
          </cell>
          <cell r="E56" t="str">
            <v>YES</v>
          </cell>
          <cell r="F56">
            <v>10.39</v>
          </cell>
          <cell r="G56">
            <v>12.803333333333333</v>
          </cell>
          <cell r="H56">
            <v>8.7100000000000009</v>
          </cell>
          <cell r="I56">
            <v>11.563333333333333</v>
          </cell>
          <cell r="J56">
            <v>0.52190000000000003</v>
          </cell>
          <cell r="K56" t="str">
            <v>NA</v>
          </cell>
          <cell r="L56">
            <v>0.23940000000000003</v>
          </cell>
          <cell r="M56">
            <v>0.26500000000000001</v>
          </cell>
          <cell r="N56">
            <v>0.27880000000000005</v>
          </cell>
          <cell r="O56">
            <v>50</v>
          </cell>
          <cell r="P56" t="str">
            <v>NA</v>
          </cell>
          <cell r="Q56">
            <v>0.95050215208034416</v>
          </cell>
          <cell r="R56" t="str">
            <v>ATLANTIC, Erica&amp;Wesley, Intervales_morfo</v>
          </cell>
          <cell r="S56" t="str">
            <v>NA</v>
          </cell>
          <cell r="T56">
            <v>0.52600000000000002</v>
          </cell>
          <cell r="U56">
            <v>7.2999999999999995E-2</v>
          </cell>
          <cell r="V56">
            <v>4.0000000000000001E-3</v>
          </cell>
          <cell r="W56">
            <v>7.0000000000000007E-2</v>
          </cell>
          <cell r="X56" t="str">
            <v>NA</v>
          </cell>
          <cell r="Y56" t="str">
            <v>NA</v>
          </cell>
          <cell r="Z56" t="str">
            <v>NA</v>
          </cell>
          <cell r="AA56" t="str">
            <v>NA</v>
          </cell>
          <cell r="AB56" t="str">
            <v>Erica &amp; Wesley, unpubl.</v>
          </cell>
        </row>
        <row r="57">
          <cell r="A57" t="str">
            <v>Matayba elaeagnoides</v>
          </cell>
          <cell r="B57" t="str">
            <v>Sapindaceae</v>
          </cell>
          <cell r="C57" t="str">
            <v>NA</v>
          </cell>
          <cell r="D57" t="str">
            <v>yellow</v>
          </cell>
          <cell r="E57" t="str">
            <v>YES</v>
          </cell>
          <cell r="F57">
            <v>11.5</v>
          </cell>
          <cell r="G57">
            <v>14.5</v>
          </cell>
          <cell r="H57">
            <v>7.25</v>
          </cell>
          <cell r="I57">
            <v>10.5</v>
          </cell>
          <cell r="J57" t="str">
            <v>NA</v>
          </cell>
          <cell r="K57" t="str">
            <v>NA</v>
          </cell>
          <cell r="L57">
            <v>0.5</v>
          </cell>
          <cell r="M57" t="str">
            <v>NA</v>
          </cell>
          <cell r="N57" t="str">
            <v>NA</v>
          </cell>
          <cell r="O57">
            <v>3</v>
          </cell>
          <cell r="P57" t="str">
            <v>NA</v>
          </cell>
          <cell r="Q57" t="str">
            <v>NA</v>
          </cell>
          <cell r="R57" t="str">
            <v>ATLANTIC, Intervales_morfo</v>
          </cell>
          <cell r="S57" t="str">
            <v>NA</v>
          </cell>
          <cell r="T57">
            <v>0.27699999999999997</v>
          </cell>
          <cell r="U57" t="str">
            <v>NA</v>
          </cell>
          <cell r="V57" t="str">
            <v>NA</v>
          </cell>
          <cell r="W57" t="str">
            <v>NA</v>
          </cell>
          <cell r="X57" t="str">
            <v>NA</v>
          </cell>
          <cell r="Y57" t="str">
            <v>NA</v>
          </cell>
          <cell r="Z57" t="str">
            <v>NA</v>
          </cell>
          <cell r="AA57" t="str">
            <v>NA</v>
          </cell>
          <cell r="AB57" t="str">
            <v>Saibadela</v>
          </cell>
        </row>
        <row r="58">
          <cell r="A58" t="str">
            <v>Matayba guianensis</v>
          </cell>
          <cell r="B58" t="str">
            <v>Sapindaceae</v>
          </cell>
          <cell r="C58" t="str">
            <v>NA</v>
          </cell>
          <cell r="D58" t="str">
            <v>yellow</v>
          </cell>
          <cell r="E58" t="str">
            <v>YES</v>
          </cell>
          <cell r="F58">
            <v>10.897777777777778</v>
          </cell>
          <cell r="G58">
            <v>11.127777777777778</v>
          </cell>
          <cell r="H58">
            <v>6.7577777777777772</v>
          </cell>
          <cell r="I58">
            <v>9.5722222222222229</v>
          </cell>
          <cell r="J58">
            <v>0.23400000000000004</v>
          </cell>
          <cell r="K58" t="str">
            <v>NA</v>
          </cell>
          <cell r="L58">
            <v>0.10277777777777776</v>
          </cell>
          <cell r="M58">
            <v>0.14022222222222222</v>
          </cell>
          <cell r="N58">
            <v>9.3777777777777793E-2</v>
          </cell>
          <cell r="O58">
            <v>1</v>
          </cell>
          <cell r="P58" t="str">
            <v>NA</v>
          </cell>
          <cell r="Q58">
            <v>1.4952606635071088</v>
          </cell>
          <cell r="R58" t="str">
            <v>ATLANTIC, Erica&amp;Wesley</v>
          </cell>
          <cell r="S58" t="str">
            <v>NA</v>
          </cell>
          <cell r="T58" t="str">
            <v>NA</v>
          </cell>
          <cell r="U58">
            <v>8.7809999999999999E-2</v>
          </cell>
          <cell r="V58" t="str">
            <v>NA</v>
          </cell>
          <cell r="W58" t="str">
            <v>NA</v>
          </cell>
          <cell r="X58" t="str">
            <v>NA</v>
          </cell>
          <cell r="Y58" t="str">
            <v>NA</v>
          </cell>
          <cell r="Z58" t="str">
            <v>NA</v>
          </cell>
          <cell r="AA58" t="str">
            <v>NA</v>
          </cell>
          <cell r="AB58" t="str">
            <v>Erica &amp; Wesley, unpubl.</v>
          </cell>
        </row>
        <row r="59">
          <cell r="A59" t="str">
            <v>Melia azedarach</v>
          </cell>
          <cell r="B59" t="str">
            <v>Meliaceae</v>
          </cell>
          <cell r="C59" t="str">
            <v>NA</v>
          </cell>
          <cell r="D59" t="str">
            <v>yellow</v>
          </cell>
          <cell r="E59" t="str">
            <v>YES</v>
          </cell>
          <cell r="F59">
            <v>12</v>
          </cell>
          <cell r="G59">
            <v>18</v>
          </cell>
          <cell r="H59">
            <v>1.6</v>
          </cell>
          <cell r="I59">
            <v>3.5</v>
          </cell>
          <cell r="J59">
            <v>1.19</v>
          </cell>
          <cell r="K59" t="str">
            <v>NA</v>
          </cell>
          <cell r="L59" t="str">
            <v>NA</v>
          </cell>
          <cell r="M59">
            <v>0.27</v>
          </cell>
          <cell r="N59" t="str">
            <v>NA</v>
          </cell>
          <cell r="O59" t="str">
            <v>NA</v>
          </cell>
          <cell r="P59" t="str">
            <v>NA</v>
          </cell>
          <cell r="Q59" t="str">
            <v>NA</v>
          </cell>
          <cell r="R59" t="str">
            <v>ATLANTIC, Castro 2001</v>
          </cell>
          <cell r="S59">
            <v>0.629</v>
          </cell>
          <cell r="T59">
            <v>4.8850000000000005E-2</v>
          </cell>
          <cell r="U59">
            <v>6.0950000000000004E-2</v>
          </cell>
          <cell r="V59" t="str">
            <v>NA</v>
          </cell>
          <cell r="W59" t="str">
            <v>NA</v>
          </cell>
          <cell r="X59" t="str">
            <v>NA</v>
          </cell>
          <cell r="Y59" t="str">
            <v>NA</v>
          </cell>
          <cell r="Z59">
            <v>4.3999999999999997E-2</v>
          </cell>
          <cell r="AA59">
            <v>0.38679999999999998</v>
          </cell>
          <cell r="AB59" t="str">
            <v>Chiffelle et al 2009 Chilean J of Agricultural Research, FRUBASE</v>
          </cell>
        </row>
        <row r="60">
          <cell r="A60" t="str">
            <v>Meliosma sinuata</v>
          </cell>
          <cell r="B60" t="str">
            <v>Sabiaceae</v>
          </cell>
          <cell r="C60" t="str">
            <v>NA</v>
          </cell>
          <cell r="D60" t="str">
            <v>white</v>
          </cell>
          <cell r="E60" t="str">
            <v>YES</v>
          </cell>
          <cell r="F60">
            <v>21</v>
          </cell>
          <cell r="G60">
            <v>29</v>
          </cell>
          <cell r="H60">
            <v>11</v>
          </cell>
          <cell r="I60">
            <v>14</v>
          </cell>
          <cell r="J60">
            <v>5.2</v>
          </cell>
          <cell r="K60" t="str">
            <v>NA</v>
          </cell>
          <cell r="L60">
            <v>1.1000000000000001</v>
          </cell>
          <cell r="M60" t="str">
            <v>NA</v>
          </cell>
          <cell r="N60" t="str">
            <v>NA</v>
          </cell>
          <cell r="O60">
            <v>1</v>
          </cell>
          <cell r="P60" t="str">
            <v>NA</v>
          </cell>
          <cell r="Q60" t="str">
            <v>NA</v>
          </cell>
          <cell r="R60" t="str">
            <v>Intervales_morfo</v>
          </cell>
          <cell r="S60" t="str">
            <v>NA</v>
          </cell>
          <cell r="T60" t="str">
            <v>NA</v>
          </cell>
          <cell r="U60" t="str">
            <v>NA</v>
          </cell>
          <cell r="V60" t="str">
            <v>NA</v>
          </cell>
          <cell r="W60" t="str">
            <v>NA</v>
          </cell>
          <cell r="X60" t="str">
            <v>NA</v>
          </cell>
          <cell r="Y60" t="str">
            <v>NA</v>
          </cell>
          <cell r="Z60" t="str">
            <v>NA</v>
          </cell>
          <cell r="AA60" t="str">
            <v>NA</v>
          </cell>
          <cell r="AB60" t="str">
            <v>NA</v>
          </cell>
        </row>
        <row r="61">
          <cell r="A61" t="str">
            <v>Miconia albicans</v>
          </cell>
          <cell r="B61" t="str">
            <v>Melastomataceae</v>
          </cell>
          <cell r="C61" t="str">
            <v>NA</v>
          </cell>
          <cell r="D61" t="str">
            <v>black</v>
          </cell>
          <cell r="E61" t="str">
            <v>YES</v>
          </cell>
          <cell r="F61">
            <v>6.9700000000000006</v>
          </cell>
          <cell r="G61">
            <v>5.0200000000000005</v>
          </cell>
          <cell r="H61">
            <v>0.86</v>
          </cell>
          <cell r="I61">
            <v>1.02</v>
          </cell>
          <cell r="J61">
            <v>0.215</v>
          </cell>
          <cell r="K61" t="str">
            <v>NA</v>
          </cell>
          <cell r="L61" t="str">
            <v>NA</v>
          </cell>
          <cell r="M61" t="str">
            <v>NA</v>
          </cell>
          <cell r="N61" t="str">
            <v>NA</v>
          </cell>
          <cell r="O61">
            <v>31.060000000000002</v>
          </cell>
          <cell r="P61">
            <v>24</v>
          </cell>
          <cell r="Q61" t="str">
            <v>NA</v>
          </cell>
          <cell r="R61" t="str">
            <v>ATLANTIC, Alves 2008, Camargo 2014, Gondim 2002, Correia 1997</v>
          </cell>
          <cell r="S61" t="str">
            <v>NA</v>
          </cell>
          <cell r="T61" t="str">
            <v>NA</v>
          </cell>
          <cell r="U61" t="str">
            <v>NA</v>
          </cell>
          <cell r="V61" t="str">
            <v>NA</v>
          </cell>
          <cell r="W61" t="str">
            <v>NA</v>
          </cell>
          <cell r="X61" t="str">
            <v>NA</v>
          </cell>
          <cell r="Y61" t="str">
            <v>NA</v>
          </cell>
          <cell r="Z61" t="str">
            <v>NA</v>
          </cell>
          <cell r="AA61" t="str">
            <v>NA</v>
          </cell>
          <cell r="AB61" t="str">
            <v>NA</v>
          </cell>
        </row>
        <row r="62">
          <cell r="A62" t="str">
            <v>Miconia chartacea</v>
          </cell>
          <cell r="B62" t="str">
            <v>Melastomataceae</v>
          </cell>
          <cell r="C62" t="str">
            <v>NA</v>
          </cell>
          <cell r="D62" t="str">
            <v>black</v>
          </cell>
          <cell r="E62" t="str">
            <v>YES</v>
          </cell>
          <cell r="F62">
            <v>4</v>
          </cell>
          <cell r="G62">
            <v>3.3</v>
          </cell>
          <cell r="H62" t="str">
            <v>NA</v>
          </cell>
          <cell r="I62" t="str">
            <v>NA</v>
          </cell>
          <cell r="J62" t="str">
            <v>NA</v>
          </cell>
          <cell r="K62" t="str">
            <v>NA</v>
          </cell>
          <cell r="L62" t="str">
            <v>NA</v>
          </cell>
          <cell r="M62" t="str">
            <v>NA</v>
          </cell>
          <cell r="N62" t="str">
            <v>NA</v>
          </cell>
          <cell r="O62" t="str">
            <v>NA</v>
          </cell>
          <cell r="P62" t="str">
            <v>NA</v>
          </cell>
          <cell r="Q62" t="str">
            <v>NA</v>
          </cell>
          <cell r="R62" t="str">
            <v>ATLANTIC</v>
          </cell>
          <cell r="S62" t="str">
            <v>NA</v>
          </cell>
          <cell r="T62" t="str">
            <v>NA</v>
          </cell>
          <cell r="U62" t="str">
            <v>NA</v>
          </cell>
          <cell r="V62" t="str">
            <v>NA</v>
          </cell>
          <cell r="W62" t="str">
            <v>NA</v>
          </cell>
          <cell r="X62" t="str">
            <v>NA</v>
          </cell>
          <cell r="Y62" t="str">
            <v>NA</v>
          </cell>
          <cell r="Z62" t="str">
            <v>NA</v>
          </cell>
          <cell r="AA62" t="str">
            <v>NA</v>
          </cell>
          <cell r="AB62" t="str">
            <v>NA</v>
          </cell>
        </row>
        <row r="63">
          <cell r="A63" t="str">
            <v>Miconia cinerascens</v>
          </cell>
          <cell r="B63" t="str">
            <v>Melastomataceae</v>
          </cell>
          <cell r="C63" t="str">
            <v>NA</v>
          </cell>
          <cell r="D63" t="str">
            <v>black</v>
          </cell>
          <cell r="E63" t="str">
            <v>YES</v>
          </cell>
          <cell r="F63">
            <v>4.8899999999999997</v>
          </cell>
          <cell r="G63">
            <v>4.1950000000000003</v>
          </cell>
          <cell r="H63">
            <v>2.34</v>
          </cell>
          <cell r="I63">
            <v>1.47</v>
          </cell>
          <cell r="J63">
            <v>0.124</v>
          </cell>
          <cell r="K63" t="str">
            <v>NA</v>
          </cell>
          <cell r="L63">
            <v>3.8E-3</v>
          </cell>
          <cell r="M63" t="str">
            <v>NA</v>
          </cell>
          <cell r="N63" t="str">
            <v>NA</v>
          </cell>
          <cell r="O63">
            <v>4.55</v>
          </cell>
          <cell r="P63" t="str">
            <v>NA</v>
          </cell>
          <cell r="Q63" t="str">
            <v>NA</v>
          </cell>
          <cell r="R63" t="str">
            <v>ATLANTIC, Kindel 1996, Gridi-Papp et al. 2004</v>
          </cell>
          <cell r="S63" t="str">
            <v>NA</v>
          </cell>
          <cell r="T63" t="str">
            <v>NA</v>
          </cell>
          <cell r="U63" t="str">
            <v>NA</v>
          </cell>
          <cell r="V63" t="str">
            <v>NA</v>
          </cell>
          <cell r="W63" t="str">
            <v>NA</v>
          </cell>
          <cell r="X63" t="str">
            <v>NA</v>
          </cell>
          <cell r="Y63" t="str">
            <v>NA</v>
          </cell>
          <cell r="Z63" t="str">
            <v>NA</v>
          </cell>
          <cell r="AA63" t="str">
            <v>NA</v>
          </cell>
          <cell r="AB63" t="str">
            <v>NA</v>
          </cell>
        </row>
        <row r="64">
          <cell r="A64" t="str">
            <v>Miconia cinnamomifolia</v>
          </cell>
          <cell r="B64" t="str">
            <v>Melastomataceae</v>
          </cell>
          <cell r="C64" t="str">
            <v>NA</v>
          </cell>
          <cell r="D64" t="str">
            <v>black</v>
          </cell>
          <cell r="E64" t="str">
            <v>YES</v>
          </cell>
          <cell r="F64">
            <v>3.16</v>
          </cell>
          <cell r="G64">
            <v>4.0274999999999999</v>
          </cell>
          <cell r="H64">
            <v>0.55000000000000004</v>
          </cell>
          <cell r="I64">
            <v>0.8</v>
          </cell>
          <cell r="J64" t="str">
            <v>NA</v>
          </cell>
          <cell r="K64" t="str">
            <v>NA</v>
          </cell>
          <cell r="L64" t="str">
            <v>NA</v>
          </cell>
          <cell r="M64" t="str">
            <v>NA</v>
          </cell>
          <cell r="N64" t="str">
            <v>NA</v>
          </cell>
          <cell r="O64" t="str">
            <v>NA</v>
          </cell>
          <cell r="P64" t="str">
            <v>NA</v>
          </cell>
          <cell r="Q64" t="str">
            <v>NA</v>
          </cell>
          <cell r="R64" t="str">
            <v>ATLANTIC, Erica&amp;Wesley, Alves 2008, Correia 1997</v>
          </cell>
          <cell r="S64" t="str">
            <v>NA</v>
          </cell>
          <cell r="T64" t="str">
            <v>NA</v>
          </cell>
          <cell r="U64" t="str">
            <v>NA</v>
          </cell>
          <cell r="V64" t="str">
            <v>NA</v>
          </cell>
          <cell r="W64" t="str">
            <v>NA</v>
          </cell>
          <cell r="X64" t="str">
            <v>NA</v>
          </cell>
          <cell r="Y64" t="str">
            <v>NA</v>
          </cell>
          <cell r="Z64" t="str">
            <v>NA</v>
          </cell>
          <cell r="AA64" t="str">
            <v>NA</v>
          </cell>
          <cell r="AB64" t="str">
            <v>NA</v>
          </cell>
        </row>
        <row r="65">
          <cell r="A65" t="str">
            <v>Miconia cuspidata</v>
          </cell>
          <cell r="B65" t="str">
            <v>Melastomataceae</v>
          </cell>
          <cell r="C65" t="str">
            <v>NA</v>
          </cell>
          <cell r="D65" t="str">
            <v>black</v>
          </cell>
          <cell r="E65" t="str">
            <v>YES</v>
          </cell>
          <cell r="F65">
            <v>4.25</v>
          </cell>
          <cell r="G65">
            <v>3.9000000000000004</v>
          </cell>
          <cell r="H65">
            <v>1</v>
          </cell>
          <cell r="I65" t="str">
            <v>NA</v>
          </cell>
          <cell r="J65">
            <v>0.06</v>
          </cell>
          <cell r="K65" t="str">
            <v>NA</v>
          </cell>
          <cell r="L65" t="str">
            <v>NA</v>
          </cell>
          <cell r="M65" t="str">
            <v>NA</v>
          </cell>
          <cell r="N65" t="str">
            <v>NA</v>
          </cell>
          <cell r="O65">
            <v>29.3</v>
          </cell>
          <cell r="P65" t="str">
            <v>NA</v>
          </cell>
          <cell r="Q65" t="str">
            <v>NA</v>
          </cell>
          <cell r="R65" t="str">
            <v>ATLANTIC, Motta Jr. 1981</v>
          </cell>
          <cell r="S65">
            <v>0.63900000000000001</v>
          </cell>
          <cell r="T65">
            <v>0.15</v>
          </cell>
          <cell r="U65" t="str">
            <v>NA</v>
          </cell>
          <cell r="V65" t="str">
            <v>NA</v>
          </cell>
          <cell r="W65" t="str">
            <v>NA</v>
          </cell>
          <cell r="X65" t="str">
            <v>NA</v>
          </cell>
          <cell r="Y65" t="str">
            <v>NA</v>
          </cell>
          <cell r="Z65" t="str">
            <v>NA</v>
          </cell>
          <cell r="AA65" t="str">
            <v>NA</v>
          </cell>
          <cell r="AB65" t="str">
            <v>Motta Jr. 1981</v>
          </cell>
        </row>
        <row r="66">
          <cell r="A66" t="str">
            <v>Miconia ligustroides</v>
          </cell>
          <cell r="B66" t="str">
            <v>Melastomataceae</v>
          </cell>
          <cell r="C66" t="str">
            <v>NA</v>
          </cell>
          <cell r="D66" t="str">
            <v>black</v>
          </cell>
          <cell r="E66" t="str">
            <v>YES</v>
          </cell>
          <cell r="F66">
            <v>4.3650000000000002</v>
          </cell>
          <cell r="G66">
            <v>3.7650000000000001</v>
          </cell>
          <cell r="H66">
            <v>0.96</v>
          </cell>
          <cell r="I66">
            <v>1.31</v>
          </cell>
          <cell r="J66">
            <v>0.10500000000000001</v>
          </cell>
          <cell r="K66" t="str">
            <v>NA</v>
          </cell>
          <cell r="L66">
            <v>1E-4</v>
          </cell>
          <cell r="M66" t="str">
            <v>NA</v>
          </cell>
          <cell r="N66" t="str">
            <v>NA</v>
          </cell>
          <cell r="O66">
            <v>19.484999999999999</v>
          </cell>
          <cell r="P66">
            <v>4</v>
          </cell>
          <cell r="Q66" t="str">
            <v>NA</v>
          </cell>
          <cell r="R66" t="str">
            <v>ATLANTIC, Camargo 2014, Gondim 2002</v>
          </cell>
          <cell r="S66" t="str">
            <v>NA</v>
          </cell>
          <cell r="T66" t="str">
            <v>NA</v>
          </cell>
          <cell r="U66" t="str">
            <v>NA</v>
          </cell>
          <cell r="V66" t="str">
            <v>NA</v>
          </cell>
          <cell r="W66" t="str">
            <v>NA</v>
          </cell>
          <cell r="X66" t="str">
            <v>NA</v>
          </cell>
          <cell r="Y66" t="str">
            <v>NA</v>
          </cell>
          <cell r="Z66" t="str">
            <v>NA</v>
          </cell>
          <cell r="AA66" t="str">
            <v>NA</v>
          </cell>
          <cell r="AB66" t="str">
            <v>NA</v>
          </cell>
        </row>
        <row r="67">
          <cell r="A67" t="str">
            <v>Miconia minutiflora</v>
          </cell>
          <cell r="B67" t="str">
            <v>Melastomataceae</v>
          </cell>
          <cell r="C67" t="str">
            <v>NA</v>
          </cell>
          <cell r="D67" t="str">
            <v>black</v>
          </cell>
          <cell r="E67" t="str">
            <v>YES</v>
          </cell>
          <cell r="F67">
            <v>3.27</v>
          </cell>
          <cell r="G67">
            <v>3.4350000000000001</v>
          </cell>
          <cell r="H67" t="str">
            <v>NA</v>
          </cell>
          <cell r="I67" t="str">
            <v>NA</v>
          </cell>
          <cell r="J67" t="str">
            <v>NA</v>
          </cell>
          <cell r="K67" t="str">
            <v>NA</v>
          </cell>
          <cell r="L67" t="str">
            <v>NA</v>
          </cell>
          <cell r="M67" t="str">
            <v>NA</v>
          </cell>
          <cell r="N67" t="str">
            <v>NA</v>
          </cell>
          <cell r="O67" t="str">
            <v>NA</v>
          </cell>
          <cell r="P67" t="str">
            <v>NA</v>
          </cell>
          <cell r="Q67" t="str">
            <v>NA</v>
          </cell>
          <cell r="R67" t="str">
            <v>Andrade et al 2011, ATLANTIC</v>
          </cell>
          <cell r="S67" t="str">
            <v>NA</v>
          </cell>
          <cell r="T67" t="str">
            <v>NA</v>
          </cell>
          <cell r="U67" t="str">
            <v>NA</v>
          </cell>
          <cell r="V67" t="str">
            <v>NA</v>
          </cell>
          <cell r="W67" t="str">
            <v>NA</v>
          </cell>
          <cell r="X67" t="str">
            <v>NA</v>
          </cell>
          <cell r="Y67" t="str">
            <v>NA</v>
          </cell>
          <cell r="Z67" t="str">
            <v>NA</v>
          </cell>
          <cell r="AA67" t="str">
            <v>NA</v>
          </cell>
          <cell r="AB67" t="str">
            <v>NA</v>
          </cell>
        </row>
        <row r="68">
          <cell r="A68" t="str">
            <v>Miconia pepericarpa</v>
          </cell>
          <cell r="B68" t="str">
            <v>Melastomataceae</v>
          </cell>
          <cell r="C68" t="str">
            <v>NA</v>
          </cell>
          <cell r="D68" t="str">
            <v>black</v>
          </cell>
          <cell r="E68" t="str">
            <v>YES</v>
          </cell>
          <cell r="F68">
            <v>2.5499999999999998</v>
          </cell>
          <cell r="G68">
            <v>2.4</v>
          </cell>
          <cell r="H68">
            <v>1.4</v>
          </cell>
          <cell r="I68" t="str">
            <v>NA</v>
          </cell>
          <cell r="J68">
            <v>0.03</v>
          </cell>
          <cell r="K68" t="str">
            <v>NA</v>
          </cell>
          <cell r="L68" t="str">
            <v>NA</v>
          </cell>
          <cell r="M68" t="str">
            <v>NA</v>
          </cell>
          <cell r="N68" t="str">
            <v>NA</v>
          </cell>
          <cell r="O68">
            <v>2</v>
          </cell>
          <cell r="P68" t="str">
            <v>NA</v>
          </cell>
          <cell r="Q68" t="str">
            <v>NA</v>
          </cell>
          <cell r="R68" t="str">
            <v>ATLANTIC, Motta Jr. 1981</v>
          </cell>
          <cell r="S68">
            <v>0.84899999999999998</v>
          </cell>
          <cell r="T68">
            <v>1.4999999999999999E-2</v>
          </cell>
          <cell r="U68" t="str">
            <v>NA</v>
          </cell>
          <cell r="V68" t="str">
            <v>NA</v>
          </cell>
          <cell r="W68" t="str">
            <v>NA</v>
          </cell>
          <cell r="X68" t="str">
            <v>NA</v>
          </cell>
          <cell r="Y68" t="str">
            <v>NA</v>
          </cell>
          <cell r="Z68" t="str">
            <v>NA</v>
          </cell>
          <cell r="AA68" t="str">
            <v>NA</v>
          </cell>
          <cell r="AB68" t="str">
            <v>Motta Jr. 1981</v>
          </cell>
        </row>
        <row r="69">
          <cell r="A69" t="str">
            <v>Miconia prasina</v>
          </cell>
          <cell r="B69" t="str">
            <v>Melastomataceae</v>
          </cell>
          <cell r="C69" t="str">
            <v>NA</v>
          </cell>
          <cell r="D69" t="str">
            <v>black</v>
          </cell>
          <cell r="E69" t="str">
            <v>YES</v>
          </cell>
          <cell r="F69">
            <v>5.44</v>
          </cell>
          <cell r="G69">
            <v>4.706666666666667</v>
          </cell>
          <cell r="H69">
            <v>0.61</v>
          </cell>
          <cell r="I69">
            <v>0.6</v>
          </cell>
          <cell r="J69">
            <v>0.12</v>
          </cell>
          <cell r="K69" t="str">
            <v>NA</v>
          </cell>
          <cell r="L69" t="str">
            <v>NA</v>
          </cell>
          <cell r="M69" t="str">
            <v>NA</v>
          </cell>
          <cell r="N69" t="str">
            <v>NA</v>
          </cell>
          <cell r="O69">
            <v>50</v>
          </cell>
          <cell r="P69" t="str">
            <v>NA</v>
          </cell>
          <cell r="Q69" t="str">
            <v>NA</v>
          </cell>
          <cell r="R69" t="str">
            <v>ATLANTIC, Santana et al. 2013, Correia 1997</v>
          </cell>
          <cell r="S69" t="str">
            <v>NA</v>
          </cell>
          <cell r="T69">
            <v>2.2000000000000002E-2</v>
          </cell>
          <cell r="U69">
            <v>3.5000000000000003E-2</v>
          </cell>
          <cell r="V69" t="str">
            <v>NA</v>
          </cell>
          <cell r="W69" t="str">
            <v>NA</v>
          </cell>
          <cell r="X69" t="str">
            <v>NA</v>
          </cell>
          <cell r="Y69" t="str">
            <v>NA</v>
          </cell>
          <cell r="Z69" t="str">
            <v>NA</v>
          </cell>
          <cell r="AA69" t="str">
            <v>NA</v>
          </cell>
          <cell r="AB69" t="str">
            <v>Santana et al. 2013</v>
          </cell>
        </row>
        <row r="70">
          <cell r="A70" t="str">
            <v>Miconia pusilliflora</v>
          </cell>
          <cell r="B70" t="str">
            <v>Melastomataceae</v>
          </cell>
          <cell r="C70" t="str">
            <v>NA</v>
          </cell>
          <cell r="D70" t="str">
            <v>black</v>
          </cell>
          <cell r="E70" t="str">
            <v>YES</v>
          </cell>
          <cell r="F70">
            <v>4.2433333333333332</v>
          </cell>
          <cell r="G70">
            <v>4.1900000000000004</v>
          </cell>
          <cell r="H70">
            <v>1.7933333333333332</v>
          </cell>
          <cell r="I70">
            <v>2.855</v>
          </cell>
          <cell r="J70">
            <v>6.3400000000000012E-2</v>
          </cell>
          <cell r="K70" t="str">
            <v>NA</v>
          </cell>
          <cell r="L70">
            <v>6.899999999999999E-3</v>
          </cell>
          <cell r="M70">
            <v>5.6499999999999995E-2</v>
          </cell>
          <cell r="N70">
            <v>1.25345</v>
          </cell>
          <cell r="O70">
            <v>2.6</v>
          </cell>
          <cell r="P70" t="str">
            <v>NA</v>
          </cell>
          <cell r="Q70">
            <v>8.1884057971014492</v>
          </cell>
          <cell r="R70" t="str">
            <v>Mikich 2002, ATLANTIC, Erica&amp;Wesley</v>
          </cell>
          <cell r="S70" t="str">
            <v>NA</v>
          </cell>
          <cell r="T70">
            <v>0.111</v>
          </cell>
          <cell r="U70">
            <v>0.14122825912113343</v>
          </cell>
          <cell r="V70">
            <v>8.900000000000001E-2</v>
          </cell>
          <cell r="W70">
            <v>7.0000000000000007E-2</v>
          </cell>
          <cell r="X70" t="str">
            <v>NA</v>
          </cell>
          <cell r="Y70" t="str">
            <v>NA</v>
          </cell>
          <cell r="Z70" t="str">
            <v>NA</v>
          </cell>
          <cell r="AA70" t="str">
            <v>NA</v>
          </cell>
          <cell r="AB70" t="str">
            <v>Erica &amp; Wesley, unpubl.</v>
          </cell>
        </row>
        <row r="71">
          <cell r="A71" t="str">
            <v>Miconia sellowiana</v>
          </cell>
          <cell r="B71" t="str">
            <v>Melastomataceae</v>
          </cell>
          <cell r="C71" t="str">
            <v>NA</v>
          </cell>
          <cell r="D71" t="str">
            <v>black</v>
          </cell>
          <cell r="E71" t="str">
            <v>YES</v>
          </cell>
          <cell r="F71">
            <v>3.2</v>
          </cell>
          <cell r="G71">
            <v>3.355</v>
          </cell>
          <cell r="H71">
            <v>0.61</v>
          </cell>
          <cell r="I71">
            <v>1.1499999999999999</v>
          </cell>
          <cell r="J71">
            <v>5.4700000000000006E-2</v>
          </cell>
          <cell r="K71" t="str">
            <v>NA</v>
          </cell>
          <cell r="L71">
            <v>5.0449134199134207E-4</v>
          </cell>
          <cell r="M71">
            <v>5.2777777777777778E-2</v>
          </cell>
          <cell r="N71">
            <v>5.7777777777777784E-3</v>
          </cell>
          <cell r="O71">
            <v>12.6</v>
          </cell>
          <cell r="P71" t="str">
            <v>NA</v>
          </cell>
          <cell r="Q71">
            <v>9.1346153846153832</v>
          </cell>
          <cell r="R71" t="str">
            <v>ATLANTIC, Erica&amp;Wesley</v>
          </cell>
          <cell r="S71" t="str">
            <v>NA</v>
          </cell>
          <cell r="T71" t="str">
            <v>NA</v>
          </cell>
          <cell r="U71" t="str">
            <v>NA</v>
          </cell>
          <cell r="V71" t="str">
            <v>NA</v>
          </cell>
          <cell r="W71" t="str">
            <v>NA</v>
          </cell>
          <cell r="X71" t="str">
            <v>NA</v>
          </cell>
          <cell r="Y71" t="str">
            <v>NA</v>
          </cell>
          <cell r="Z71" t="str">
            <v>NA</v>
          </cell>
          <cell r="AA71" t="str">
            <v>NA</v>
          </cell>
          <cell r="AB71" t="str">
            <v>NA</v>
          </cell>
        </row>
        <row r="72">
          <cell r="A72" t="str">
            <v>Miconia tristis</v>
          </cell>
          <cell r="B72" t="str">
            <v>Melastomataceae</v>
          </cell>
          <cell r="C72" t="str">
            <v>NA</v>
          </cell>
          <cell r="D72" t="str">
            <v>black</v>
          </cell>
          <cell r="E72" t="str">
            <v>YES</v>
          </cell>
          <cell r="F72">
            <v>3.4749999999999996</v>
          </cell>
          <cell r="G72">
            <v>3.8</v>
          </cell>
          <cell r="H72">
            <v>1.28</v>
          </cell>
          <cell r="I72">
            <v>2.11</v>
          </cell>
          <cell r="J72">
            <v>0.11349999999999998</v>
          </cell>
          <cell r="K72" t="str">
            <v>NA</v>
          </cell>
          <cell r="L72" t="str">
            <v>NA</v>
          </cell>
          <cell r="M72">
            <v>0.10700000000000001</v>
          </cell>
          <cell r="N72" t="str">
            <v>NA</v>
          </cell>
          <cell r="O72">
            <v>6.5</v>
          </cell>
          <cell r="P72" t="str">
            <v>NA</v>
          </cell>
          <cell r="Q72">
            <v>16.461538461538463</v>
          </cell>
          <cell r="R72" t="str">
            <v>ATLANTIC, Erica&amp;Wesley</v>
          </cell>
          <cell r="S72" t="str">
            <v>NA</v>
          </cell>
          <cell r="T72" t="str">
            <v>NA</v>
          </cell>
          <cell r="U72" t="str">
            <v>NA</v>
          </cell>
          <cell r="V72" t="str">
            <v>NA</v>
          </cell>
          <cell r="W72" t="str">
            <v>NA</v>
          </cell>
          <cell r="X72" t="str">
            <v>NA</v>
          </cell>
          <cell r="Y72" t="str">
            <v>NA</v>
          </cell>
          <cell r="Z72" t="str">
            <v>NA</v>
          </cell>
          <cell r="AA72" t="str">
            <v>NA</v>
          </cell>
          <cell r="AB72" t="str">
            <v>NA</v>
          </cell>
        </row>
        <row r="73">
          <cell r="A73" t="str">
            <v>Miconia urophylla</v>
          </cell>
          <cell r="B73" t="str">
            <v>Melastomataceae</v>
          </cell>
          <cell r="C73" t="str">
            <v>NA</v>
          </cell>
          <cell r="D73" t="str">
            <v>black</v>
          </cell>
          <cell r="E73" t="str">
            <v>YES</v>
          </cell>
          <cell r="F73" t="str">
            <v>NA</v>
          </cell>
          <cell r="G73" t="str">
            <v>NA</v>
          </cell>
          <cell r="H73" t="str">
            <v>NA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  <cell r="M73" t="str">
            <v>NA</v>
          </cell>
          <cell r="N73" t="str">
            <v>NA</v>
          </cell>
          <cell r="O73" t="str">
            <v>NA</v>
          </cell>
          <cell r="P73" t="str">
            <v>NA</v>
          </cell>
          <cell r="Q73" t="str">
            <v>NA</v>
          </cell>
          <cell r="R73" t="str">
            <v>NA</v>
          </cell>
          <cell r="S73" t="str">
            <v>NA</v>
          </cell>
          <cell r="T73" t="str">
            <v>NA</v>
          </cell>
          <cell r="U73" t="str">
            <v>NA</v>
          </cell>
          <cell r="V73" t="str">
            <v>NA</v>
          </cell>
          <cell r="W73" t="str">
            <v>NA</v>
          </cell>
          <cell r="X73" t="str">
            <v>NA</v>
          </cell>
          <cell r="Y73" t="str">
            <v>NA</v>
          </cell>
          <cell r="Z73" t="str">
            <v>NA</v>
          </cell>
          <cell r="AA73" t="str">
            <v>NA</v>
          </cell>
          <cell r="AB73" t="str">
            <v>NA</v>
          </cell>
        </row>
        <row r="74">
          <cell r="A74" t="str">
            <v>Myrceugenia myrcioides</v>
          </cell>
          <cell r="B74" t="str">
            <v>Myrtaceae</v>
          </cell>
          <cell r="C74" t="str">
            <v>NA</v>
          </cell>
          <cell r="D74" t="str">
            <v>black</v>
          </cell>
          <cell r="E74" t="str">
            <v>YES</v>
          </cell>
          <cell r="F74">
            <v>10.5</v>
          </cell>
          <cell r="G74">
            <v>16.5</v>
          </cell>
          <cell r="H74">
            <v>8</v>
          </cell>
          <cell r="I74">
            <v>3</v>
          </cell>
          <cell r="J74">
            <v>2</v>
          </cell>
          <cell r="K74" t="str">
            <v>NA</v>
          </cell>
          <cell r="L74">
            <v>0.1</v>
          </cell>
          <cell r="M74" t="str">
            <v>NA</v>
          </cell>
          <cell r="N74" t="str">
            <v>NA</v>
          </cell>
          <cell r="O74">
            <v>2</v>
          </cell>
          <cell r="P74" t="str">
            <v>NA</v>
          </cell>
          <cell r="Q74" t="str">
            <v>NA</v>
          </cell>
          <cell r="R74" t="str">
            <v>ATLANTIC, Intervales_morfo</v>
          </cell>
          <cell r="S74">
            <v>0.86</v>
          </cell>
          <cell r="T74">
            <v>5.5999999999999994E-2</v>
          </cell>
          <cell r="U74">
            <v>9.3000000000000013E-2</v>
          </cell>
          <cell r="V74" t="str">
            <v>NA</v>
          </cell>
          <cell r="W74" t="str">
            <v>NA</v>
          </cell>
          <cell r="X74" t="str">
            <v>NA</v>
          </cell>
          <cell r="Y74">
            <v>0.80099999999999993</v>
          </cell>
          <cell r="Z74">
            <v>5.0999999999999997E-2</v>
          </cell>
          <cell r="AA74" t="str">
            <v>NA</v>
          </cell>
          <cell r="AB74" t="str">
            <v>Saibadela</v>
          </cell>
        </row>
        <row r="75">
          <cell r="A75" t="str">
            <v>Myrcia fallax</v>
          </cell>
          <cell r="B75" t="str">
            <v>Myrtaceae</v>
          </cell>
          <cell r="C75" t="str">
            <v>Myrcia splendens</v>
          </cell>
          <cell r="D75" t="str">
            <v>black</v>
          </cell>
          <cell r="E75" t="str">
            <v>YES</v>
          </cell>
          <cell r="F75">
            <v>7.3000000000000007</v>
          </cell>
          <cell r="G75">
            <v>9.7666666666666675</v>
          </cell>
          <cell r="H75">
            <v>3.8</v>
          </cell>
          <cell r="I75">
            <v>5.9</v>
          </cell>
          <cell r="J75">
            <v>0.14000000000000001</v>
          </cell>
          <cell r="K75" t="str">
            <v>NA</v>
          </cell>
          <cell r="L75">
            <v>6.2E-2</v>
          </cell>
          <cell r="M75" t="str">
            <v>NA</v>
          </cell>
          <cell r="N75" t="str">
            <v>NA</v>
          </cell>
          <cell r="O75">
            <v>1</v>
          </cell>
          <cell r="P75" t="str">
            <v>NA</v>
          </cell>
          <cell r="Q75" t="str">
            <v>NA</v>
          </cell>
          <cell r="R75" t="str">
            <v>Alves 2008, Angel-de-Oliveira 1999, Correia 1997</v>
          </cell>
          <cell r="S75" t="str">
            <v>NA</v>
          </cell>
          <cell r="T75">
            <v>0.144624167459563</v>
          </cell>
          <cell r="U75">
            <v>0.1142915</v>
          </cell>
          <cell r="V75">
            <v>7.5461793365924096E-2</v>
          </cell>
          <cell r="W75">
            <v>0.198861875754162</v>
          </cell>
          <cell r="X75" t="str">
            <v>NA</v>
          </cell>
          <cell r="Y75" t="str">
            <v>NA</v>
          </cell>
          <cell r="Z75" t="str">
            <v>NA</v>
          </cell>
          <cell r="AA75" t="str">
            <v>NA</v>
          </cell>
          <cell r="AB75" t="str">
            <v>Saibadela</v>
          </cell>
        </row>
        <row r="76">
          <cell r="A76" t="str">
            <v>Myrcia pubipetala</v>
          </cell>
          <cell r="B76" t="str">
            <v>Myrtaceae</v>
          </cell>
          <cell r="C76" t="str">
            <v>NA</v>
          </cell>
          <cell r="D76" t="str">
            <v>black</v>
          </cell>
          <cell r="E76" t="str">
            <v>YES</v>
          </cell>
          <cell r="F76">
            <v>13.1533333333333</v>
          </cell>
          <cell r="G76">
            <v>15.709999999999999</v>
          </cell>
          <cell r="H76">
            <v>3.1</v>
          </cell>
          <cell r="I76">
            <v>5.583333333333333</v>
          </cell>
          <cell r="J76">
            <v>2.0425999999999997</v>
          </cell>
          <cell r="K76" t="str">
            <v>NA</v>
          </cell>
          <cell r="L76">
            <v>0.19390000000000002</v>
          </cell>
          <cell r="M76">
            <v>2.6467999999999998</v>
          </cell>
          <cell r="N76">
            <v>0.43839999999999996</v>
          </cell>
          <cell r="O76">
            <v>1.8</v>
          </cell>
          <cell r="P76" t="str">
            <v>NA</v>
          </cell>
          <cell r="Q76">
            <v>6.0374087591240881</v>
          </cell>
          <cell r="R76" t="str">
            <v>ATLANTIC, Erica&amp;Wesley, Intervales_morfo</v>
          </cell>
          <cell r="S76" t="str">
            <v>NA</v>
          </cell>
          <cell r="T76">
            <v>8.4000000000000005E-2</v>
          </cell>
          <cell r="U76">
            <v>6.0837313709109539E-2</v>
          </cell>
          <cell r="V76">
            <v>0.22800000000000001</v>
          </cell>
          <cell r="W76">
            <v>6.7000000000000004E-2</v>
          </cell>
          <cell r="X76" t="str">
            <v>NA</v>
          </cell>
          <cell r="Y76" t="str">
            <v>NA</v>
          </cell>
          <cell r="Z76" t="str">
            <v>NA</v>
          </cell>
          <cell r="AA76" t="str">
            <v>NA</v>
          </cell>
          <cell r="AB76" t="str">
            <v>Erica &amp; Wesley, unpubl.</v>
          </cell>
        </row>
        <row r="77">
          <cell r="A77" t="str">
            <v>Myrcia tomentosa</v>
          </cell>
          <cell r="B77" t="str">
            <v>Myrtaceae</v>
          </cell>
          <cell r="C77" t="str">
            <v>Myrcia longipes</v>
          </cell>
          <cell r="D77" t="str">
            <v>black</v>
          </cell>
          <cell r="E77" t="str">
            <v>YES</v>
          </cell>
          <cell r="F77">
            <v>4.2</v>
          </cell>
          <cell r="G77">
            <v>4.3</v>
          </cell>
          <cell r="H77">
            <v>4.3</v>
          </cell>
          <cell r="I77">
            <v>4.5</v>
          </cell>
          <cell r="J77" t="str">
            <v>NA</v>
          </cell>
          <cell r="K77" t="str">
            <v>NA</v>
          </cell>
          <cell r="L77" t="str">
            <v>NA</v>
          </cell>
          <cell r="M77" t="str">
            <v>NA</v>
          </cell>
          <cell r="N77" t="str">
            <v>NA</v>
          </cell>
          <cell r="O77" t="str">
            <v>NA</v>
          </cell>
          <cell r="P77" t="str">
            <v>NA</v>
          </cell>
          <cell r="Q77" t="str">
            <v>NA</v>
          </cell>
          <cell r="R77" t="str">
            <v>ATLANTIC</v>
          </cell>
          <cell r="S77" t="str">
            <v>NA</v>
          </cell>
          <cell r="T77" t="str">
            <v>NA</v>
          </cell>
          <cell r="U77" t="str">
            <v>NA</v>
          </cell>
          <cell r="V77" t="str">
            <v>NA</v>
          </cell>
          <cell r="W77" t="str">
            <v>NA</v>
          </cell>
          <cell r="X77" t="str">
            <v>NA</v>
          </cell>
          <cell r="Y77" t="str">
            <v>NA</v>
          </cell>
          <cell r="Z77" t="str">
            <v>NA</v>
          </cell>
          <cell r="AA77" t="str">
            <v>NA</v>
          </cell>
          <cell r="AB77" t="str">
            <v>NA</v>
          </cell>
        </row>
        <row r="78">
          <cell r="A78" t="str">
            <v>Myrciaria trunciflora</v>
          </cell>
          <cell r="B78" t="str">
            <v>Myrtaceae</v>
          </cell>
          <cell r="C78" t="str">
            <v>Plinia trunciflora, Plinia peruviana</v>
          </cell>
          <cell r="D78" t="str">
            <v>black</v>
          </cell>
          <cell r="E78" t="str">
            <v>YES</v>
          </cell>
          <cell r="F78" t="str">
            <v>NA</v>
          </cell>
          <cell r="G78" t="str">
            <v>NA</v>
          </cell>
          <cell r="H78" t="str">
            <v>NA</v>
          </cell>
          <cell r="I78" t="str">
            <v>NA</v>
          </cell>
          <cell r="J78" t="str">
            <v>NA</v>
          </cell>
          <cell r="K78" t="str">
            <v>NA</v>
          </cell>
          <cell r="L78" t="str">
            <v>NA</v>
          </cell>
          <cell r="M78" t="str">
            <v>NA</v>
          </cell>
          <cell r="N78" t="str">
            <v>NA</v>
          </cell>
          <cell r="O78" t="str">
            <v>NA</v>
          </cell>
          <cell r="P78" t="str">
            <v>NA</v>
          </cell>
          <cell r="Q78" t="str">
            <v>NA</v>
          </cell>
          <cell r="R78" t="str">
            <v>NA</v>
          </cell>
          <cell r="S78" t="str">
            <v>NA</v>
          </cell>
          <cell r="T78" t="str">
            <v>NA</v>
          </cell>
          <cell r="U78" t="str">
            <v>NA</v>
          </cell>
          <cell r="V78" t="str">
            <v>NA</v>
          </cell>
          <cell r="W78" t="str">
            <v>NA</v>
          </cell>
          <cell r="X78" t="str">
            <v>NA</v>
          </cell>
          <cell r="Y78" t="str">
            <v>NA</v>
          </cell>
          <cell r="Z78" t="str">
            <v>NA</v>
          </cell>
          <cell r="AA78" t="str">
            <v>NA</v>
          </cell>
          <cell r="AB78" t="str">
            <v>NA</v>
          </cell>
        </row>
        <row r="79">
          <cell r="A79" t="str">
            <v>Myrsine coriacea</v>
          </cell>
          <cell r="B79" t="str">
            <v>Primulaceae</v>
          </cell>
          <cell r="C79" t="str">
            <v>Rapanea ferruginea, Myrsine ferruginea</v>
          </cell>
          <cell r="D79" t="str">
            <v>black</v>
          </cell>
          <cell r="E79" t="str">
            <v>YES</v>
          </cell>
          <cell r="F79">
            <v>3.5175000000000001</v>
          </cell>
          <cell r="G79">
            <v>3.7733333333333334</v>
          </cell>
          <cell r="H79">
            <v>2.96</v>
          </cell>
          <cell r="I79">
            <v>2.9909999999999997</v>
          </cell>
          <cell r="J79">
            <v>2.53E-2</v>
          </cell>
          <cell r="K79" t="str">
            <v>NA</v>
          </cell>
          <cell r="L79">
            <v>1.3000000000000001E-2</v>
          </cell>
          <cell r="M79">
            <v>1.3000000000000001E-2</v>
          </cell>
          <cell r="N79">
            <v>1.2299999999999997E-2</v>
          </cell>
          <cell r="O79">
            <v>1</v>
          </cell>
          <cell r="P79" t="str">
            <v>NA</v>
          </cell>
          <cell r="Q79">
            <v>1.0569105691056915</v>
          </cell>
          <cell r="R79" t="str">
            <v>Erica&amp;Wesley, Kindel 1996, Alves 2008, Correia 1997</v>
          </cell>
          <cell r="S79" t="str">
            <v>NA</v>
          </cell>
          <cell r="T79">
            <v>0.50800000000000001</v>
          </cell>
          <cell r="U79" t="str">
            <v>NA</v>
          </cell>
          <cell r="V79">
            <v>1.2E-2</v>
          </cell>
          <cell r="W79">
            <v>4.2000000000000003E-2</v>
          </cell>
          <cell r="X79" t="str">
            <v>NA</v>
          </cell>
          <cell r="Y79" t="str">
            <v>NA</v>
          </cell>
          <cell r="Z79" t="str">
            <v>NA</v>
          </cell>
          <cell r="AA79" t="str">
            <v>NA</v>
          </cell>
          <cell r="AB79" t="str">
            <v>Erica &amp; Wesley, unpubl.</v>
          </cell>
        </row>
        <row r="80">
          <cell r="A80" t="str">
            <v>Myrsine gardneriana</v>
          </cell>
          <cell r="B80" t="str">
            <v>Primulaceae</v>
          </cell>
          <cell r="C80" t="str">
            <v>Rapanea gadneriana</v>
          </cell>
          <cell r="D80" t="str">
            <v>black</v>
          </cell>
          <cell r="E80" t="str">
            <v>YES</v>
          </cell>
          <cell r="F80">
            <v>4.2050000000000001</v>
          </cell>
          <cell r="G80">
            <v>4.33</v>
          </cell>
          <cell r="H80">
            <v>4.47</v>
          </cell>
          <cell r="I80">
            <v>4.5999999999999996</v>
          </cell>
          <cell r="J80">
            <v>6.4799999999999996E-2</v>
          </cell>
          <cell r="K80" t="str">
            <v>NA</v>
          </cell>
          <cell r="L80">
            <v>4.2599999999999985E-2</v>
          </cell>
          <cell r="M80">
            <v>2.2200000000000001E-2</v>
          </cell>
          <cell r="N80">
            <v>4.2599999999999985E-2</v>
          </cell>
          <cell r="O80">
            <v>1</v>
          </cell>
          <cell r="P80" t="str">
            <v>NA</v>
          </cell>
          <cell r="Q80">
            <v>0.52112676056338048</v>
          </cell>
          <cell r="R80" t="str">
            <v>ATLANTIC, Erica&amp;Wesley</v>
          </cell>
          <cell r="S80" t="str">
            <v>NA</v>
          </cell>
          <cell r="T80">
            <v>0.11875589066917111</v>
          </cell>
          <cell r="U80">
            <v>8.9795E-2</v>
          </cell>
          <cell r="V80">
            <v>3.1460235951769638E-2</v>
          </cell>
          <cell r="W80">
            <v>0.11772310514551083</v>
          </cell>
          <cell r="X80" t="str">
            <v>NA</v>
          </cell>
          <cell r="Y80" t="str">
            <v>NA</v>
          </cell>
          <cell r="Z80" t="str">
            <v>NA</v>
          </cell>
          <cell r="AA80" t="str">
            <v>NA</v>
          </cell>
          <cell r="AB80" t="str">
            <v>Erica &amp; Wesley, unpubl.</v>
          </cell>
        </row>
        <row r="81">
          <cell r="A81" t="str">
            <v>Myrsine umbellata</v>
          </cell>
          <cell r="B81" t="str">
            <v>Primulaceae</v>
          </cell>
          <cell r="C81" t="str">
            <v>NA</v>
          </cell>
          <cell r="D81" t="str">
            <v>black</v>
          </cell>
          <cell r="E81" t="str">
            <v>YES</v>
          </cell>
          <cell r="F81">
            <v>5.2616666666666667</v>
          </cell>
          <cell r="G81">
            <v>5.2283333333333335</v>
          </cell>
          <cell r="H81">
            <v>4.0860000000000003</v>
          </cell>
          <cell r="I81">
            <v>4.5239999999999991</v>
          </cell>
          <cell r="J81">
            <v>0.16140000000000002</v>
          </cell>
          <cell r="K81">
            <v>0.1</v>
          </cell>
          <cell r="L81">
            <v>8.5199999999999998E-2</v>
          </cell>
          <cell r="M81">
            <v>8.0000000000000002E-3</v>
          </cell>
          <cell r="N81">
            <v>2.2800000000000001E-2</v>
          </cell>
          <cell r="O81">
            <v>1</v>
          </cell>
          <cell r="P81" t="str">
            <v>NA</v>
          </cell>
          <cell r="Q81">
            <v>0.35897435897435898</v>
          </cell>
          <cell r="R81" t="str">
            <v>ATLANTIC, Cazetta 2007, Erica&amp;Wesley, Intervales_morfo, Alves 2008, Argel-de-Oliveira 1999</v>
          </cell>
          <cell r="S81">
            <v>0.86180000000000012</v>
          </cell>
          <cell r="T81">
            <v>7.980000000000001E-2</v>
          </cell>
          <cell r="U81">
            <v>2.86E-2</v>
          </cell>
          <cell r="V81">
            <v>1E-3</v>
          </cell>
          <cell r="W81" t="str">
            <v>NA</v>
          </cell>
          <cell r="X81" t="str">
            <v>NA</v>
          </cell>
          <cell r="Y81" t="str">
            <v>NA</v>
          </cell>
          <cell r="Z81" t="str">
            <v>NA</v>
          </cell>
          <cell r="AA81" t="str">
            <v>NA</v>
          </cell>
          <cell r="AB81" t="str">
            <v>Cazetta 2007</v>
          </cell>
        </row>
        <row r="82">
          <cell r="A82" t="str">
            <v>Nectandra lanceolata</v>
          </cell>
          <cell r="B82" t="str">
            <v>Lauraceae</v>
          </cell>
          <cell r="C82" t="str">
            <v>NA</v>
          </cell>
          <cell r="D82" t="str">
            <v>black</v>
          </cell>
          <cell r="E82" t="str">
            <v>YES</v>
          </cell>
          <cell r="F82">
            <v>18</v>
          </cell>
          <cell r="G82">
            <v>21</v>
          </cell>
          <cell r="H82">
            <v>11.4</v>
          </cell>
          <cell r="I82">
            <v>15.7</v>
          </cell>
          <cell r="J82" t="str">
            <v>NA</v>
          </cell>
          <cell r="K82" t="str">
            <v>NA</v>
          </cell>
          <cell r="L82" t="str">
            <v>NA</v>
          </cell>
          <cell r="M82" t="str">
            <v>NA</v>
          </cell>
          <cell r="N82" t="str">
            <v>NA</v>
          </cell>
          <cell r="O82" t="str">
            <v>NA</v>
          </cell>
          <cell r="P82" t="str">
            <v>NA</v>
          </cell>
          <cell r="Q82" t="str">
            <v>NA</v>
          </cell>
          <cell r="R82" t="str">
            <v>ATLANTIC</v>
          </cell>
          <cell r="S82" t="str">
            <v>NA</v>
          </cell>
          <cell r="T82" t="str">
            <v>NA</v>
          </cell>
          <cell r="U82" t="str">
            <v>NA</v>
          </cell>
          <cell r="V82" t="str">
            <v>NA</v>
          </cell>
          <cell r="W82" t="str">
            <v>NA</v>
          </cell>
          <cell r="X82" t="str">
            <v>NA</v>
          </cell>
          <cell r="Y82" t="str">
            <v>NA</v>
          </cell>
          <cell r="Z82" t="str">
            <v>NA</v>
          </cell>
          <cell r="AA82" t="str">
            <v>NA</v>
          </cell>
          <cell r="AB82" t="str">
            <v>NA</v>
          </cell>
        </row>
        <row r="83">
          <cell r="A83" t="str">
            <v>Nectandra megapotamica</v>
          </cell>
          <cell r="B83" t="str">
            <v>Lauraceae</v>
          </cell>
          <cell r="C83" t="str">
            <v>NA</v>
          </cell>
          <cell r="D83" t="str">
            <v>black</v>
          </cell>
          <cell r="E83" t="str">
            <v>YES</v>
          </cell>
          <cell r="F83">
            <v>7.8224999999999998</v>
          </cell>
          <cell r="G83">
            <v>11.41</v>
          </cell>
          <cell r="H83">
            <v>7.4124999999999996</v>
          </cell>
          <cell r="I83">
            <v>9.1274999999999995</v>
          </cell>
          <cell r="J83">
            <v>0.33</v>
          </cell>
          <cell r="K83" t="str">
            <v>NA</v>
          </cell>
          <cell r="L83">
            <v>0.15</v>
          </cell>
          <cell r="M83" t="str">
            <v>NA</v>
          </cell>
          <cell r="N83" t="str">
            <v>NA</v>
          </cell>
          <cell r="O83">
            <v>1</v>
          </cell>
          <cell r="P83" t="str">
            <v>NA</v>
          </cell>
          <cell r="Q83" t="str">
            <v>NA</v>
          </cell>
          <cell r="R83" t="str">
            <v>ATLANTIC, Intervales_morfo, Kindel 1996, Mikich 2002, Krügel et al 2006 Iheringia</v>
          </cell>
          <cell r="S83">
            <v>0.56159999999999999</v>
          </cell>
          <cell r="T83">
            <v>0.58940000000000003</v>
          </cell>
          <cell r="U83">
            <v>0.1101</v>
          </cell>
          <cell r="V83" t="str">
            <v>NA</v>
          </cell>
          <cell r="W83" t="str">
            <v>NA</v>
          </cell>
          <cell r="X83" t="str">
            <v>NA</v>
          </cell>
          <cell r="Y83" t="str">
            <v>NA</v>
          </cell>
          <cell r="Z83">
            <v>0.1278</v>
          </cell>
          <cell r="AA83">
            <v>8.1799999999999998E-2</v>
          </cell>
          <cell r="AB83" t="str">
            <v>Krügel et al 2006 Iheringia</v>
          </cell>
        </row>
        <row r="84">
          <cell r="A84" t="str">
            <v>Ocotea pulchella</v>
          </cell>
          <cell r="B84" t="str">
            <v>Lauraceae</v>
          </cell>
          <cell r="C84" t="str">
            <v>NA</v>
          </cell>
          <cell r="D84" t="str">
            <v>black</v>
          </cell>
          <cell r="E84" t="str">
            <v>YES</v>
          </cell>
          <cell r="F84">
            <v>6.0780000000000003</v>
          </cell>
          <cell r="G84">
            <v>8.9740000000000002</v>
          </cell>
          <cell r="H84">
            <v>4.8166666666666664</v>
          </cell>
          <cell r="I84">
            <v>7.61</v>
          </cell>
          <cell r="J84">
            <v>0.16980000000000001</v>
          </cell>
          <cell r="K84">
            <v>0.08</v>
          </cell>
          <cell r="L84">
            <v>0.11025</v>
          </cell>
          <cell r="M84">
            <v>7.425000000000001E-2</v>
          </cell>
          <cell r="N84">
            <v>0.10025000000000001</v>
          </cell>
          <cell r="O84">
            <v>1</v>
          </cell>
          <cell r="P84">
            <v>0.8</v>
          </cell>
          <cell r="Q84">
            <v>0.67920124481327804</v>
          </cell>
          <cell r="R84" t="str">
            <v>Cazetta 2007, Erica&amp;Wesley, Passos &amp; Oliveira 2003, Camargo 2014, Gondim 2002</v>
          </cell>
          <cell r="S84">
            <v>0.65650000000000008</v>
          </cell>
          <cell r="T84">
            <v>0.60570000000000002</v>
          </cell>
          <cell r="U84">
            <v>5.1900000000000002E-2</v>
          </cell>
          <cell r="V84">
            <v>1.5E-3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Cazetta 2007</v>
          </cell>
        </row>
        <row r="85">
          <cell r="A85" t="str">
            <v>Paullinia carpopoda</v>
          </cell>
          <cell r="B85" t="str">
            <v>Sapindaceae</v>
          </cell>
          <cell r="C85" t="str">
            <v>NA</v>
          </cell>
          <cell r="D85" t="str">
            <v>multicolor</v>
          </cell>
          <cell r="E85" t="str">
            <v>YES</v>
          </cell>
          <cell r="F85">
            <v>14.1</v>
          </cell>
          <cell r="G85">
            <v>12.8</v>
          </cell>
          <cell r="H85">
            <v>9.9</v>
          </cell>
          <cell r="I85" t="str">
            <v>NA</v>
          </cell>
          <cell r="J85">
            <v>1.6</v>
          </cell>
          <cell r="K85" t="str">
            <v>NA</v>
          </cell>
          <cell r="L85" t="str">
            <v>NA</v>
          </cell>
          <cell r="M85" t="str">
            <v>NA</v>
          </cell>
          <cell r="N85" t="str">
            <v>NA</v>
          </cell>
          <cell r="O85">
            <v>1.1000000000000001</v>
          </cell>
          <cell r="P85" t="str">
            <v>NA</v>
          </cell>
          <cell r="Q85" t="str">
            <v>NA</v>
          </cell>
          <cell r="R85" t="str">
            <v>Motta Jr. 1981</v>
          </cell>
          <cell r="S85">
            <v>0.621</v>
          </cell>
          <cell r="T85">
            <v>0.01</v>
          </cell>
          <cell r="U85" t="str">
            <v>NA</v>
          </cell>
          <cell r="V85" t="str">
            <v>NA</v>
          </cell>
          <cell r="W85" t="str">
            <v>NA</v>
          </cell>
          <cell r="X85" t="str">
            <v>NA</v>
          </cell>
          <cell r="Y85" t="str">
            <v>NA</v>
          </cell>
          <cell r="Z85" t="str">
            <v>NA</v>
          </cell>
          <cell r="AA85" t="str">
            <v>NA</v>
          </cell>
          <cell r="AB85" t="str">
            <v>Motta Jr. 1981</v>
          </cell>
        </row>
        <row r="86">
          <cell r="A86" t="str">
            <v>Paullinia micrantha</v>
          </cell>
          <cell r="B86" t="str">
            <v>Sapindaceae</v>
          </cell>
          <cell r="C86" t="str">
            <v>NA</v>
          </cell>
          <cell r="D86" t="str">
            <v>multicolor</v>
          </cell>
          <cell r="E86" t="str">
            <v>YES</v>
          </cell>
          <cell r="F86" t="str">
            <v>NA</v>
          </cell>
          <cell r="G86" t="str">
            <v>NA</v>
          </cell>
          <cell r="H86" t="str">
            <v>NA</v>
          </cell>
          <cell r="I86" t="str">
            <v>NA</v>
          </cell>
          <cell r="J86" t="str">
            <v>NA</v>
          </cell>
          <cell r="K86" t="str">
            <v>NA</v>
          </cell>
          <cell r="L86" t="str">
            <v>NA</v>
          </cell>
          <cell r="M86" t="str">
            <v>NA</v>
          </cell>
          <cell r="N86" t="str">
            <v>NA</v>
          </cell>
          <cell r="O86" t="str">
            <v>NA</v>
          </cell>
          <cell r="P86" t="str">
            <v>NA</v>
          </cell>
          <cell r="Q86" t="str">
            <v>NA</v>
          </cell>
          <cell r="R86" t="str">
            <v>NA</v>
          </cell>
          <cell r="S86" t="str">
            <v>NA</v>
          </cell>
          <cell r="T86" t="str">
            <v>NA</v>
          </cell>
          <cell r="U86" t="str">
            <v>NA</v>
          </cell>
          <cell r="V86" t="str">
            <v>NA</v>
          </cell>
          <cell r="W86" t="str">
            <v>NA</v>
          </cell>
          <cell r="X86" t="str">
            <v>NA</v>
          </cell>
          <cell r="Y86" t="str">
            <v>NA</v>
          </cell>
          <cell r="Z86" t="str">
            <v>NA</v>
          </cell>
          <cell r="AA86" t="str">
            <v>NA</v>
          </cell>
          <cell r="AB86" t="str">
            <v>NA</v>
          </cell>
        </row>
        <row r="87">
          <cell r="A87" t="str">
            <v>Pera glabrata</v>
          </cell>
          <cell r="B87" t="str">
            <v>Peraceae</v>
          </cell>
          <cell r="C87" t="str">
            <v>NA</v>
          </cell>
          <cell r="D87" t="str">
            <v>red</v>
          </cell>
          <cell r="E87" t="str">
            <v>YES</v>
          </cell>
          <cell r="F87">
            <v>3.4259999999999997</v>
          </cell>
          <cell r="G87">
            <v>5.9160000000000004</v>
          </cell>
          <cell r="H87">
            <v>2.98</v>
          </cell>
          <cell r="I87">
            <v>4.5933333333333328</v>
          </cell>
          <cell r="J87">
            <v>2.5499999999999998E-2</v>
          </cell>
          <cell r="K87" t="str">
            <v>NA</v>
          </cell>
          <cell r="L87">
            <v>2.41E-2</v>
          </cell>
          <cell r="M87" t="str">
            <v>NA</v>
          </cell>
          <cell r="N87" t="str">
            <v>NA</v>
          </cell>
          <cell r="O87">
            <v>2.9249999999999998</v>
          </cell>
          <cell r="P87" t="str">
            <v>NA</v>
          </cell>
          <cell r="Q87" t="str">
            <v>NA</v>
          </cell>
          <cell r="R87" t="str">
            <v>Passos &amp; Oliveira 2003, Santana et al. 2013, ATLANTIC, Angel-de-Oliveira 1999, Camargo 2014, Gondim 2002</v>
          </cell>
          <cell r="S87" t="str">
            <v>NA</v>
          </cell>
          <cell r="T87">
            <v>0.747</v>
          </cell>
          <cell r="U87">
            <v>0.16600000000000001</v>
          </cell>
          <cell r="V87">
            <v>0.03</v>
          </cell>
          <cell r="W87" t="str">
            <v>NA</v>
          </cell>
          <cell r="X87" t="str">
            <v>NA</v>
          </cell>
          <cell r="Y87" t="str">
            <v>NA</v>
          </cell>
          <cell r="Z87" t="str">
            <v>NA</v>
          </cell>
          <cell r="AA87" t="str">
            <v>NA</v>
          </cell>
          <cell r="AB87" t="str">
            <v>Santana et al. 2013</v>
          </cell>
        </row>
        <row r="88">
          <cell r="A88" t="str">
            <v>Phoebe pickelli</v>
          </cell>
          <cell r="B88" t="str">
            <v>Lauraceae</v>
          </cell>
          <cell r="C88" t="str">
            <v>Cinnamomum triplinerve</v>
          </cell>
          <cell r="D88" t="str">
            <v>black</v>
          </cell>
          <cell r="E88" t="str">
            <v>YES</v>
          </cell>
          <cell r="F88">
            <v>12</v>
          </cell>
          <cell r="G88" t="str">
            <v>NA</v>
          </cell>
          <cell r="H88" t="str">
            <v>NA</v>
          </cell>
          <cell r="I88" t="str">
            <v>NA</v>
          </cell>
          <cell r="J88">
            <v>1.38</v>
          </cell>
          <cell r="K88" t="str">
            <v>NA</v>
          </cell>
          <cell r="L88" t="str">
            <v>NA</v>
          </cell>
          <cell r="M88">
            <v>0.221</v>
          </cell>
          <cell r="N88">
            <v>0.221</v>
          </cell>
          <cell r="O88">
            <v>1</v>
          </cell>
          <cell r="P88" t="str">
            <v>NA</v>
          </cell>
          <cell r="Q88">
            <v>1</v>
          </cell>
          <cell r="R88" t="str">
            <v>FRUBASE</v>
          </cell>
          <cell r="S88" t="str">
            <v>NA</v>
          </cell>
          <cell r="T88">
            <v>0.28000000000000003</v>
          </cell>
          <cell r="U88">
            <v>1.2E-2</v>
          </cell>
          <cell r="V88" t="str">
            <v>NA</v>
          </cell>
          <cell r="W88" t="str">
            <v>NA</v>
          </cell>
          <cell r="X88">
            <v>0.09</v>
          </cell>
          <cell r="Y88" t="str">
            <v>NA</v>
          </cell>
          <cell r="Z88" t="str">
            <v>NA</v>
          </cell>
          <cell r="AA88" t="str">
            <v>NA</v>
          </cell>
          <cell r="AB88" t="str">
            <v>FRUBASE</v>
          </cell>
        </row>
        <row r="89">
          <cell r="A89" t="str">
            <v>Phoradendron affine</v>
          </cell>
          <cell r="B89" t="str">
            <v>Santalaceae</v>
          </cell>
          <cell r="C89" t="str">
            <v>NA</v>
          </cell>
          <cell r="D89" t="str">
            <v>NA</v>
          </cell>
          <cell r="E89" t="str">
            <v>YES</v>
          </cell>
          <cell r="F89">
            <v>3.3</v>
          </cell>
          <cell r="G89">
            <v>4.2</v>
          </cell>
          <cell r="H89" t="str">
            <v>NA</v>
          </cell>
          <cell r="I89" t="str">
            <v>NA</v>
          </cell>
          <cell r="J89" t="str">
            <v>NA</v>
          </cell>
          <cell r="K89" t="str">
            <v>NA</v>
          </cell>
          <cell r="L89" t="str">
            <v>NA</v>
          </cell>
          <cell r="M89" t="str">
            <v>NA</v>
          </cell>
          <cell r="N89" t="str">
            <v>NA</v>
          </cell>
          <cell r="O89">
            <v>1</v>
          </cell>
          <cell r="P89" t="str">
            <v>NA</v>
          </cell>
          <cell r="Q89" t="str">
            <v>NA</v>
          </cell>
          <cell r="R89" t="str">
            <v>Maruyama et al 2012 Flora</v>
          </cell>
          <cell r="S89" t="str">
            <v>NA</v>
          </cell>
          <cell r="T89" t="str">
            <v>NA</v>
          </cell>
          <cell r="U89" t="str">
            <v>NA</v>
          </cell>
          <cell r="V89" t="str">
            <v>NA</v>
          </cell>
          <cell r="W89" t="str">
            <v>NA</v>
          </cell>
          <cell r="X89" t="str">
            <v>NA</v>
          </cell>
          <cell r="Y89" t="str">
            <v>NA</v>
          </cell>
          <cell r="Z89" t="str">
            <v>NA</v>
          </cell>
          <cell r="AA89" t="str">
            <v>NA</v>
          </cell>
          <cell r="AB89" t="str">
            <v>NA</v>
          </cell>
        </row>
        <row r="90">
          <cell r="A90" t="str">
            <v>Phoradendron crassifolium</v>
          </cell>
          <cell r="B90" t="str">
            <v>Santalaceae</v>
          </cell>
          <cell r="C90" t="str">
            <v>NA</v>
          </cell>
          <cell r="D90" t="str">
            <v>yellow</v>
          </cell>
          <cell r="E90" t="str">
            <v>YES</v>
          </cell>
          <cell r="F90">
            <v>3.9666666666666668</v>
          </cell>
          <cell r="G90">
            <v>4.7666666666666666</v>
          </cell>
          <cell r="H90">
            <v>1.8</v>
          </cell>
          <cell r="I90" t="str">
            <v>NA</v>
          </cell>
          <cell r="J90">
            <v>0.04</v>
          </cell>
          <cell r="K90" t="str">
            <v>NA</v>
          </cell>
          <cell r="L90" t="str">
            <v>NA</v>
          </cell>
          <cell r="M90" t="str">
            <v>NA</v>
          </cell>
          <cell r="N90" t="str">
            <v>NA</v>
          </cell>
          <cell r="O90">
            <v>1</v>
          </cell>
          <cell r="P90" t="str">
            <v>NA</v>
          </cell>
          <cell r="Q90" t="str">
            <v>NA</v>
          </cell>
          <cell r="R90" t="str">
            <v>Motta Jr. 1981, Passos &amp; Oliveira 2003, Souza 2004</v>
          </cell>
          <cell r="S90">
            <v>0.92200000000000004</v>
          </cell>
          <cell r="T90" t="str">
            <v>NA</v>
          </cell>
          <cell r="U90" t="str">
            <v>NA</v>
          </cell>
          <cell r="V90" t="str">
            <v>NA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Motta Jr. 1981</v>
          </cell>
        </row>
        <row r="91">
          <cell r="A91" t="str">
            <v>Phoradendron piperoides</v>
          </cell>
          <cell r="B91" t="str">
            <v>Santalaceae</v>
          </cell>
          <cell r="C91" t="str">
            <v>NA</v>
          </cell>
          <cell r="D91" t="str">
            <v>yellow</v>
          </cell>
          <cell r="E91" t="str">
            <v>YES</v>
          </cell>
          <cell r="F91" t="str">
            <v>NA</v>
          </cell>
          <cell r="G91" t="str">
            <v>NA</v>
          </cell>
          <cell r="H91" t="str">
            <v>NA</v>
          </cell>
          <cell r="I91" t="str">
            <v>NA</v>
          </cell>
          <cell r="J91" t="str">
            <v>NA</v>
          </cell>
          <cell r="K91" t="str">
            <v>NA</v>
          </cell>
          <cell r="L91" t="str">
            <v>NA</v>
          </cell>
          <cell r="M91" t="str">
            <v>NA</v>
          </cell>
          <cell r="N91" t="str">
            <v>NA</v>
          </cell>
          <cell r="O91" t="str">
            <v>NA</v>
          </cell>
          <cell r="P91" t="str">
            <v>NA</v>
          </cell>
          <cell r="Q91" t="str">
            <v>NA</v>
          </cell>
          <cell r="R91" t="str">
            <v>NA</v>
          </cell>
          <cell r="S91" t="str">
            <v>NA</v>
          </cell>
          <cell r="T91" t="str">
            <v>NA</v>
          </cell>
          <cell r="U91" t="str">
            <v>NA</v>
          </cell>
          <cell r="V91" t="str">
            <v>NA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</row>
        <row r="92">
          <cell r="A92" t="str">
            <v>Phytolacca dioica</v>
          </cell>
          <cell r="B92" t="str">
            <v>Phytolaccaceae</v>
          </cell>
          <cell r="C92" t="str">
            <v>NA</v>
          </cell>
          <cell r="D92" t="str">
            <v>yellow</v>
          </cell>
          <cell r="E92" t="str">
            <v>YES</v>
          </cell>
          <cell r="F92">
            <v>8.1933333333333334</v>
          </cell>
          <cell r="G92">
            <v>10.950000000000001</v>
          </cell>
          <cell r="H92">
            <v>2.39</v>
          </cell>
          <cell r="I92">
            <v>3.0949999999999998</v>
          </cell>
          <cell r="J92">
            <v>0.26229999999999998</v>
          </cell>
          <cell r="K92" t="str">
            <v>NA</v>
          </cell>
          <cell r="L92">
            <v>5.4999999999999997E-3</v>
          </cell>
          <cell r="M92">
            <v>0.19400000000000001</v>
          </cell>
          <cell r="N92">
            <v>3.0599999999999999E-2</v>
          </cell>
          <cell r="O92">
            <v>8.6999999999999993</v>
          </cell>
          <cell r="P92" t="str">
            <v>NA</v>
          </cell>
          <cell r="Q92">
            <v>6.3398692810457522</v>
          </cell>
          <cell r="R92" t="str">
            <v>ATLANTIC, Erica&amp;Wesley, Intervales_morfo</v>
          </cell>
          <cell r="S92">
            <v>0.65799999999999992</v>
          </cell>
          <cell r="T92">
            <v>4.8464657602406536E-2</v>
          </cell>
          <cell r="U92">
            <v>0.1175085</v>
          </cell>
          <cell r="V92">
            <v>9.0419688574244164E-2</v>
          </cell>
          <cell r="W92">
            <v>0.39032796540339298</v>
          </cell>
          <cell r="X92" t="str">
            <v>NA</v>
          </cell>
          <cell r="Y92">
            <v>0.72599999999999998</v>
          </cell>
          <cell r="Z92">
            <v>6.3E-2</v>
          </cell>
          <cell r="AA92" t="str">
            <v>NA</v>
          </cell>
          <cell r="AB92" t="str">
            <v>Erica &amp; Wesley, unpubl., Saibadela</v>
          </cell>
        </row>
        <row r="93">
          <cell r="A93" t="str">
            <v>Piper tectoniifolium</v>
          </cell>
          <cell r="B93" t="str">
            <v>Piperaceae</v>
          </cell>
          <cell r="C93" t="str">
            <v>NA</v>
          </cell>
          <cell r="D93" t="str">
            <v>green</v>
          </cell>
          <cell r="E93" t="str">
            <v>YES</v>
          </cell>
          <cell r="F93">
            <v>8.1</v>
          </cell>
          <cell r="G93">
            <v>188.5</v>
          </cell>
          <cell r="H93">
            <v>1</v>
          </cell>
          <cell r="I93" t="str">
            <v>NA</v>
          </cell>
          <cell r="J93">
            <v>9.56</v>
          </cell>
          <cell r="K93" t="str">
            <v>NA</v>
          </cell>
          <cell r="L93" t="str">
            <v>NA</v>
          </cell>
          <cell r="M93" t="str">
            <v>NA</v>
          </cell>
          <cell r="N93" t="str">
            <v>NA</v>
          </cell>
          <cell r="O93">
            <v>938</v>
          </cell>
          <cell r="P93" t="str">
            <v>NA</v>
          </cell>
          <cell r="Q93" t="str">
            <v>NA</v>
          </cell>
          <cell r="R93" t="str">
            <v>Motta Jr. 1981</v>
          </cell>
          <cell r="S93">
            <v>0.89600000000000002</v>
          </cell>
          <cell r="T93">
            <v>2.1999999999999999E-2</v>
          </cell>
          <cell r="U93" t="str">
            <v>NA</v>
          </cell>
          <cell r="V93" t="str">
            <v>NA</v>
          </cell>
          <cell r="W93" t="str">
            <v>NA</v>
          </cell>
          <cell r="X93" t="str">
            <v>NA</v>
          </cell>
          <cell r="Y93" t="str">
            <v>NA</v>
          </cell>
          <cell r="Z93" t="str">
            <v>NA</v>
          </cell>
          <cell r="AA93" t="str">
            <v>NA</v>
          </cell>
          <cell r="AB93" t="str">
            <v>Motta Jr. 1981</v>
          </cell>
        </row>
        <row r="94">
          <cell r="A94" t="str">
            <v>Plinia cauliflora</v>
          </cell>
          <cell r="B94" t="str">
            <v>Myrtaceae</v>
          </cell>
          <cell r="C94" t="str">
            <v>Myrciaria cauliflora</v>
          </cell>
          <cell r="D94" t="str">
            <v>green</v>
          </cell>
          <cell r="E94" t="str">
            <v>YES</v>
          </cell>
          <cell r="F94">
            <v>19</v>
          </cell>
          <cell r="G94">
            <v>17</v>
          </cell>
          <cell r="H94">
            <v>5.5</v>
          </cell>
          <cell r="I94">
            <v>10</v>
          </cell>
          <cell r="J94">
            <v>3.5</v>
          </cell>
          <cell r="K94" t="str">
            <v>NA</v>
          </cell>
          <cell r="L94" t="str">
            <v>NA</v>
          </cell>
          <cell r="M94" t="str">
            <v>NA</v>
          </cell>
          <cell r="N94" t="str">
            <v>NA</v>
          </cell>
          <cell r="O94" t="str">
            <v>NA</v>
          </cell>
          <cell r="P94" t="str">
            <v>NA</v>
          </cell>
          <cell r="Q94" t="str">
            <v>NA</v>
          </cell>
          <cell r="R94" t="str">
            <v>ATLANTIC, Athie &amp; Dias 2012</v>
          </cell>
          <cell r="S94" t="str">
            <v>NA</v>
          </cell>
          <cell r="T94" t="str">
            <v>NA</v>
          </cell>
          <cell r="U94" t="str">
            <v>NA</v>
          </cell>
          <cell r="V94" t="str">
            <v>NA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</row>
        <row r="95">
          <cell r="A95" t="str">
            <v>Protium heptaphyllum</v>
          </cell>
          <cell r="B95" t="str">
            <v>Burseraceae</v>
          </cell>
          <cell r="C95" t="str">
            <v>Protium almacega</v>
          </cell>
          <cell r="D95" t="str">
            <v>multicolor</v>
          </cell>
          <cell r="E95" t="str">
            <v>YES</v>
          </cell>
          <cell r="F95">
            <v>12.697500000000002</v>
          </cell>
          <cell r="G95">
            <v>20.348000000000003</v>
          </cell>
          <cell r="H95">
            <v>8.6583333333333332</v>
          </cell>
          <cell r="I95">
            <v>13.593999999999999</v>
          </cell>
          <cell r="J95">
            <v>1.9566000000000001</v>
          </cell>
          <cell r="K95">
            <v>2.74</v>
          </cell>
          <cell r="L95">
            <v>0.26463333333333333</v>
          </cell>
          <cell r="M95">
            <v>0.91759999999999997</v>
          </cell>
          <cell r="N95">
            <v>0.31730000000000003</v>
          </cell>
          <cell r="O95">
            <v>1.1324999999999998</v>
          </cell>
          <cell r="P95" t="str">
            <v>NA</v>
          </cell>
          <cell r="Q95">
            <v>3.9414883677473607</v>
          </cell>
          <cell r="R95" t="str">
            <v>ATLANTIC, Cazetta 2007, Donatti 2011, Erica&amp;Wesley, FRUBASE, Camargo 2014, Angel-de-Oliveira 1999</v>
          </cell>
          <cell r="S95">
            <v>0.80159999999999998</v>
          </cell>
          <cell r="T95">
            <v>9.849999999999999E-2</v>
          </cell>
          <cell r="U95">
            <v>6.3503000000000004E-2</v>
          </cell>
          <cell r="V95">
            <v>1.41E-2</v>
          </cell>
          <cell r="W95" t="str">
            <v>NA</v>
          </cell>
          <cell r="X95" t="str">
            <v>NA</v>
          </cell>
          <cell r="Y95" t="str">
            <v>NA</v>
          </cell>
          <cell r="Z95" t="str">
            <v>NA</v>
          </cell>
          <cell r="AA95" t="str">
            <v>NA</v>
          </cell>
          <cell r="AB95" t="str">
            <v>Cazetta 2007, Erica &amp; Wesley, unpubl.</v>
          </cell>
        </row>
        <row r="96">
          <cell r="A96" t="str">
            <v>Prunus sellowii</v>
          </cell>
          <cell r="B96" t="str">
            <v>Rosaceae</v>
          </cell>
          <cell r="C96" t="str">
            <v>Prunus myrtifolia, Prunus reflexa</v>
          </cell>
          <cell r="D96" t="str">
            <v>black</v>
          </cell>
          <cell r="E96" t="str">
            <v>YES</v>
          </cell>
          <cell r="F96">
            <v>10.0375</v>
          </cell>
          <cell r="G96">
            <v>12.641666666666666</v>
          </cell>
          <cell r="H96">
            <v>7.0562500000000004</v>
          </cell>
          <cell r="I96">
            <v>9.3812499999999996</v>
          </cell>
          <cell r="J96">
            <v>0.43568750000000001</v>
          </cell>
          <cell r="K96" t="str">
            <v>NA</v>
          </cell>
          <cell r="L96">
            <v>0.41887500000000005</v>
          </cell>
          <cell r="M96">
            <v>0.17249999999999999</v>
          </cell>
          <cell r="N96">
            <v>0.41887500000000005</v>
          </cell>
          <cell r="O96">
            <v>1</v>
          </cell>
          <cell r="P96" t="str">
            <v>NA</v>
          </cell>
          <cell r="Q96">
            <v>0.41181736794986562</v>
          </cell>
          <cell r="R96" t="str">
            <v>ATLANTIC, Erica&amp;Wesley, Gondim 2002</v>
          </cell>
          <cell r="S96" t="str">
            <v>NA</v>
          </cell>
          <cell r="T96" t="str">
            <v>NA</v>
          </cell>
          <cell r="U96" t="str">
            <v>NA</v>
          </cell>
          <cell r="V96" t="str">
            <v>NA</v>
          </cell>
          <cell r="W96" t="str">
            <v>NA</v>
          </cell>
          <cell r="X96" t="str">
            <v>NA</v>
          </cell>
          <cell r="Y96" t="str">
            <v>NA</v>
          </cell>
          <cell r="Z96" t="str">
            <v>NA</v>
          </cell>
          <cell r="AA96" t="str">
            <v>NA</v>
          </cell>
          <cell r="AB96" t="str">
            <v>NA</v>
          </cell>
        </row>
        <row r="97">
          <cell r="A97" t="str">
            <v>Psidium guajava</v>
          </cell>
          <cell r="B97" t="str">
            <v>Myrtaceae</v>
          </cell>
          <cell r="D97" t="str">
            <v>yellow</v>
          </cell>
          <cell r="E97" t="str">
            <v>YES</v>
          </cell>
          <cell r="F97">
            <v>58.672222222222224</v>
          </cell>
          <cell r="G97">
            <v>67.12777777777778</v>
          </cell>
          <cell r="H97">
            <v>1.79375</v>
          </cell>
          <cell r="I97">
            <v>2.9491666666666667</v>
          </cell>
          <cell r="J97">
            <v>60.098416666666672</v>
          </cell>
          <cell r="K97" t="str">
            <v>NA</v>
          </cell>
          <cell r="L97">
            <v>0.20866666666666667</v>
          </cell>
          <cell r="M97">
            <v>94.884500000000003</v>
          </cell>
          <cell r="N97">
            <v>31.156166666666667</v>
          </cell>
          <cell r="O97">
            <v>170.16666666666666</v>
          </cell>
          <cell r="P97" t="str">
            <v>NA</v>
          </cell>
          <cell r="Q97">
            <v>41.034092547210612</v>
          </cell>
          <cell r="R97" t="str">
            <v>Castro &amp; Galetti 2004, Erica&amp;Wesley, Fábio Jacomassa, unpubl., Mikich 2002</v>
          </cell>
          <cell r="S97">
            <v>0.84</v>
          </cell>
          <cell r="T97">
            <v>1.9101368782054286E-2</v>
          </cell>
          <cell r="U97">
            <v>3.9645666666666669E-2</v>
          </cell>
          <cell r="V97">
            <v>0.1821710064166274</v>
          </cell>
          <cell r="W97">
            <v>0.20872847843683651</v>
          </cell>
          <cell r="X97">
            <v>0.622</v>
          </cell>
          <cell r="Y97" t="str">
            <v>NA</v>
          </cell>
          <cell r="Z97">
            <v>3.5000000000000003E-2</v>
          </cell>
          <cell r="AA97" t="str">
            <v>NA</v>
          </cell>
          <cell r="AB97" t="str">
            <v>Erica &amp; Wesley, unpubl., FRUBASE, FRUBASE</v>
          </cell>
        </row>
        <row r="98">
          <cell r="A98" t="str">
            <v>Quiina glazovii</v>
          </cell>
          <cell r="B98" t="str">
            <v>Quiinaceae</v>
          </cell>
          <cell r="C98" t="str">
            <v>NA</v>
          </cell>
          <cell r="D98" t="str">
            <v>yellow</v>
          </cell>
          <cell r="E98" t="str">
            <v>YES</v>
          </cell>
          <cell r="F98">
            <v>15.955</v>
          </cell>
          <cell r="G98">
            <v>20.855</v>
          </cell>
          <cell r="H98">
            <v>10.199999999999999</v>
          </cell>
          <cell r="I98">
            <v>16.634999999999998</v>
          </cell>
          <cell r="J98">
            <v>3.1950000000000003</v>
          </cell>
          <cell r="K98">
            <v>1.45</v>
          </cell>
          <cell r="L98">
            <v>1.9</v>
          </cell>
          <cell r="M98">
            <v>0.23</v>
          </cell>
          <cell r="N98">
            <v>1.53</v>
          </cell>
          <cell r="O98">
            <v>1.5</v>
          </cell>
          <cell r="P98" t="str">
            <v>NA</v>
          </cell>
          <cell r="Q98">
            <v>0.15032679738562091</v>
          </cell>
          <cell r="R98" t="str">
            <v>Cazetta 2007, Intervales_morfo</v>
          </cell>
          <cell r="S98">
            <v>0.8569</v>
          </cell>
          <cell r="T98">
            <v>9.9000000000000005E-2</v>
          </cell>
          <cell r="U98">
            <v>6.2399999999999997E-2</v>
          </cell>
          <cell r="V98">
            <v>4.0000000000000002E-4</v>
          </cell>
          <cell r="W98" t="str">
            <v>NA</v>
          </cell>
          <cell r="X98" t="str">
            <v>NA</v>
          </cell>
          <cell r="Y98">
            <v>0.69499999999999995</v>
          </cell>
          <cell r="Z98">
            <v>0.19600000000000001</v>
          </cell>
          <cell r="AA98" t="str">
            <v>NA</v>
          </cell>
          <cell r="AB98" t="str">
            <v>Saibadela, Cazetta 2007</v>
          </cell>
        </row>
        <row r="99">
          <cell r="A99" t="str">
            <v>Richeria grandis</v>
          </cell>
          <cell r="B99" t="str">
            <v>Phyllanthaceae</v>
          </cell>
          <cell r="C99" t="str">
            <v>NA</v>
          </cell>
          <cell r="D99" t="str">
            <v>red</v>
          </cell>
          <cell r="E99" t="str">
            <v>YES</v>
          </cell>
          <cell r="F99">
            <v>7.3</v>
          </cell>
          <cell r="G99">
            <v>11.3</v>
          </cell>
          <cell r="H99">
            <v>3.8</v>
          </cell>
          <cell r="I99">
            <v>6.8</v>
          </cell>
          <cell r="J99">
            <v>0.27</v>
          </cell>
          <cell r="K99" t="str">
            <v>NA</v>
          </cell>
          <cell r="L99" t="str">
            <v>NA</v>
          </cell>
          <cell r="M99" t="str">
            <v>NA</v>
          </cell>
          <cell r="N99" t="str">
            <v>NA</v>
          </cell>
          <cell r="O99">
            <v>1.1000000000000001</v>
          </cell>
          <cell r="P99" t="str">
            <v>NA</v>
          </cell>
          <cell r="Q99" t="str">
            <v>NA</v>
          </cell>
          <cell r="R99" t="str">
            <v>Motta Jr. 1981, ATLANTIC, FRUBASE</v>
          </cell>
          <cell r="S99">
            <v>0.73</v>
          </cell>
          <cell r="T99">
            <v>0.27</v>
          </cell>
          <cell r="U99">
            <v>2.1999999999999999E-2</v>
          </cell>
          <cell r="V99" t="str">
            <v>NA</v>
          </cell>
          <cell r="W99" t="str">
            <v>NA</v>
          </cell>
          <cell r="X99" t="str">
            <v>NA</v>
          </cell>
          <cell r="Y99" t="str">
            <v>NA</v>
          </cell>
          <cell r="Z99" t="str">
            <v>NA</v>
          </cell>
          <cell r="AA99" t="str">
            <v>NA</v>
          </cell>
          <cell r="AB99" t="str">
            <v>Motta Jr. 1981, FRUBASE</v>
          </cell>
        </row>
        <row r="100">
          <cell r="A100" t="str">
            <v>Schefflera morototoni</v>
          </cell>
          <cell r="B100" t="str">
            <v>Araliaceae</v>
          </cell>
          <cell r="C100" t="str">
            <v>Didymopanax morototoni</v>
          </cell>
          <cell r="D100" t="str">
            <v>black</v>
          </cell>
          <cell r="E100" t="str">
            <v>YES</v>
          </cell>
          <cell r="F100">
            <v>6.8999999999999995</v>
          </cell>
          <cell r="G100">
            <v>7.8999999999999995</v>
          </cell>
          <cell r="H100">
            <v>4</v>
          </cell>
          <cell r="I100">
            <v>5</v>
          </cell>
          <cell r="J100">
            <v>0.505</v>
          </cell>
          <cell r="K100" t="str">
            <v>NA</v>
          </cell>
          <cell r="L100">
            <v>4.4999999999999998E-2</v>
          </cell>
          <cell r="M100">
            <v>0.11600000000000001</v>
          </cell>
          <cell r="N100">
            <v>1.4E-2</v>
          </cell>
          <cell r="O100">
            <v>1.6</v>
          </cell>
          <cell r="P100" t="str">
            <v>NA</v>
          </cell>
          <cell r="Q100">
            <v>8.2857142857142865</v>
          </cell>
          <cell r="R100" t="str">
            <v>ATLANTIC, Castro 2001, FRUBASE, Motta Jr. 1981</v>
          </cell>
          <cell r="S100">
            <v>0.78</v>
          </cell>
          <cell r="T100">
            <v>0.17900000000000002</v>
          </cell>
          <cell r="U100">
            <v>0.11899999999999999</v>
          </cell>
          <cell r="V100" t="str">
            <v>NA</v>
          </cell>
          <cell r="W100" t="str">
            <v>NA</v>
          </cell>
          <cell r="X100">
            <v>0.54600000000000004</v>
          </cell>
          <cell r="Y100" t="str">
            <v>NA</v>
          </cell>
          <cell r="Z100" t="str">
            <v>NA</v>
          </cell>
          <cell r="AA100" t="str">
            <v>NA</v>
          </cell>
          <cell r="AB100" t="str">
            <v>Motta Jr. 1981, FRUBASE</v>
          </cell>
        </row>
        <row r="101">
          <cell r="A101" t="str">
            <v>Schinus terebinthifolius</v>
          </cell>
          <cell r="B101" t="str">
            <v>Anacardiaceae</v>
          </cell>
          <cell r="C101" t="str">
            <v>NA</v>
          </cell>
          <cell r="D101" t="str">
            <v>red</v>
          </cell>
          <cell r="E101" t="str">
            <v>YES</v>
          </cell>
          <cell r="F101">
            <v>5.1733333333333329</v>
          </cell>
          <cell r="G101">
            <v>5.0959999999999992</v>
          </cell>
          <cell r="H101">
            <v>3.5525000000000002</v>
          </cell>
          <cell r="I101">
            <v>3.5100000000000002</v>
          </cell>
          <cell r="J101">
            <v>2.82256E-2</v>
          </cell>
          <cell r="K101">
            <v>0.01</v>
          </cell>
          <cell r="L101">
            <v>1.3157999999999998E-2</v>
          </cell>
          <cell r="M101">
            <v>7.4514000000000004E-3</v>
          </cell>
          <cell r="N101">
            <v>1.1774E-2</v>
          </cell>
          <cell r="O101">
            <v>1</v>
          </cell>
          <cell r="P101" t="str">
            <v>NA</v>
          </cell>
          <cell r="Q101">
            <v>0.5455367759470019</v>
          </cell>
          <cell r="R101" t="str">
            <v>ATLANTIC, Cazetta 2007, Erica&amp;Wesley, Krugel &amp; Behr 1998, Alves 2008, Angel-de-Oliveira 1999</v>
          </cell>
          <cell r="S101">
            <v>0.65910000000000002</v>
          </cell>
          <cell r="T101">
            <v>5.4699999999999999E-2</v>
          </cell>
          <cell r="U101">
            <v>6.8600000000000008E-2</v>
          </cell>
          <cell r="V101">
            <v>8.6999999999999994E-3</v>
          </cell>
          <cell r="W101" t="str">
            <v>NA</v>
          </cell>
          <cell r="X101" t="str">
            <v>NA</v>
          </cell>
          <cell r="Y101" t="str">
            <v>NA</v>
          </cell>
          <cell r="Z101" t="str">
            <v>NA</v>
          </cell>
          <cell r="AA101" t="str">
            <v>NA</v>
          </cell>
          <cell r="AB101" t="str">
            <v>Cazetta 2007</v>
          </cell>
        </row>
        <row r="102">
          <cell r="A102" t="str">
            <v>Senna macranthera</v>
          </cell>
          <cell r="B102" t="str">
            <v>Fabaceae</v>
          </cell>
          <cell r="C102" t="str">
            <v>NA</v>
          </cell>
          <cell r="D102" t="str">
            <v>green</v>
          </cell>
          <cell r="E102" t="str">
            <v>YES</v>
          </cell>
          <cell r="F102" t="str">
            <v>NA</v>
          </cell>
          <cell r="G102" t="str">
            <v>NA</v>
          </cell>
          <cell r="H102" t="str">
            <v>NA</v>
          </cell>
          <cell r="I102" t="str">
            <v>NA</v>
          </cell>
          <cell r="J102" t="str">
            <v>NA</v>
          </cell>
          <cell r="K102" t="str">
            <v>NA</v>
          </cell>
          <cell r="L102" t="str">
            <v>NA</v>
          </cell>
          <cell r="M102" t="str">
            <v>NA</v>
          </cell>
          <cell r="N102" t="str">
            <v>NA</v>
          </cell>
          <cell r="O102" t="str">
            <v>NA</v>
          </cell>
          <cell r="P102" t="str">
            <v>NA</v>
          </cell>
          <cell r="Q102" t="str">
            <v>NA</v>
          </cell>
          <cell r="R102" t="str">
            <v>NA</v>
          </cell>
          <cell r="S102" t="str">
            <v>NA</v>
          </cell>
          <cell r="T102" t="str">
            <v>NA</v>
          </cell>
          <cell r="U102" t="str">
            <v>NA</v>
          </cell>
          <cell r="V102" t="str">
            <v>NA</v>
          </cell>
          <cell r="W102" t="str">
            <v>NA</v>
          </cell>
          <cell r="X102" t="str">
            <v>NA</v>
          </cell>
          <cell r="Y102" t="str">
            <v>NA</v>
          </cell>
          <cell r="Z102" t="str">
            <v>NA</v>
          </cell>
          <cell r="AA102" t="str">
            <v>NA</v>
          </cell>
          <cell r="AB102" t="str">
            <v>NA</v>
          </cell>
        </row>
        <row r="103">
          <cell r="A103" t="str">
            <v>Sloanea guianensis</v>
          </cell>
          <cell r="B103" t="str">
            <v>Elaeocarpaceae</v>
          </cell>
          <cell r="C103" t="str">
            <v>NA</v>
          </cell>
          <cell r="D103" t="str">
            <v>multicolor</v>
          </cell>
          <cell r="E103" t="str">
            <v>YES</v>
          </cell>
          <cell r="F103">
            <v>7</v>
          </cell>
          <cell r="G103">
            <v>12</v>
          </cell>
          <cell r="H103">
            <v>6</v>
          </cell>
          <cell r="I103">
            <v>11</v>
          </cell>
          <cell r="J103">
            <v>0.3</v>
          </cell>
          <cell r="K103" t="str">
            <v>NA</v>
          </cell>
          <cell r="L103">
            <v>0.2</v>
          </cell>
          <cell r="M103" t="str">
            <v>NA</v>
          </cell>
          <cell r="N103" t="str">
            <v>NA</v>
          </cell>
          <cell r="O103">
            <v>1</v>
          </cell>
          <cell r="P103" t="str">
            <v>NA</v>
          </cell>
          <cell r="Q103" t="str">
            <v>NA</v>
          </cell>
          <cell r="R103" t="str">
            <v>Intervales_morfo</v>
          </cell>
          <cell r="S103">
            <v>0.90900000000000003</v>
          </cell>
          <cell r="T103">
            <v>2.5000000000000001E-2</v>
          </cell>
          <cell r="U103">
            <v>6.9000000000000006E-2</v>
          </cell>
          <cell r="V103" t="str">
            <v>NA</v>
          </cell>
          <cell r="W103" t="str">
            <v>NA</v>
          </cell>
          <cell r="X103" t="str">
            <v>NA</v>
          </cell>
          <cell r="Y103">
            <v>0.877</v>
          </cell>
          <cell r="Z103">
            <v>2.8999999999999998E-2</v>
          </cell>
          <cell r="AA103" t="str">
            <v>NA</v>
          </cell>
          <cell r="AB103" t="str">
            <v>Saibadela</v>
          </cell>
        </row>
        <row r="104">
          <cell r="A104" t="str">
            <v>Sloanea monosperma</v>
          </cell>
          <cell r="B104" t="str">
            <v>Elaeocarpaceae</v>
          </cell>
          <cell r="C104" t="str">
            <v>Sloanea hirsuta</v>
          </cell>
          <cell r="D104" t="str">
            <v>orange</v>
          </cell>
          <cell r="E104" t="str">
            <v>YES</v>
          </cell>
          <cell r="F104">
            <v>10.033333333333333</v>
          </cell>
          <cell r="G104">
            <v>14.733333333333334</v>
          </cell>
          <cell r="H104">
            <v>9.2333333333333343</v>
          </cell>
          <cell r="I104">
            <v>13.866666666666667</v>
          </cell>
          <cell r="J104">
            <v>1.2296666666666667</v>
          </cell>
          <cell r="K104" t="str">
            <v>NA</v>
          </cell>
          <cell r="L104">
            <v>0.48233333333333328</v>
          </cell>
          <cell r="M104">
            <v>0.74733333333333329</v>
          </cell>
          <cell r="N104">
            <v>0.48233333333333328</v>
          </cell>
          <cell r="O104">
            <v>1</v>
          </cell>
          <cell r="P104" t="str">
            <v>NA</v>
          </cell>
          <cell r="Q104">
            <v>1.5494125777470629</v>
          </cell>
          <cell r="R104" t="str">
            <v>Erica&amp;Wesley</v>
          </cell>
          <cell r="S104" t="str">
            <v>NA</v>
          </cell>
          <cell r="T104" t="str">
            <v>NA</v>
          </cell>
          <cell r="U104" t="str">
            <v>NA</v>
          </cell>
          <cell r="V104" t="str">
            <v>NA</v>
          </cell>
          <cell r="W104" t="str">
            <v>NA</v>
          </cell>
          <cell r="X104" t="str">
            <v>NA</v>
          </cell>
          <cell r="Y104" t="str">
            <v>NA</v>
          </cell>
          <cell r="Z104" t="str">
            <v>NA</v>
          </cell>
          <cell r="AA104" t="str">
            <v>NA</v>
          </cell>
          <cell r="AB104" t="str">
            <v>NA</v>
          </cell>
        </row>
        <row r="105">
          <cell r="A105" t="str">
            <v>Solanum erianthum</v>
          </cell>
          <cell r="B105" t="str">
            <v>Solanaceae</v>
          </cell>
          <cell r="C105" t="str">
            <v>NA</v>
          </cell>
          <cell r="D105" t="str">
            <v>NA</v>
          </cell>
          <cell r="E105" t="str">
            <v>YES</v>
          </cell>
          <cell r="F105" t="str">
            <v>NA</v>
          </cell>
          <cell r="G105" t="str">
            <v>NA</v>
          </cell>
          <cell r="H105" t="str">
            <v>NA</v>
          </cell>
          <cell r="I105" t="str">
            <v>NA</v>
          </cell>
          <cell r="J105" t="str">
            <v>NA</v>
          </cell>
          <cell r="K105" t="str">
            <v>NA</v>
          </cell>
          <cell r="L105" t="str">
            <v>NA</v>
          </cell>
          <cell r="M105" t="str">
            <v>NA</v>
          </cell>
          <cell r="N105" t="str">
            <v>NA</v>
          </cell>
          <cell r="O105" t="str">
            <v>NA</v>
          </cell>
          <cell r="P105" t="str">
            <v>NA</v>
          </cell>
          <cell r="Q105" t="str">
            <v>NA</v>
          </cell>
          <cell r="R105" t="str">
            <v>NA</v>
          </cell>
          <cell r="S105" t="str">
            <v>NA</v>
          </cell>
          <cell r="T105" t="str">
            <v>NA</v>
          </cell>
          <cell r="U105" t="str">
            <v>NA</v>
          </cell>
          <cell r="V105" t="str">
            <v>NA</v>
          </cell>
          <cell r="W105" t="str">
            <v>NA</v>
          </cell>
          <cell r="X105" t="str">
            <v>NA</v>
          </cell>
          <cell r="Y105" t="str">
            <v>NA</v>
          </cell>
          <cell r="Z105" t="str">
            <v>NA</v>
          </cell>
          <cell r="AA105" t="str">
            <v>NA</v>
          </cell>
          <cell r="AB105" t="str">
            <v>NA</v>
          </cell>
        </row>
        <row r="106">
          <cell r="A106" t="str">
            <v>Solanum granulosoleprosum</v>
          </cell>
          <cell r="B106" t="str">
            <v>Solanaceae</v>
          </cell>
          <cell r="C106" t="str">
            <v>Solanum hazenii</v>
          </cell>
          <cell r="D106" t="str">
            <v>green</v>
          </cell>
          <cell r="E106" t="str">
            <v>YES</v>
          </cell>
          <cell r="F106">
            <v>11</v>
          </cell>
          <cell r="G106" t="str">
            <v>NA</v>
          </cell>
          <cell r="H106">
            <v>0.17299999999999999</v>
          </cell>
          <cell r="I106">
            <v>2.09</v>
          </cell>
          <cell r="J106">
            <v>1.5</v>
          </cell>
          <cell r="K106" t="str">
            <v>NA</v>
          </cell>
          <cell r="L106" t="str">
            <v>NA</v>
          </cell>
          <cell r="M106" t="str">
            <v>NA</v>
          </cell>
          <cell r="N106" t="str">
            <v>NA</v>
          </cell>
          <cell r="O106" t="str">
            <v>NA</v>
          </cell>
          <cell r="P106" t="str">
            <v>NA</v>
          </cell>
          <cell r="Q106" t="str">
            <v>NA</v>
          </cell>
          <cell r="R106" t="str">
            <v>ATLANTIC, Fábio Jacomassa, unpubl., Athie &amp; Dias 2012</v>
          </cell>
          <cell r="S106" t="str">
            <v>NA</v>
          </cell>
          <cell r="T106" t="str">
            <v>NA</v>
          </cell>
          <cell r="U106" t="str">
            <v>NA</v>
          </cell>
          <cell r="V106" t="str">
            <v>NA</v>
          </cell>
          <cell r="W106" t="str">
            <v>NA</v>
          </cell>
          <cell r="X106" t="str">
            <v>NA</v>
          </cell>
          <cell r="Y106" t="str">
            <v>NA</v>
          </cell>
          <cell r="Z106" t="str">
            <v>NA</v>
          </cell>
          <cell r="AA106" t="str">
            <v>NA</v>
          </cell>
          <cell r="AB106" t="str">
            <v>NA</v>
          </cell>
        </row>
        <row r="107">
          <cell r="A107" t="str">
            <v>Solanum myrianthum</v>
          </cell>
          <cell r="B107" t="str">
            <v>Solanaceae</v>
          </cell>
          <cell r="C107" t="str">
            <v>NA</v>
          </cell>
          <cell r="D107" t="str">
            <v>green</v>
          </cell>
          <cell r="E107" t="str">
            <v>YES</v>
          </cell>
          <cell r="F107" t="str">
            <v>NA</v>
          </cell>
          <cell r="G107" t="str">
            <v>NA</v>
          </cell>
          <cell r="H107" t="str">
            <v>NA</v>
          </cell>
          <cell r="I107" t="str">
            <v>NA</v>
          </cell>
          <cell r="J107" t="str">
            <v>NA</v>
          </cell>
          <cell r="K107" t="str">
            <v>NA</v>
          </cell>
          <cell r="L107" t="str">
            <v>NA</v>
          </cell>
          <cell r="M107" t="str">
            <v>NA</v>
          </cell>
          <cell r="N107" t="str">
            <v>NA</v>
          </cell>
          <cell r="O107" t="str">
            <v>NA</v>
          </cell>
          <cell r="P107" t="str">
            <v>NA</v>
          </cell>
          <cell r="Q107" t="str">
            <v>NA</v>
          </cell>
          <cell r="R107" t="str">
            <v>NA</v>
          </cell>
          <cell r="S107" t="str">
            <v>NA</v>
          </cell>
          <cell r="T107" t="str">
            <v>NA</v>
          </cell>
          <cell r="U107" t="str">
            <v>NA</v>
          </cell>
          <cell r="V107" t="str">
            <v>NA</v>
          </cell>
          <cell r="W107" t="str">
            <v>NA</v>
          </cell>
          <cell r="X107" t="str">
            <v>NA</v>
          </cell>
          <cell r="Y107" t="str">
            <v>NA</v>
          </cell>
          <cell r="Z107" t="str">
            <v>NA</v>
          </cell>
          <cell r="AA107" t="str">
            <v>NA</v>
          </cell>
          <cell r="AB107" t="str">
            <v>NA</v>
          </cell>
        </row>
        <row r="108">
          <cell r="A108" t="str">
            <v>Solanum viscosissimum</v>
          </cell>
          <cell r="B108" t="str">
            <v>Solanaceae</v>
          </cell>
          <cell r="C108" t="str">
            <v>NA</v>
          </cell>
          <cell r="D108" t="str">
            <v>green</v>
          </cell>
          <cell r="E108" t="str">
            <v>YES</v>
          </cell>
          <cell r="F108">
            <v>8.6</v>
          </cell>
          <cell r="G108">
            <v>8.6999999999999993</v>
          </cell>
          <cell r="H108">
            <v>3.1</v>
          </cell>
          <cell r="I108" t="str">
            <v>NA</v>
          </cell>
          <cell r="J108">
            <v>0.4</v>
          </cell>
          <cell r="K108" t="str">
            <v>NA</v>
          </cell>
          <cell r="L108" t="str">
            <v>NA</v>
          </cell>
          <cell r="M108" t="str">
            <v>NA</v>
          </cell>
          <cell r="N108" t="str">
            <v>NA</v>
          </cell>
          <cell r="O108">
            <v>9.5</v>
          </cell>
          <cell r="P108" t="str">
            <v>NA</v>
          </cell>
          <cell r="Q108" t="str">
            <v>NA</v>
          </cell>
          <cell r="R108" t="str">
            <v>Motta Jr. 1981</v>
          </cell>
          <cell r="S108">
            <v>0.69</v>
          </cell>
          <cell r="T108">
            <v>3.0000000000000001E-3</v>
          </cell>
          <cell r="U108" t="str">
            <v>NA</v>
          </cell>
          <cell r="V108" t="str">
            <v>NA</v>
          </cell>
          <cell r="W108" t="str">
            <v>NA</v>
          </cell>
          <cell r="X108" t="str">
            <v>NA</v>
          </cell>
          <cell r="Y108" t="str">
            <v>NA</v>
          </cell>
          <cell r="Z108" t="str">
            <v>NA</v>
          </cell>
          <cell r="AA108" t="str">
            <v>NA</v>
          </cell>
          <cell r="AB108" t="str">
            <v>Motta Jr. 1981</v>
          </cell>
        </row>
        <row r="109">
          <cell r="A109" t="str">
            <v>Sorocea ilicifolia</v>
          </cell>
          <cell r="B109" t="str">
            <v>Moraceae</v>
          </cell>
          <cell r="C109" t="str">
            <v>Sorocea bonplandii</v>
          </cell>
          <cell r="D109" t="str">
            <v>multicolor</v>
          </cell>
          <cell r="E109" t="str">
            <v>YES</v>
          </cell>
          <cell r="F109">
            <v>12.327500000000001</v>
          </cell>
          <cell r="G109">
            <v>13.815000000000001</v>
          </cell>
          <cell r="H109">
            <v>8.7850000000000001</v>
          </cell>
          <cell r="I109">
            <v>11.264999999999999</v>
          </cell>
          <cell r="J109">
            <v>1.7966666666666666</v>
          </cell>
          <cell r="K109">
            <v>2.15</v>
          </cell>
          <cell r="L109">
            <v>0.58499999999999996</v>
          </cell>
          <cell r="M109">
            <v>0.28999999999999998</v>
          </cell>
          <cell r="N109">
            <v>0.64</v>
          </cell>
          <cell r="O109">
            <v>1</v>
          </cell>
          <cell r="P109" t="str">
            <v>NA</v>
          </cell>
          <cell r="Q109">
            <v>1.9656477390852389</v>
          </cell>
          <cell r="R109" t="str">
            <v>ATLANTIC. Cazetta 2007, Erica&amp;Wesley, Intervales_morfo, Angel-de-Oliveira 1999</v>
          </cell>
          <cell r="S109">
            <v>0.77099999999999991</v>
          </cell>
          <cell r="T109">
            <v>0.05</v>
          </cell>
          <cell r="U109">
            <v>0.10300000000000001</v>
          </cell>
          <cell r="V109" t="str">
            <v>NA</v>
          </cell>
          <cell r="W109" t="str">
            <v>NA</v>
          </cell>
          <cell r="X109" t="str">
            <v>NA</v>
          </cell>
          <cell r="Y109">
            <v>0.81099999999999994</v>
          </cell>
          <cell r="Z109">
            <v>3.6000000000000004E-2</v>
          </cell>
          <cell r="AA109" t="str">
            <v>NA</v>
          </cell>
          <cell r="AB109" t="str">
            <v>Saibadela</v>
          </cell>
        </row>
        <row r="110">
          <cell r="A110" t="str">
            <v>Struthanthus vulgaris</v>
          </cell>
          <cell r="B110" t="str">
            <v>Loranthaceae</v>
          </cell>
          <cell r="C110" t="str">
            <v>Struthanthus marginatus</v>
          </cell>
          <cell r="D110" t="str">
            <v>NA</v>
          </cell>
          <cell r="E110" t="str">
            <v>YES</v>
          </cell>
          <cell r="F110">
            <v>4.3499999999999996</v>
          </cell>
          <cell r="G110">
            <v>6.7249999999999996</v>
          </cell>
          <cell r="H110">
            <v>2.5</v>
          </cell>
          <cell r="I110">
            <v>4.8250000000000002</v>
          </cell>
          <cell r="J110">
            <v>0.11399999999999999</v>
          </cell>
          <cell r="K110" t="str">
            <v>NA</v>
          </cell>
          <cell r="L110">
            <v>2.1750000000000002E-2</v>
          </cell>
          <cell r="M110">
            <v>9.2249999999999999E-2</v>
          </cell>
          <cell r="N110">
            <v>2.1750000000000002E-2</v>
          </cell>
          <cell r="O110">
            <v>1</v>
          </cell>
          <cell r="P110" t="str">
            <v>NA</v>
          </cell>
          <cell r="Q110">
            <v>4.2413793103448274</v>
          </cell>
          <cell r="R110" t="str">
            <v>Erica&amp;Wesley</v>
          </cell>
          <cell r="S110" t="str">
            <v>NA</v>
          </cell>
          <cell r="T110" t="str">
            <v>NA</v>
          </cell>
          <cell r="U110" t="str">
            <v>NA</v>
          </cell>
          <cell r="V110" t="str">
            <v>NA</v>
          </cell>
          <cell r="W110" t="str">
            <v>NA</v>
          </cell>
          <cell r="X110" t="str">
            <v>NA</v>
          </cell>
          <cell r="Y110" t="str">
            <v>NA</v>
          </cell>
          <cell r="Z110" t="str">
            <v>NA</v>
          </cell>
          <cell r="AA110" t="str">
            <v>NA</v>
          </cell>
          <cell r="AB110" t="str">
            <v>NA</v>
          </cell>
        </row>
        <row r="111">
          <cell r="A111" t="str">
            <v>Styrax leprosus</v>
          </cell>
          <cell r="B111" t="str">
            <v>Styracaceae</v>
          </cell>
          <cell r="C111" t="str">
            <v>NA</v>
          </cell>
          <cell r="D111" t="str">
            <v>black</v>
          </cell>
          <cell r="E111" t="str">
            <v>YES</v>
          </cell>
          <cell r="F111">
            <v>9.0500000000000007</v>
          </cell>
          <cell r="G111">
            <v>10</v>
          </cell>
          <cell r="H111">
            <v>5.5</v>
          </cell>
          <cell r="I111">
            <v>11.8</v>
          </cell>
          <cell r="J111" t="str">
            <v>NA</v>
          </cell>
          <cell r="K111" t="str">
            <v>NA</v>
          </cell>
          <cell r="L111" t="str">
            <v>NA</v>
          </cell>
          <cell r="M111" t="str">
            <v>NA</v>
          </cell>
          <cell r="N111" t="str">
            <v>NA</v>
          </cell>
          <cell r="O111">
            <v>1</v>
          </cell>
          <cell r="P111" t="str">
            <v>NA</v>
          </cell>
          <cell r="Q111" t="str">
            <v>NA</v>
          </cell>
          <cell r="R111" t="str">
            <v>ATLANTIC, Kindel 1996</v>
          </cell>
          <cell r="S111" t="str">
            <v>NA</v>
          </cell>
          <cell r="T111" t="str">
            <v>NA</v>
          </cell>
          <cell r="U111" t="str">
            <v>NA</v>
          </cell>
          <cell r="V111" t="str">
            <v>NA</v>
          </cell>
          <cell r="W111" t="str">
            <v>NA</v>
          </cell>
          <cell r="X111" t="str">
            <v>NA</v>
          </cell>
          <cell r="Y111" t="str">
            <v>NA</v>
          </cell>
          <cell r="Z111" t="str">
            <v>NA</v>
          </cell>
          <cell r="AA111" t="str">
            <v>NA</v>
          </cell>
          <cell r="AB111" t="str">
            <v>NA</v>
          </cell>
        </row>
        <row r="112">
          <cell r="A112" t="str">
            <v>Symplocos uniflora</v>
          </cell>
          <cell r="B112" t="str">
            <v>Symplocaceae</v>
          </cell>
          <cell r="C112" t="str">
            <v>NA</v>
          </cell>
          <cell r="D112" t="str">
            <v>black</v>
          </cell>
          <cell r="E112" t="str">
            <v>YES</v>
          </cell>
          <cell r="F112">
            <v>10.9</v>
          </cell>
          <cell r="G112" t="str">
            <v>NA</v>
          </cell>
          <cell r="H112" t="str">
            <v>NA</v>
          </cell>
          <cell r="I112" t="str">
            <v>NA</v>
          </cell>
          <cell r="J112" t="str">
            <v>NA</v>
          </cell>
          <cell r="K112" t="str">
            <v>NA</v>
          </cell>
          <cell r="L112" t="str">
            <v>NA</v>
          </cell>
          <cell r="M112" t="str">
            <v>NA</v>
          </cell>
          <cell r="N112" t="str">
            <v>NA</v>
          </cell>
          <cell r="O112">
            <v>1</v>
          </cell>
          <cell r="P112" t="str">
            <v>NA</v>
          </cell>
          <cell r="Q112" t="str">
            <v>NA</v>
          </cell>
          <cell r="R112" t="str">
            <v>Kindel 1996</v>
          </cell>
          <cell r="S112" t="str">
            <v>NA</v>
          </cell>
          <cell r="T112" t="str">
            <v>NA</v>
          </cell>
          <cell r="U112" t="str">
            <v>NA</v>
          </cell>
          <cell r="V112" t="str">
            <v>NA</v>
          </cell>
          <cell r="W112" t="str">
            <v>NA</v>
          </cell>
          <cell r="X112" t="str">
            <v>NA</v>
          </cell>
          <cell r="Y112" t="str">
            <v>NA</v>
          </cell>
          <cell r="Z112" t="str">
            <v>NA</v>
          </cell>
          <cell r="AA112" t="str">
            <v>NA</v>
          </cell>
          <cell r="AB112" t="str">
            <v>NA</v>
          </cell>
        </row>
        <row r="113">
          <cell r="A113" t="str">
            <v>Syzygium cumini</v>
          </cell>
          <cell r="B113" t="str">
            <v>Myrtaceae</v>
          </cell>
          <cell r="C113" t="str">
            <v>Eugenia jumbolana</v>
          </cell>
          <cell r="D113" t="str">
            <v>black</v>
          </cell>
          <cell r="E113" t="str">
            <v>YES</v>
          </cell>
          <cell r="F113" t="str">
            <v>NA</v>
          </cell>
          <cell r="G113">
            <v>22.3</v>
          </cell>
          <cell r="H113">
            <v>9.3800000000000008</v>
          </cell>
          <cell r="I113">
            <v>14.5</v>
          </cell>
          <cell r="J113">
            <v>2.6</v>
          </cell>
          <cell r="K113" t="str">
            <v>NA</v>
          </cell>
          <cell r="L113" t="str">
            <v>NA</v>
          </cell>
          <cell r="M113" t="str">
            <v>NA</v>
          </cell>
          <cell r="N113" t="str">
            <v>NA</v>
          </cell>
          <cell r="O113" t="str">
            <v>NA</v>
          </cell>
          <cell r="P113" t="str">
            <v>NA</v>
          </cell>
          <cell r="Q113" t="str">
            <v>NA</v>
          </cell>
          <cell r="R113" t="str">
            <v>ATLANTIC, Castro 2001, Donatti 2011, Athie &amp; Dias 2012</v>
          </cell>
          <cell r="S113" t="str">
            <v>NA</v>
          </cell>
          <cell r="T113" t="str">
            <v>NA</v>
          </cell>
          <cell r="U113" t="str">
            <v>NA</v>
          </cell>
          <cell r="V113" t="str">
            <v>NA</v>
          </cell>
          <cell r="W113" t="str">
            <v>NA</v>
          </cell>
          <cell r="X113" t="str">
            <v>NA</v>
          </cell>
          <cell r="Y113" t="str">
            <v>NA</v>
          </cell>
          <cell r="Z113" t="str">
            <v>NA</v>
          </cell>
          <cell r="AA113" t="str">
            <v>NA</v>
          </cell>
          <cell r="AB113" t="str">
            <v>NA</v>
          </cell>
        </row>
        <row r="114">
          <cell r="A114" t="str">
            <v>Tapirira guianensis</v>
          </cell>
          <cell r="B114" t="str">
            <v>Anacardiaceae</v>
          </cell>
          <cell r="C114" t="str">
            <v>NA</v>
          </cell>
          <cell r="D114" t="str">
            <v>black</v>
          </cell>
          <cell r="E114" t="str">
            <v>YES</v>
          </cell>
          <cell r="F114">
            <v>10.474</v>
          </cell>
          <cell r="G114">
            <v>14.028</v>
          </cell>
          <cell r="H114">
            <v>9.1466666666666665</v>
          </cell>
          <cell r="I114">
            <v>11.63</v>
          </cell>
          <cell r="J114">
            <v>0.74192499999999995</v>
          </cell>
          <cell r="K114">
            <v>0.59</v>
          </cell>
          <cell r="L114">
            <v>0.2601</v>
          </cell>
          <cell r="M114">
            <v>0.56875000000000009</v>
          </cell>
          <cell r="N114">
            <v>0.22020000000000001</v>
          </cell>
          <cell r="O114">
            <v>1</v>
          </cell>
          <cell r="P114" t="str">
            <v>NA</v>
          </cell>
          <cell r="Q114">
            <v>2.5043596730245232</v>
          </cell>
          <cell r="R114" t="str">
            <v>Santana et al. 2013, ATLANTIC, Cazetta 2007, Erica&amp;Wesley, FRUBASE, Gondim 2002</v>
          </cell>
          <cell r="S114">
            <v>0.79535</v>
          </cell>
          <cell r="T114">
            <v>7.5081210121013958E-2</v>
          </cell>
          <cell r="U114">
            <v>4.8041E-2</v>
          </cell>
          <cell r="V114">
            <v>5.3345778338190118E-2</v>
          </cell>
          <cell r="W114">
            <v>0.11043249918861621</v>
          </cell>
          <cell r="X114">
            <v>0.88</v>
          </cell>
          <cell r="Y114" t="str">
            <v>NA</v>
          </cell>
          <cell r="Z114" t="str">
            <v>NA</v>
          </cell>
          <cell r="AA114" t="str">
            <v>NA</v>
          </cell>
          <cell r="AB114" t="str">
            <v>Santana et al. 2013, Erica &amp; Wesley, unpubl., Cazetta 2007, Gomes et al. 2010, FRUBASE</v>
          </cell>
        </row>
        <row r="115">
          <cell r="A115" t="str">
            <v>Trema micrantha</v>
          </cell>
          <cell r="B115" t="str">
            <v>Cannabaceae</v>
          </cell>
          <cell r="C115" t="str">
            <v>NA</v>
          </cell>
          <cell r="D115" t="str">
            <v>red</v>
          </cell>
          <cell r="E115" t="str">
            <v>YES</v>
          </cell>
          <cell r="F115">
            <v>2.9199999999999995</v>
          </cell>
          <cell r="G115">
            <v>3.2375000000000003</v>
          </cell>
          <cell r="H115">
            <v>1.83125</v>
          </cell>
          <cell r="I115">
            <v>1.96875</v>
          </cell>
          <cell r="J115">
            <v>9.75E-3</v>
          </cell>
          <cell r="K115" t="str">
            <v>NA</v>
          </cell>
          <cell r="L115">
            <v>4.0000000000000001E-3</v>
          </cell>
          <cell r="M115">
            <v>5.749999999999999E-3</v>
          </cell>
          <cell r="N115" t="str">
            <v>NA</v>
          </cell>
          <cell r="O115">
            <v>1</v>
          </cell>
          <cell r="P115" t="str">
            <v>NA</v>
          </cell>
          <cell r="Q115">
            <v>1.4374999999999998</v>
          </cell>
          <cell r="R115" t="str">
            <v>ATLANTIC, Castro 2001, Erica&amp;Wesley, Intervales_morfo, Mikich 2002, Souza 2004, Correia 1997</v>
          </cell>
          <cell r="S115" t="str">
            <v>NA</v>
          </cell>
          <cell r="T115">
            <v>0.48760568793234976</v>
          </cell>
          <cell r="U115">
            <v>0.107406</v>
          </cell>
          <cell r="V115">
            <v>1.2626597282962414E-3</v>
          </cell>
          <cell r="W115">
            <v>2.0982975076643082E-2</v>
          </cell>
          <cell r="X115" t="str">
            <v>NA</v>
          </cell>
          <cell r="Y115" t="str">
            <v>NA</v>
          </cell>
          <cell r="Z115" t="str">
            <v>NA</v>
          </cell>
          <cell r="AA115" t="str">
            <v>NA</v>
          </cell>
          <cell r="AB115" t="str">
            <v>Erica &amp; Wesley, unpubl.</v>
          </cell>
        </row>
        <row r="116">
          <cell r="A116" t="str">
            <v>Trichilia catigua</v>
          </cell>
          <cell r="B116" t="str">
            <v>Meliaceae</v>
          </cell>
          <cell r="C116" t="str">
            <v>NA</v>
          </cell>
          <cell r="D116" t="str">
            <v>red</v>
          </cell>
          <cell r="E116" t="str">
            <v>YES</v>
          </cell>
          <cell r="F116">
            <v>7.2</v>
          </cell>
          <cell r="G116">
            <v>14.1</v>
          </cell>
          <cell r="H116">
            <v>5.85</v>
          </cell>
          <cell r="I116">
            <v>10.65</v>
          </cell>
          <cell r="J116" t="str">
            <v>NA</v>
          </cell>
          <cell r="K116" t="str">
            <v>NA</v>
          </cell>
          <cell r="L116" t="str">
            <v>NA</v>
          </cell>
          <cell r="M116" t="str">
            <v>NA</v>
          </cell>
          <cell r="N116">
            <v>2</v>
          </cell>
          <cell r="O116" t="str">
            <v>NA</v>
          </cell>
          <cell r="P116" t="str">
            <v>NA</v>
          </cell>
          <cell r="Q116" t="str">
            <v>NA</v>
          </cell>
          <cell r="R116" t="str">
            <v>ATLANTIC, Mikich 2002</v>
          </cell>
          <cell r="S116" t="str">
            <v>NA</v>
          </cell>
          <cell r="T116" t="str">
            <v>NA</v>
          </cell>
          <cell r="U116" t="str">
            <v>NA</v>
          </cell>
          <cell r="V116" t="str">
            <v>NA</v>
          </cell>
          <cell r="W116" t="str">
            <v>NA</v>
          </cell>
          <cell r="X116" t="str">
            <v>NA</v>
          </cell>
          <cell r="Y116" t="str">
            <v>NA</v>
          </cell>
          <cell r="Z116" t="str">
            <v>NA</v>
          </cell>
          <cell r="AA116" t="str">
            <v>NA</v>
          </cell>
          <cell r="AB116" t="str">
            <v>NA</v>
          </cell>
        </row>
        <row r="117">
          <cell r="A117" t="str">
            <v>Trichilia clausseni</v>
          </cell>
          <cell r="B117" t="str">
            <v>Meliaceae</v>
          </cell>
          <cell r="C117" t="str">
            <v>NA</v>
          </cell>
          <cell r="D117" t="str">
            <v>red</v>
          </cell>
          <cell r="E117" t="str">
            <v>YES</v>
          </cell>
          <cell r="F117">
            <v>7.7</v>
          </cell>
          <cell r="G117">
            <v>9.5500000000000007</v>
          </cell>
          <cell r="H117">
            <v>9</v>
          </cell>
          <cell r="I117">
            <v>6</v>
          </cell>
          <cell r="J117">
            <v>0.5</v>
          </cell>
          <cell r="K117" t="str">
            <v>NA</v>
          </cell>
          <cell r="L117" t="str">
            <v>NA</v>
          </cell>
          <cell r="M117" t="str">
            <v>NA</v>
          </cell>
          <cell r="N117" t="str">
            <v>NA</v>
          </cell>
          <cell r="O117" t="str">
            <v>NA</v>
          </cell>
          <cell r="P117" t="str">
            <v>NA</v>
          </cell>
          <cell r="Q117" t="str">
            <v>NA</v>
          </cell>
          <cell r="R117" t="str">
            <v>Athie &amp; Dias 2012, ATLANTIC</v>
          </cell>
          <cell r="S117" t="str">
            <v>NA</v>
          </cell>
          <cell r="T117" t="str">
            <v>NA</v>
          </cell>
          <cell r="U117" t="str">
            <v>NA</v>
          </cell>
          <cell r="V117" t="str">
            <v>NA</v>
          </cell>
          <cell r="W117" t="str">
            <v>NA</v>
          </cell>
          <cell r="X117" t="str">
            <v>NA</v>
          </cell>
          <cell r="Y117" t="str">
            <v>NA</v>
          </cell>
          <cell r="Z117" t="str">
            <v>NA</v>
          </cell>
          <cell r="AA117" t="str">
            <v>NA</v>
          </cell>
          <cell r="AB117" t="str">
            <v>NA</v>
          </cell>
        </row>
        <row r="118">
          <cell r="A118" t="str">
            <v>Virola bicuhyba</v>
          </cell>
          <cell r="B118" t="str">
            <v>Myristicaceae</v>
          </cell>
          <cell r="C118" t="str">
            <v>NA</v>
          </cell>
          <cell r="D118" t="str">
            <v>red</v>
          </cell>
          <cell r="E118" t="str">
            <v>YES</v>
          </cell>
          <cell r="F118">
            <v>17.906666666666666</v>
          </cell>
          <cell r="G118">
            <v>29.706666666666667</v>
          </cell>
          <cell r="H118">
            <v>14.366666666666667</v>
          </cell>
          <cell r="I118">
            <v>23.060000000000002</v>
          </cell>
          <cell r="J118">
            <v>5.2576666666666663</v>
          </cell>
          <cell r="K118">
            <v>1.55</v>
          </cell>
          <cell r="L118">
            <v>2.1990000000000003</v>
          </cell>
          <cell r="M118">
            <v>0.71</v>
          </cell>
          <cell r="N118">
            <v>1.5569999999999999</v>
          </cell>
          <cell r="O118">
            <v>1</v>
          </cell>
          <cell r="P118" t="str">
            <v>NA</v>
          </cell>
          <cell r="Q118">
            <v>2.1963571626138605</v>
          </cell>
          <cell r="R118" t="str">
            <v>Cazetta 2007, Erica&amp;Wesley, Intervales_morfo</v>
          </cell>
          <cell r="S118">
            <v>0.54189999999999994</v>
          </cell>
          <cell r="T118">
            <v>0.56909999999999994</v>
          </cell>
          <cell r="U118">
            <v>5.4851999999999998E-2</v>
          </cell>
          <cell r="V118">
            <v>3.2000000000000002E-3</v>
          </cell>
          <cell r="W118" t="str">
            <v>NA</v>
          </cell>
          <cell r="X118" t="str">
            <v>NA</v>
          </cell>
          <cell r="Y118" t="str">
            <v>NA</v>
          </cell>
          <cell r="Z118" t="str">
            <v>NA</v>
          </cell>
          <cell r="AA118" t="str">
            <v>NA</v>
          </cell>
          <cell r="AB118" t="str">
            <v>Cazetta 2007, Erica &amp; Wesley unpubl.</v>
          </cell>
        </row>
        <row r="119">
          <cell r="A119" t="str">
            <v>Virola gardneri</v>
          </cell>
          <cell r="B119" t="str">
            <v>Myristicaceae</v>
          </cell>
          <cell r="C119" t="str">
            <v>NA</v>
          </cell>
          <cell r="D119" t="str">
            <v>red</v>
          </cell>
          <cell r="E119" t="str">
            <v>YES</v>
          </cell>
          <cell r="F119">
            <v>26.67</v>
          </cell>
          <cell r="G119">
            <v>35.924999999999997</v>
          </cell>
          <cell r="H119">
            <v>20</v>
          </cell>
          <cell r="I119">
            <v>25</v>
          </cell>
          <cell r="J119">
            <v>6.3</v>
          </cell>
          <cell r="K119" t="str">
            <v>NA</v>
          </cell>
          <cell r="L119">
            <v>5.6</v>
          </cell>
          <cell r="M119" t="str">
            <v>NA</v>
          </cell>
          <cell r="N119" t="str">
            <v>NA</v>
          </cell>
          <cell r="O119">
            <v>1</v>
          </cell>
          <cell r="P119" t="str">
            <v>NA</v>
          </cell>
          <cell r="Q119" t="str">
            <v>NA</v>
          </cell>
          <cell r="R119" t="str">
            <v>ATLANTIC, Intervales_morfo</v>
          </cell>
          <cell r="S119">
            <v>0.72299999999999998</v>
          </cell>
          <cell r="T119">
            <v>0.88800000000000001</v>
          </cell>
          <cell r="U119">
            <v>4.9000000000000002E-2</v>
          </cell>
          <cell r="V119" t="str">
            <v>NA</v>
          </cell>
          <cell r="W119" t="str">
            <v>NA</v>
          </cell>
          <cell r="X119" t="str">
            <v>NA</v>
          </cell>
          <cell r="Y119">
            <v>5.2999999999999999E-2</v>
          </cell>
          <cell r="Z119">
            <v>1.1000000000000001E-2</v>
          </cell>
          <cell r="AA119" t="str">
            <v>NA</v>
          </cell>
          <cell r="AB119" t="str">
            <v>Saibadela</v>
          </cell>
        </row>
        <row r="120">
          <cell r="A120" t="str">
            <v>Virola oleifera</v>
          </cell>
          <cell r="B120" t="str">
            <v>Myristicaceae</v>
          </cell>
          <cell r="C120" t="str">
            <v>NA</v>
          </cell>
          <cell r="D120" t="str">
            <v>red</v>
          </cell>
          <cell r="E120" t="str">
            <v>YES</v>
          </cell>
          <cell r="F120">
            <v>15.7</v>
          </cell>
          <cell r="G120">
            <v>23.7</v>
          </cell>
          <cell r="H120" t="str">
            <v>NA</v>
          </cell>
          <cell r="I120" t="str">
            <v>NA</v>
          </cell>
          <cell r="J120">
            <v>3.5</v>
          </cell>
          <cell r="K120">
            <v>1.1000000000000001</v>
          </cell>
          <cell r="L120" t="str">
            <v>NA</v>
          </cell>
          <cell r="M120" t="str">
            <v>NA</v>
          </cell>
          <cell r="N120" t="str">
            <v>NA</v>
          </cell>
          <cell r="O120">
            <v>1</v>
          </cell>
          <cell r="P120" t="str">
            <v>NA</v>
          </cell>
          <cell r="Q120" t="str">
            <v>NA</v>
          </cell>
          <cell r="R120" t="str">
            <v>Pizo &amp; Oliveira 2001</v>
          </cell>
          <cell r="S120">
            <v>0.62680000000000002</v>
          </cell>
          <cell r="T120">
            <v>0.61839999999999995</v>
          </cell>
          <cell r="U120">
            <v>4.6050000000000001E-2</v>
          </cell>
          <cell r="V120" t="str">
            <v>NA</v>
          </cell>
          <cell r="W120" t="str">
            <v>NA</v>
          </cell>
          <cell r="X120" t="str">
            <v>NA</v>
          </cell>
          <cell r="Y120">
            <v>0.32119999999999999</v>
          </cell>
          <cell r="Z120">
            <v>1.4E-2</v>
          </cell>
          <cell r="AA120" t="str">
            <v>NA</v>
          </cell>
          <cell r="AB120" t="str">
            <v>Saibadela, Galetti et al 1997</v>
          </cell>
        </row>
        <row r="121">
          <cell r="A121" t="str">
            <v>Virola sebifera</v>
          </cell>
          <cell r="B121" t="str">
            <v>Myristicaceae</v>
          </cell>
          <cell r="C121" t="str">
            <v>NA</v>
          </cell>
          <cell r="D121" t="str">
            <v>red</v>
          </cell>
          <cell r="E121" t="str">
            <v>YES</v>
          </cell>
          <cell r="F121">
            <v>10.49</v>
          </cell>
          <cell r="G121">
            <v>14.664000000000001</v>
          </cell>
          <cell r="H121">
            <v>10.353333333333333</v>
          </cell>
          <cell r="I121">
            <v>13.504999999999999</v>
          </cell>
          <cell r="J121">
            <v>0.75</v>
          </cell>
          <cell r="K121" t="str">
            <v>NA</v>
          </cell>
          <cell r="L121">
            <v>0.54</v>
          </cell>
          <cell r="M121">
            <v>0.12</v>
          </cell>
          <cell r="N121">
            <v>0.36</v>
          </cell>
          <cell r="O121">
            <v>1</v>
          </cell>
          <cell r="P121" t="str">
            <v>NA</v>
          </cell>
          <cell r="Q121">
            <v>0.33333333333333331</v>
          </cell>
          <cell r="R121" t="str">
            <v>ATLANTIC, FRUBASE, Motta Jr. 1981, Camargo 2014, Gondim 2002</v>
          </cell>
          <cell r="S121">
            <v>0.40949999999999998</v>
          </cell>
          <cell r="T121">
            <v>0.53849999999999998</v>
          </cell>
          <cell r="U121">
            <v>7.0999999999999994E-2</v>
          </cell>
          <cell r="V121" t="str">
            <v>NA</v>
          </cell>
          <cell r="W121" t="str">
            <v>NA</v>
          </cell>
          <cell r="X121">
            <v>8.4000000000000005E-2</v>
          </cell>
          <cell r="Y121" t="str">
            <v>NA</v>
          </cell>
          <cell r="Z121">
            <v>2.5000000000000001E-2</v>
          </cell>
          <cell r="AA121" t="str">
            <v>NA</v>
          </cell>
          <cell r="AB121" t="str">
            <v>FRUBASE, Motta Jr. 1981</v>
          </cell>
        </row>
        <row r="122">
          <cell r="A122" t="str">
            <v>Vitex polygama</v>
          </cell>
          <cell r="B122" t="str">
            <v>Lamiaceae</v>
          </cell>
          <cell r="C122" t="str">
            <v>NA</v>
          </cell>
          <cell r="D122" t="str">
            <v>black</v>
          </cell>
          <cell r="E122" t="str">
            <v>YES</v>
          </cell>
          <cell r="F122">
            <v>16.63</v>
          </cell>
          <cell r="G122">
            <v>17.059999999999999</v>
          </cell>
          <cell r="H122">
            <v>8.15</v>
          </cell>
          <cell r="I122">
            <v>13.72</v>
          </cell>
          <cell r="J122">
            <v>2.57</v>
          </cell>
          <cell r="K122">
            <v>1.97</v>
          </cell>
          <cell r="L122" t="str">
            <v>NA</v>
          </cell>
          <cell r="M122">
            <v>0.48</v>
          </cell>
          <cell r="N122">
            <v>0.59</v>
          </cell>
          <cell r="O122">
            <v>1</v>
          </cell>
          <cell r="P122" t="str">
            <v>NA</v>
          </cell>
          <cell r="Q122">
            <v>0.81355932203389836</v>
          </cell>
          <cell r="R122" t="str">
            <v>Cazetta 2007</v>
          </cell>
          <cell r="S122">
            <v>0.75629999999999997</v>
          </cell>
          <cell r="T122">
            <v>1.6E-2</v>
          </cell>
          <cell r="U122">
            <v>3.56E-2</v>
          </cell>
          <cell r="V122">
            <v>1.9699999999999999E-2</v>
          </cell>
          <cell r="W122" t="str">
            <v>NA</v>
          </cell>
          <cell r="X122" t="str">
            <v>NA</v>
          </cell>
          <cell r="Y122" t="str">
            <v>NA</v>
          </cell>
          <cell r="Z122" t="str">
            <v>NA</v>
          </cell>
          <cell r="AA122" t="str">
            <v>NA</v>
          </cell>
          <cell r="AB122" t="str">
            <v>Cazetta 2007</v>
          </cell>
        </row>
        <row r="123">
          <cell r="A123" t="str">
            <v>Xylopia sericea</v>
          </cell>
          <cell r="B123" t="str">
            <v>Annonaceae</v>
          </cell>
          <cell r="C123" t="str">
            <v>NA</v>
          </cell>
          <cell r="D123" t="str">
            <v>multicolor</v>
          </cell>
          <cell r="E123" t="str">
            <v>YES</v>
          </cell>
          <cell r="F123">
            <v>9.8000000000000007</v>
          </cell>
          <cell r="G123">
            <v>14.25</v>
          </cell>
          <cell r="H123">
            <v>5</v>
          </cell>
          <cell r="I123">
            <v>8</v>
          </cell>
          <cell r="J123" t="str">
            <v>NA</v>
          </cell>
          <cell r="K123" t="str">
            <v>NA</v>
          </cell>
          <cell r="L123" t="str">
            <v>NA</v>
          </cell>
          <cell r="M123" t="str">
            <v>NA</v>
          </cell>
          <cell r="N123" t="str">
            <v>NA</v>
          </cell>
          <cell r="O123">
            <v>1</v>
          </cell>
          <cell r="P123" t="str">
            <v>NA</v>
          </cell>
          <cell r="Q123" t="str">
            <v>NA</v>
          </cell>
          <cell r="R123" t="str">
            <v>ATLANTIC, Correia 1997</v>
          </cell>
          <cell r="S123" t="str">
            <v>NA</v>
          </cell>
          <cell r="T123" t="str">
            <v>NA</v>
          </cell>
          <cell r="U123" t="str">
            <v>NA</v>
          </cell>
          <cell r="V123" t="str">
            <v>NA</v>
          </cell>
          <cell r="W123" t="str">
            <v>NA</v>
          </cell>
          <cell r="X123" t="str">
            <v>NA</v>
          </cell>
          <cell r="Y123" t="str">
            <v>NA</v>
          </cell>
          <cell r="Z123" t="str">
            <v>NA</v>
          </cell>
          <cell r="AA123" t="str">
            <v>NA</v>
          </cell>
          <cell r="AB123" t="str">
            <v>NA</v>
          </cell>
        </row>
        <row r="124">
          <cell r="A124" t="str">
            <v>Acacia auriculiformis</v>
          </cell>
          <cell r="B124" t="str">
            <v>Fabaceae</v>
          </cell>
          <cell r="D124" t="str">
            <v>black</v>
          </cell>
          <cell r="E124" t="str">
            <v>NO</v>
          </cell>
          <cell r="F124" t="str">
            <v>NA</v>
          </cell>
          <cell r="G124" t="str">
            <v>NA</v>
          </cell>
          <cell r="H124" t="str">
            <v>NA</v>
          </cell>
          <cell r="I124" t="str">
            <v>NA</v>
          </cell>
          <cell r="J124" t="str">
            <v>NA</v>
          </cell>
          <cell r="K124" t="str">
            <v>NA</v>
          </cell>
          <cell r="L124" t="str">
            <v>NA</v>
          </cell>
          <cell r="M124" t="str">
            <v>NA</v>
          </cell>
          <cell r="N124" t="str">
            <v>NA</v>
          </cell>
          <cell r="O124" t="str">
            <v>NA</v>
          </cell>
          <cell r="P124" t="str">
            <v>NA</v>
          </cell>
          <cell r="Q124" t="str">
            <v>NA</v>
          </cell>
          <cell r="R124" t="str">
            <v>NA</v>
          </cell>
          <cell r="S124" t="str">
            <v>NA</v>
          </cell>
          <cell r="T124" t="str">
            <v>NA</v>
          </cell>
          <cell r="U124" t="str">
            <v>NA</v>
          </cell>
          <cell r="V124" t="str">
            <v>NA</v>
          </cell>
          <cell r="W124" t="str">
            <v>NA</v>
          </cell>
          <cell r="X124" t="str">
            <v>NA</v>
          </cell>
          <cell r="Y124" t="str">
            <v>NA</v>
          </cell>
          <cell r="Z124" t="str">
            <v>NA</v>
          </cell>
          <cell r="AA124" t="str">
            <v>NA</v>
          </cell>
          <cell r="AB124" t="str">
            <v>NA</v>
          </cell>
        </row>
        <row r="125">
          <cell r="A125" t="str">
            <v>Aiouea saligna</v>
          </cell>
          <cell r="B125" t="str">
            <v>Lauraceae</v>
          </cell>
          <cell r="D125" t="str">
            <v>black</v>
          </cell>
          <cell r="E125" t="str">
            <v>NO</v>
          </cell>
          <cell r="F125" t="str">
            <v>NA</v>
          </cell>
          <cell r="G125" t="str">
            <v>NA</v>
          </cell>
          <cell r="H125" t="str">
            <v>NA</v>
          </cell>
          <cell r="I125" t="str">
            <v>NA</v>
          </cell>
          <cell r="J125" t="str">
            <v>NA</v>
          </cell>
          <cell r="K125" t="str">
            <v>NA</v>
          </cell>
          <cell r="L125" t="str">
            <v>NA</v>
          </cell>
          <cell r="M125" t="str">
            <v>NA</v>
          </cell>
          <cell r="N125" t="str">
            <v>NA</v>
          </cell>
          <cell r="O125" t="str">
            <v>NA</v>
          </cell>
          <cell r="P125" t="str">
            <v>NA</v>
          </cell>
          <cell r="Q125" t="str">
            <v>NA</v>
          </cell>
          <cell r="R125" t="str">
            <v>NA</v>
          </cell>
          <cell r="S125" t="str">
            <v>NA</v>
          </cell>
          <cell r="T125" t="str">
            <v>NA</v>
          </cell>
          <cell r="U125" t="str">
            <v>NA</v>
          </cell>
          <cell r="V125" t="str">
            <v>NA</v>
          </cell>
          <cell r="W125" t="str">
            <v>NA</v>
          </cell>
          <cell r="X125" t="str">
            <v>NA</v>
          </cell>
          <cell r="Y125" t="str">
            <v>NA</v>
          </cell>
          <cell r="Z125" t="str">
            <v>NA</v>
          </cell>
          <cell r="AA125" t="str">
            <v>NA</v>
          </cell>
          <cell r="AB125" t="str">
            <v>NA</v>
          </cell>
        </row>
        <row r="126">
          <cell r="A126" t="str">
            <v>Allophyllus edulis</v>
          </cell>
          <cell r="B126" t="str">
            <v>Sapindaceae</v>
          </cell>
          <cell r="D126" t="str">
            <v>red</v>
          </cell>
          <cell r="E126" t="str">
            <v>NO</v>
          </cell>
          <cell r="F126" t="str">
            <v>NA</v>
          </cell>
          <cell r="G126" t="str">
            <v>NA</v>
          </cell>
          <cell r="H126" t="str">
            <v>NA</v>
          </cell>
          <cell r="I126" t="str">
            <v>NA</v>
          </cell>
          <cell r="J126" t="str">
            <v>NA</v>
          </cell>
          <cell r="K126" t="str">
            <v>NA</v>
          </cell>
          <cell r="L126" t="str">
            <v>NA</v>
          </cell>
          <cell r="M126" t="str">
            <v>NA</v>
          </cell>
          <cell r="N126" t="str">
            <v>NA</v>
          </cell>
          <cell r="O126" t="str">
            <v>NA</v>
          </cell>
          <cell r="P126" t="str">
            <v>NA</v>
          </cell>
          <cell r="Q126" t="str">
            <v>NA</v>
          </cell>
          <cell r="R126" t="str">
            <v>NA</v>
          </cell>
          <cell r="S126" t="str">
            <v>NA</v>
          </cell>
          <cell r="T126" t="str">
            <v>NA</v>
          </cell>
          <cell r="U126" t="str">
            <v>NA</v>
          </cell>
          <cell r="V126" t="str">
            <v>NA</v>
          </cell>
          <cell r="W126" t="str">
            <v>NA</v>
          </cell>
          <cell r="X126" t="str">
            <v>NA</v>
          </cell>
          <cell r="Y126" t="str">
            <v>NA</v>
          </cell>
          <cell r="Z126" t="str">
            <v>NA</v>
          </cell>
          <cell r="AA126" t="str">
            <v>NA</v>
          </cell>
          <cell r="AB126" t="str">
            <v>NA</v>
          </cell>
        </row>
        <row r="127">
          <cell r="A127" t="str">
            <v>Amaioua intermedia</v>
          </cell>
          <cell r="B127" t="str">
            <v>Rubiaceae</v>
          </cell>
          <cell r="D127" t="str">
            <v>red</v>
          </cell>
          <cell r="E127" t="str">
            <v>NO</v>
          </cell>
          <cell r="F127" t="str">
            <v>NA</v>
          </cell>
          <cell r="G127" t="str">
            <v>NA</v>
          </cell>
          <cell r="H127" t="str">
            <v>NA</v>
          </cell>
          <cell r="I127" t="str">
            <v>NA</v>
          </cell>
          <cell r="J127" t="str">
            <v>NA</v>
          </cell>
          <cell r="K127" t="str">
            <v>NA</v>
          </cell>
          <cell r="L127" t="str">
            <v>NA</v>
          </cell>
          <cell r="M127" t="str">
            <v>NA</v>
          </cell>
          <cell r="N127" t="str">
            <v>NA</v>
          </cell>
          <cell r="O127" t="str">
            <v>NA</v>
          </cell>
          <cell r="P127" t="str">
            <v>NA</v>
          </cell>
          <cell r="Q127" t="str">
            <v>NA</v>
          </cell>
          <cell r="R127" t="str">
            <v>NA</v>
          </cell>
          <cell r="S127" t="str">
            <v>NA</v>
          </cell>
          <cell r="T127" t="str">
            <v>NA</v>
          </cell>
          <cell r="U127" t="str">
            <v>NA</v>
          </cell>
          <cell r="V127" t="str">
            <v>NA</v>
          </cell>
          <cell r="W127" t="str">
            <v>NA</v>
          </cell>
          <cell r="X127" t="str">
            <v>NA</v>
          </cell>
          <cell r="Y127" t="str">
            <v>NA</v>
          </cell>
          <cell r="Z127" t="str">
            <v>NA</v>
          </cell>
          <cell r="AA127" t="str">
            <v>NA</v>
          </cell>
          <cell r="AB127" t="str">
            <v>NA</v>
          </cell>
        </row>
        <row r="128">
          <cell r="A128" t="str">
            <v>Annona neosericea</v>
          </cell>
          <cell r="B128" t="str">
            <v>Annonaceae</v>
          </cell>
          <cell r="D128" t="str">
            <v>green</v>
          </cell>
          <cell r="E128" t="str">
            <v>NO</v>
          </cell>
          <cell r="F128" t="str">
            <v>NA</v>
          </cell>
          <cell r="G128" t="str">
            <v>NA</v>
          </cell>
          <cell r="H128" t="str">
            <v>NA</v>
          </cell>
          <cell r="I128" t="str">
            <v>NA</v>
          </cell>
          <cell r="J128" t="str">
            <v>NA</v>
          </cell>
          <cell r="K128" t="str">
            <v>NA</v>
          </cell>
          <cell r="L128" t="str">
            <v>NA</v>
          </cell>
          <cell r="M128" t="str">
            <v>NA</v>
          </cell>
          <cell r="N128" t="str">
            <v>NA</v>
          </cell>
          <cell r="O128" t="str">
            <v>NA</v>
          </cell>
          <cell r="P128" t="str">
            <v>NA</v>
          </cell>
          <cell r="Q128" t="str">
            <v>NA</v>
          </cell>
          <cell r="R128" t="str">
            <v>NA</v>
          </cell>
          <cell r="S128" t="str">
            <v>NA</v>
          </cell>
          <cell r="T128" t="str">
            <v>NA</v>
          </cell>
          <cell r="U128" t="str">
            <v>NA</v>
          </cell>
          <cell r="V128" t="str">
            <v>NA</v>
          </cell>
          <cell r="W128" t="str">
            <v>NA</v>
          </cell>
          <cell r="X128" t="str">
            <v>NA</v>
          </cell>
          <cell r="Y128" t="str">
            <v>NA</v>
          </cell>
          <cell r="Z128" t="str">
            <v>NA</v>
          </cell>
          <cell r="AA128" t="str">
            <v>NA</v>
          </cell>
          <cell r="AB128" t="str">
            <v>NA</v>
          </cell>
        </row>
        <row r="129">
          <cell r="A129" t="str">
            <v>Anthurium scandens</v>
          </cell>
          <cell r="B129" t="str">
            <v>Araceae</v>
          </cell>
          <cell r="D129" t="str">
            <v>white</v>
          </cell>
          <cell r="E129" t="str">
            <v>NO</v>
          </cell>
          <cell r="F129" t="str">
            <v>NA</v>
          </cell>
          <cell r="G129" t="str">
            <v>NA</v>
          </cell>
          <cell r="H129" t="str">
            <v>NA</v>
          </cell>
          <cell r="I129" t="str">
            <v>NA</v>
          </cell>
          <cell r="J129" t="str">
            <v>NA</v>
          </cell>
          <cell r="K129" t="str">
            <v>NA</v>
          </cell>
          <cell r="L129" t="str">
            <v>NA</v>
          </cell>
          <cell r="M129" t="str">
            <v>NA</v>
          </cell>
          <cell r="N129" t="str">
            <v>NA</v>
          </cell>
          <cell r="O129" t="str">
            <v>NA</v>
          </cell>
          <cell r="P129" t="str">
            <v>NA</v>
          </cell>
          <cell r="Q129" t="str">
            <v>NA</v>
          </cell>
          <cell r="R129" t="str">
            <v>NA</v>
          </cell>
          <cell r="S129" t="str">
            <v>NA</v>
          </cell>
          <cell r="T129" t="str">
            <v>NA</v>
          </cell>
          <cell r="U129" t="str">
            <v>NA</v>
          </cell>
          <cell r="V129" t="str">
            <v>NA</v>
          </cell>
          <cell r="W129" t="str">
            <v>NA</v>
          </cell>
          <cell r="X129" t="str">
            <v>NA</v>
          </cell>
          <cell r="Y129" t="str">
            <v>NA</v>
          </cell>
          <cell r="Z129" t="str">
            <v>NA</v>
          </cell>
          <cell r="AA129" t="str">
            <v>NA</v>
          </cell>
          <cell r="AB129" t="str">
            <v>NA</v>
          </cell>
        </row>
        <row r="130">
          <cell r="A130" t="str">
            <v>Aureliana fasciculata</v>
          </cell>
          <cell r="B130" t="str">
            <v>Solanaceae</v>
          </cell>
          <cell r="D130" t="str">
            <v>NA</v>
          </cell>
          <cell r="E130" t="str">
            <v>NO</v>
          </cell>
          <cell r="F130" t="str">
            <v>NA</v>
          </cell>
          <cell r="G130" t="str">
            <v>NA</v>
          </cell>
          <cell r="H130" t="str">
            <v>NA</v>
          </cell>
          <cell r="I130" t="str">
            <v>NA</v>
          </cell>
          <cell r="J130" t="str">
            <v>NA</v>
          </cell>
          <cell r="K130" t="str">
            <v>NA</v>
          </cell>
          <cell r="L130" t="str">
            <v>NA</v>
          </cell>
          <cell r="M130" t="str">
            <v>NA</v>
          </cell>
          <cell r="N130" t="str">
            <v>NA</v>
          </cell>
          <cell r="O130" t="str">
            <v>NA</v>
          </cell>
          <cell r="P130" t="str">
            <v>NA</v>
          </cell>
          <cell r="Q130" t="str">
            <v>NA</v>
          </cell>
          <cell r="R130" t="str">
            <v>NA</v>
          </cell>
          <cell r="S130" t="str">
            <v>NA</v>
          </cell>
          <cell r="T130" t="str">
            <v>NA</v>
          </cell>
          <cell r="U130" t="str">
            <v>NA</v>
          </cell>
          <cell r="V130" t="str">
            <v>NA</v>
          </cell>
          <cell r="W130" t="str">
            <v>NA</v>
          </cell>
          <cell r="X130" t="str">
            <v>NA</v>
          </cell>
          <cell r="Y130" t="str">
            <v>NA</v>
          </cell>
          <cell r="Z130" t="str">
            <v>NA</v>
          </cell>
          <cell r="AA130" t="str">
            <v>NA</v>
          </cell>
          <cell r="AB130" t="str">
            <v>NA</v>
          </cell>
        </row>
        <row r="131">
          <cell r="A131" t="str">
            <v>Bactris gasipaes</v>
          </cell>
          <cell r="B131" t="str">
            <v>Arecaceae</v>
          </cell>
          <cell r="D131" t="str">
            <v>black</v>
          </cell>
          <cell r="E131" t="str">
            <v>NO</v>
          </cell>
          <cell r="F131" t="str">
            <v>NA</v>
          </cell>
          <cell r="G131" t="str">
            <v>NA</v>
          </cell>
          <cell r="H131" t="str">
            <v>NA</v>
          </cell>
          <cell r="I131" t="str">
            <v>NA</v>
          </cell>
          <cell r="J131" t="str">
            <v>NA</v>
          </cell>
          <cell r="K131" t="str">
            <v>NA</v>
          </cell>
          <cell r="L131" t="str">
            <v>NA</v>
          </cell>
          <cell r="M131" t="str">
            <v>NA</v>
          </cell>
          <cell r="N131" t="str">
            <v>NA</v>
          </cell>
          <cell r="O131" t="str">
            <v>NA</v>
          </cell>
          <cell r="P131" t="str">
            <v>NA</v>
          </cell>
          <cell r="Q131" t="str">
            <v>NA</v>
          </cell>
          <cell r="R131" t="str">
            <v>NA</v>
          </cell>
          <cell r="S131" t="str">
            <v>NA</v>
          </cell>
          <cell r="T131" t="str">
            <v>NA</v>
          </cell>
          <cell r="U131" t="str">
            <v>NA</v>
          </cell>
          <cell r="V131" t="str">
            <v>NA</v>
          </cell>
          <cell r="W131" t="str">
            <v>NA</v>
          </cell>
          <cell r="X131" t="str">
            <v>NA</v>
          </cell>
          <cell r="Y131" t="str">
            <v>NA</v>
          </cell>
          <cell r="Z131" t="str">
            <v>NA</v>
          </cell>
          <cell r="AA131" t="str">
            <v>NA</v>
          </cell>
          <cell r="AB131" t="str">
            <v>NA</v>
          </cell>
        </row>
        <row r="132">
          <cell r="A132" t="str">
            <v>Byrsonima cydoniifolia</v>
          </cell>
          <cell r="B132" t="str">
            <v>Malpighiaceae</v>
          </cell>
          <cell r="D132" t="str">
            <v>red</v>
          </cell>
          <cell r="E132" t="str">
            <v>NO</v>
          </cell>
          <cell r="F132" t="str">
            <v>NA</v>
          </cell>
          <cell r="G132" t="str">
            <v>NA</v>
          </cell>
          <cell r="H132" t="str">
            <v>NA</v>
          </cell>
          <cell r="I132" t="str">
            <v>NA</v>
          </cell>
          <cell r="J132" t="str">
            <v>NA</v>
          </cell>
          <cell r="K132" t="str">
            <v>NA</v>
          </cell>
          <cell r="L132" t="str">
            <v>NA</v>
          </cell>
          <cell r="M132" t="str">
            <v>NA</v>
          </cell>
          <cell r="N132" t="str">
            <v>NA</v>
          </cell>
          <cell r="O132" t="str">
            <v>NA</v>
          </cell>
          <cell r="P132" t="str">
            <v>NA</v>
          </cell>
          <cell r="Q132" t="str">
            <v>NA</v>
          </cell>
          <cell r="R132" t="str">
            <v>NA</v>
          </cell>
          <cell r="S132" t="str">
            <v>NA</v>
          </cell>
          <cell r="T132" t="str">
            <v>NA</v>
          </cell>
          <cell r="U132" t="str">
            <v>NA</v>
          </cell>
          <cell r="V132" t="str">
            <v>NA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NA</v>
          </cell>
          <cell r="AA132" t="str">
            <v>NA</v>
          </cell>
          <cell r="AB132" t="str">
            <v>NA</v>
          </cell>
        </row>
        <row r="133">
          <cell r="A133" t="str">
            <v>Byrsonima ligustrifolia</v>
          </cell>
          <cell r="B133" t="str">
            <v>Malpighiaceae</v>
          </cell>
          <cell r="D133" t="str">
            <v>red</v>
          </cell>
          <cell r="E133" t="str">
            <v>NO</v>
          </cell>
          <cell r="F133" t="str">
            <v>NA</v>
          </cell>
          <cell r="G133" t="str">
            <v>NA</v>
          </cell>
          <cell r="H133" t="str">
            <v>NA</v>
          </cell>
          <cell r="I133" t="str">
            <v>NA</v>
          </cell>
          <cell r="J133" t="str">
            <v>NA</v>
          </cell>
          <cell r="K133" t="str">
            <v>NA</v>
          </cell>
          <cell r="L133" t="str">
            <v>NA</v>
          </cell>
          <cell r="M133" t="str">
            <v>NA</v>
          </cell>
          <cell r="N133" t="str">
            <v>NA</v>
          </cell>
          <cell r="O133" t="str">
            <v>NA</v>
          </cell>
          <cell r="P133" t="str">
            <v>NA</v>
          </cell>
          <cell r="Q133" t="str">
            <v>NA</v>
          </cell>
          <cell r="R133" t="str">
            <v>NA</v>
          </cell>
          <cell r="S133" t="str">
            <v>NA</v>
          </cell>
          <cell r="T133" t="str">
            <v>NA</v>
          </cell>
          <cell r="U133" t="str">
            <v>NA</v>
          </cell>
          <cell r="V133" t="str">
            <v>NA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NA</v>
          </cell>
          <cell r="AA133" t="str">
            <v>NA</v>
          </cell>
          <cell r="AB133" t="str">
            <v>NA</v>
          </cell>
        </row>
        <row r="134">
          <cell r="A134" t="str">
            <v>Calophyllum brasiliense</v>
          </cell>
          <cell r="B134" t="str">
            <v>Calophyllaceae</v>
          </cell>
          <cell r="D134" t="str">
            <v>green</v>
          </cell>
          <cell r="E134" t="str">
            <v>NO</v>
          </cell>
          <cell r="F134" t="str">
            <v>NA</v>
          </cell>
          <cell r="G134" t="str">
            <v>NA</v>
          </cell>
          <cell r="H134" t="str">
            <v>NA</v>
          </cell>
          <cell r="I134" t="str">
            <v>NA</v>
          </cell>
          <cell r="J134" t="str">
            <v>NA</v>
          </cell>
          <cell r="K134" t="str">
            <v>NA</v>
          </cell>
          <cell r="L134" t="str">
            <v>NA</v>
          </cell>
          <cell r="M134" t="str">
            <v>NA</v>
          </cell>
          <cell r="N134" t="str">
            <v>NA</v>
          </cell>
          <cell r="O134" t="str">
            <v>NA</v>
          </cell>
          <cell r="P134" t="str">
            <v>NA</v>
          </cell>
          <cell r="Q134" t="str">
            <v>NA</v>
          </cell>
          <cell r="R134" t="str">
            <v>NA</v>
          </cell>
          <cell r="S134" t="str">
            <v>NA</v>
          </cell>
          <cell r="T134" t="str">
            <v>NA</v>
          </cell>
          <cell r="U134" t="str">
            <v>NA</v>
          </cell>
          <cell r="V134" t="str">
            <v>NA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NA</v>
          </cell>
          <cell r="AA134" t="str">
            <v>NA</v>
          </cell>
          <cell r="AB134" t="str">
            <v>NA</v>
          </cell>
        </row>
        <row r="135">
          <cell r="A135" t="str">
            <v>Calyptranthes concinna</v>
          </cell>
          <cell r="B135" t="str">
            <v>Myrtaceae</v>
          </cell>
          <cell r="D135" t="str">
            <v>black</v>
          </cell>
          <cell r="E135" t="str">
            <v>NO</v>
          </cell>
          <cell r="F135" t="str">
            <v>NA</v>
          </cell>
          <cell r="G135" t="str">
            <v>NA</v>
          </cell>
          <cell r="H135" t="str">
            <v>NA</v>
          </cell>
          <cell r="I135" t="str">
            <v>NA</v>
          </cell>
          <cell r="J135" t="str">
            <v>NA</v>
          </cell>
          <cell r="K135" t="str">
            <v>NA</v>
          </cell>
          <cell r="L135" t="str">
            <v>NA</v>
          </cell>
          <cell r="M135" t="str">
            <v>NA</v>
          </cell>
          <cell r="N135" t="str">
            <v>NA</v>
          </cell>
          <cell r="O135" t="str">
            <v>NA</v>
          </cell>
          <cell r="P135" t="str">
            <v>NA</v>
          </cell>
          <cell r="Q135" t="str">
            <v>NA</v>
          </cell>
          <cell r="R135" t="str">
            <v>NA</v>
          </cell>
          <cell r="S135" t="str">
            <v>NA</v>
          </cell>
          <cell r="T135" t="str">
            <v>NA</v>
          </cell>
          <cell r="U135" t="str">
            <v>NA</v>
          </cell>
          <cell r="V135" t="str">
            <v>NA</v>
          </cell>
          <cell r="W135" t="str">
            <v>NA</v>
          </cell>
          <cell r="X135" t="str">
            <v>NA</v>
          </cell>
          <cell r="Y135" t="str">
            <v>NA</v>
          </cell>
          <cell r="Z135" t="str">
            <v>NA</v>
          </cell>
          <cell r="AA135" t="str">
            <v>NA</v>
          </cell>
          <cell r="AB135" t="str">
            <v>NA</v>
          </cell>
        </row>
        <row r="136">
          <cell r="A136" t="str">
            <v>Campomanesia guaviroba</v>
          </cell>
          <cell r="B136" t="str">
            <v>Myrtaceae</v>
          </cell>
          <cell r="D136" t="str">
            <v>yellow</v>
          </cell>
          <cell r="E136" t="str">
            <v>NO</v>
          </cell>
          <cell r="F136" t="str">
            <v>NA</v>
          </cell>
          <cell r="G136" t="str">
            <v>NA</v>
          </cell>
          <cell r="H136" t="str">
            <v>NA</v>
          </cell>
          <cell r="I136" t="str">
            <v>NA</v>
          </cell>
          <cell r="J136" t="str">
            <v>NA</v>
          </cell>
          <cell r="K136" t="str">
            <v>NA</v>
          </cell>
          <cell r="L136" t="str">
            <v>NA</v>
          </cell>
          <cell r="M136" t="str">
            <v>NA</v>
          </cell>
          <cell r="N136" t="str">
            <v>NA</v>
          </cell>
          <cell r="O136" t="str">
            <v>NA</v>
          </cell>
          <cell r="P136" t="str">
            <v>NA</v>
          </cell>
          <cell r="Q136" t="str">
            <v>NA</v>
          </cell>
          <cell r="R136" t="str">
            <v>NA</v>
          </cell>
          <cell r="S136" t="str">
            <v>NA</v>
          </cell>
          <cell r="T136" t="str">
            <v>NA</v>
          </cell>
          <cell r="U136" t="str">
            <v>NA</v>
          </cell>
          <cell r="V136" t="str">
            <v>NA</v>
          </cell>
          <cell r="W136" t="str">
            <v>NA</v>
          </cell>
          <cell r="X136" t="str">
            <v>NA</v>
          </cell>
          <cell r="Y136" t="str">
            <v>NA</v>
          </cell>
          <cell r="Z136" t="str">
            <v>NA</v>
          </cell>
          <cell r="AA136" t="str">
            <v>NA</v>
          </cell>
          <cell r="AB136" t="str">
            <v>NA</v>
          </cell>
        </row>
        <row r="137">
          <cell r="A137" t="str">
            <v>Campomanesia xanthocarpa</v>
          </cell>
          <cell r="B137" t="str">
            <v>Myrtaceae</v>
          </cell>
          <cell r="D137" t="str">
            <v>yellow</v>
          </cell>
          <cell r="E137" t="str">
            <v>NO</v>
          </cell>
          <cell r="F137" t="str">
            <v>NA</v>
          </cell>
          <cell r="G137" t="str">
            <v>NA</v>
          </cell>
          <cell r="H137" t="str">
            <v>NA</v>
          </cell>
          <cell r="I137" t="str">
            <v>NA</v>
          </cell>
          <cell r="J137" t="str">
            <v>NA</v>
          </cell>
          <cell r="K137" t="str">
            <v>NA</v>
          </cell>
          <cell r="L137" t="str">
            <v>NA</v>
          </cell>
          <cell r="M137" t="str">
            <v>NA</v>
          </cell>
          <cell r="N137" t="str">
            <v>NA</v>
          </cell>
          <cell r="O137" t="str">
            <v>NA</v>
          </cell>
          <cell r="P137" t="str">
            <v>NA</v>
          </cell>
          <cell r="Q137" t="str">
            <v>NA</v>
          </cell>
          <cell r="R137" t="str">
            <v>NA</v>
          </cell>
          <cell r="S137" t="str">
            <v>NA</v>
          </cell>
          <cell r="T137" t="str">
            <v>NA</v>
          </cell>
          <cell r="U137" t="str">
            <v>NA</v>
          </cell>
          <cell r="V137" t="str">
            <v>NA</v>
          </cell>
          <cell r="W137" t="str">
            <v>NA</v>
          </cell>
          <cell r="X137" t="str">
            <v>NA</v>
          </cell>
          <cell r="Y137" t="str">
            <v>NA</v>
          </cell>
          <cell r="Z137" t="str">
            <v>NA</v>
          </cell>
          <cell r="AA137" t="str">
            <v>NA</v>
          </cell>
          <cell r="AB137" t="str">
            <v>NA</v>
          </cell>
        </row>
        <row r="138">
          <cell r="A138" t="str">
            <v>Carica papaya</v>
          </cell>
          <cell r="B138" t="str">
            <v>Caricaceae</v>
          </cell>
          <cell r="D138" t="str">
            <v>yellow</v>
          </cell>
          <cell r="E138" t="str">
            <v>NO</v>
          </cell>
          <cell r="F138" t="str">
            <v>NA</v>
          </cell>
          <cell r="G138" t="str">
            <v>NA</v>
          </cell>
          <cell r="H138" t="str">
            <v>NA</v>
          </cell>
          <cell r="I138" t="str">
            <v>NA</v>
          </cell>
          <cell r="J138" t="str">
            <v>NA</v>
          </cell>
          <cell r="K138" t="str">
            <v>NA</v>
          </cell>
          <cell r="L138" t="str">
            <v>NA</v>
          </cell>
          <cell r="M138" t="str">
            <v>NA</v>
          </cell>
          <cell r="N138" t="str">
            <v>NA</v>
          </cell>
          <cell r="O138" t="str">
            <v>NA</v>
          </cell>
          <cell r="P138" t="str">
            <v>NA</v>
          </cell>
          <cell r="Q138" t="str">
            <v>NA</v>
          </cell>
          <cell r="R138" t="str">
            <v>NA</v>
          </cell>
          <cell r="S138" t="str">
            <v>NA</v>
          </cell>
          <cell r="T138" t="str">
            <v>NA</v>
          </cell>
          <cell r="U138" t="str">
            <v>NA</v>
          </cell>
          <cell r="V138" t="str">
            <v>NA</v>
          </cell>
          <cell r="W138" t="str">
            <v>NA</v>
          </cell>
          <cell r="X138" t="str">
            <v>NA</v>
          </cell>
          <cell r="Y138" t="str">
            <v>NA</v>
          </cell>
          <cell r="Z138" t="str">
            <v>NA</v>
          </cell>
          <cell r="AA138" t="str">
            <v>NA</v>
          </cell>
          <cell r="AB138" t="str">
            <v>NA</v>
          </cell>
        </row>
        <row r="139">
          <cell r="A139" t="str">
            <v>Cecropia hololeuca</v>
          </cell>
          <cell r="B139" t="str">
            <v>Urticaceae</v>
          </cell>
          <cell r="D139" t="str">
            <v>green</v>
          </cell>
          <cell r="E139" t="str">
            <v>NO</v>
          </cell>
          <cell r="F139" t="str">
            <v>NA</v>
          </cell>
          <cell r="G139" t="str">
            <v>NA</v>
          </cell>
          <cell r="H139" t="str">
            <v>NA</v>
          </cell>
          <cell r="I139" t="str">
            <v>NA</v>
          </cell>
          <cell r="J139" t="str">
            <v>NA</v>
          </cell>
          <cell r="K139" t="str">
            <v>NA</v>
          </cell>
          <cell r="L139" t="str">
            <v>NA</v>
          </cell>
          <cell r="M139" t="str">
            <v>NA</v>
          </cell>
          <cell r="N139" t="str">
            <v>NA</v>
          </cell>
          <cell r="O139" t="str">
            <v>NA</v>
          </cell>
          <cell r="P139" t="str">
            <v>NA</v>
          </cell>
          <cell r="Q139" t="str">
            <v>NA</v>
          </cell>
          <cell r="R139" t="str">
            <v>NA</v>
          </cell>
          <cell r="S139" t="str">
            <v>NA</v>
          </cell>
          <cell r="T139" t="str">
            <v>NA</v>
          </cell>
          <cell r="U139" t="str">
            <v>NA</v>
          </cell>
          <cell r="V139" t="str">
            <v>NA</v>
          </cell>
          <cell r="W139" t="str">
            <v>NA</v>
          </cell>
          <cell r="X139" t="str">
            <v>NA</v>
          </cell>
          <cell r="Y139" t="str">
            <v>NA</v>
          </cell>
          <cell r="Z139" t="str">
            <v>NA</v>
          </cell>
          <cell r="AA139" t="str">
            <v>NA</v>
          </cell>
          <cell r="AB139" t="str">
            <v>NA</v>
          </cell>
        </row>
        <row r="140">
          <cell r="A140" t="str">
            <v>Celtis iguanaea</v>
          </cell>
          <cell r="B140" t="str">
            <v>Cannabaceae</v>
          </cell>
          <cell r="D140" t="str">
            <v>yellow</v>
          </cell>
          <cell r="E140" t="str">
            <v>NO</v>
          </cell>
          <cell r="F140" t="str">
            <v>NA</v>
          </cell>
          <cell r="G140" t="str">
            <v>NA</v>
          </cell>
          <cell r="H140" t="str">
            <v>NA</v>
          </cell>
          <cell r="I140" t="str">
            <v>NA</v>
          </cell>
          <cell r="J140" t="str">
            <v>NA</v>
          </cell>
          <cell r="K140" t="str">
            <v>NA</v>
          </cell>
          <cell r="L140" t="str">
            <v>NA</v>
          </cell>
          <cell r="M140" t="str">
            <v>NA</v>
          </cell>
          <cell r="N140" t="str">
            <v>NA</v>
          </cell>
          <cell r="O140" t="str">
            <v>NA</v>
          </cell>
          <cell r="P140" t="str">
            <v>NA</v>
          </cell>
          <cell r="Q140" t="str">
            <v>NA</v>
          </cell>
          <cell r="R140" t="str">
            <v>NA</v>
          </cell>
          <cell r="S140" t="str">
            <v>NA</v>
          </cell>
          <cell r="T140" t="str">
            <v>NA</v>
          </cell>
          <cell r="U140" t="str">
            <v>NA</v>
          </cell>
          <cell r="V140" t="str">
            <v>NA</v>
          </cell>
          <cell r="W140" t="str">
            <v>NA</v>
          </cell>
          <cell r="X140" t="str">
            <v>NA</v>
          </cell>
          <cell r="Y140" t="str">
            <v>NA</v>
          </cell>
          <cell r="Z140" t="str">
            <v>NA</v>
          </cell>
          <cell r="AA140" t="str">
            <v>NA</v>
          </cell>
          <cell r="AB140" t="str">
            <v>NA</v>
          </cell>
        </row>
        <row r="141">
          <cell r="A141" t="str">
            <v>Cereus hildmannianus</v>
          </cell>
          <cell r="B141" t="str">
            <v>Cactaceae</v>
          </cell>
          <cell r="D141" t="str">
            <v>red</v>
          </cell>
          <cell r="E141" t="str">
            <v>NO</v>
          </cell>
          <cell r="F141" t="str">
            <v>NA</v>
          </cell>
          <cell r="G141" t="str">
            <v>NA</v>
          </cell>
          <cell r="H141" t="str">
            <v>NA</v>
          </cell>
          <cell r="I141" t="str">
            <v>NA</v>
          </cell>
          <cell r="J141" t="str">
            <v>NA</v>
          </cell>
          <cell r="K141" t="str">
            <v>NA</v>
          </cell>
          <cell r="L141" t="str">
            <v>NA</v>
          </cell>
          <cell r="M141" t="str">
            <v>NA</v>
          </cell>
          <cell r="N141" t="str">
            <v>NA</v>
          </cell>
          <cell r="O141" t="str">
            <v>NA</v>
          </cell>
          <cell r="P141" t="str">
            <v>NA</v>
          </cell>
          <cell r="Q141" t="str">
            <v>NA</v>
          </cell>
          <cell r="R141" t="str">
            <v>NA</v>
          </cell>
          <cell r="S141" t="str">
            <v>NA</v>
          </cell>
          <cell r="T141" t="str">
            <v>NA</v>
          </cell>
          <cell r="U141" t="str">
            <v>NA</v>
          </cell>
          <cell r="V141" t="str">
            <v>NA</v>
          </cell>
          <cell r="W141" t="str">
            <v>NA</v>
          </cell>
          <cell r="X141" t="str">
            <v>NA</v>
          </cell>
          <cell r="Y141" t="str">
            <v>NA</v>
          </cell>
          <cell r="Z141" t="str">
            <v>NA</v>
          </cell>
          <cell r="AA141" t="str">
            <v>NA</v>
          </cell>
          <cell r="AB141" t="str">
            <v>NA</v>
          </cell>
        </row>
        <row r="142">
          <cell r="A142" t="str">
            <v>Cestrum mariquitense</v>
          </cell>
          <cell r="B142" t="str">
            <v>Solanaceae</v>
          </cell>
          <cell r="D142" t="str">
            <v>black</v>
          </cell>
          <cell r="E142" t="str">
            <v>NO</v>
          </cell>
          <cell r="F142" t="str">
            <v>NA</v>
          </cell>
          <cell r="G142" t="str">
            <v>NA</v>
          </cell>
          <cell r="H142" t="str">
            <v>NA</v>
          </cell>
          <cell r="I142" t="str">
            <v>NA</v>
          </cell>
          <cell r="J142" t="str">
            <v>NA</v>
          </cell>
          <cell r="K142" t="str">
            <v>NA</v>
          </cell>
          <cell r="L142" t="str">
            <v>NA</v>
          </cell>
          <cell r="M142" t="str">
            <v>NA</v>
          </cell>
          <cell r="N142" t="str">
            <v>NA</v>
          </cell>
          <cell r="O142" t="str">
            <v>NA</v>
          </cell>
          <cell r="P142" t="str">
            <v>NA</v>
          </cell>
          <cell r="Q142" t="str">
            <v>NA</v>
          </cell>
          <cell r="R142" t="str">
            <v>NA</v>
          </cell>
          <cell r="S142" t="str">
            <v>NA</v>
          </cell>
          <cell r="T142" t="str">
            <v>NA</v>
          </cell>
          <cell r="U142" t="str">
            <v>NA</v>
          </cell>
          <cell r="V142" t="str">
            <v>NA</v>
          </cell>
          <cell r="W142" t="str">
            <v>NA</v>
          </cell>
          <cell r="X142" t="str">
            <v>NA</v>
          </cell>
          <cell r="Y142" t="str">
            <v>NA</v>
          </cell>
          <cell r="Z142" t="str">
            <v>NA</v>
          </cell>
          <cell r="AA142" t="str">
            <v>NA</v>
          </cell>
          <cell r="AB142" t="str">
            <v>NA</v>
          </cell>
        </row>
        <row r="143">
          <cell r="A143" t="str">
            <v>Chomelia parvifolia</v>
          </cell>
          <cell r="B143" t="str">
            <v>Rubiaceae</v>
          </cell>
          <cell r="D143" t="str">
            <v>NA</v>
          </cell>
          <cell r="E143" t="str">
            <v>NO</v>
          </cell>
          <cell r="F143" t="str">
            <v>NA</v>
          </cell>
          <cell r="G143" t="str">
            <v>NA</v>
          </cell>
          <cell r="H143" t="str">
            <v>NA</v>
          </cell>
          <cell r="I143" t="str">
            <v>NA</v>
          </cell>
          <cell r="J143" t="str">
            <v>NA</v>
          </cell>
          <cell r="K143" t="str">
            <v>NA</v>
          </cell>
          <cell r="L143" t="str">
            <v>NA</v>
          </cell>
          <cell r="M143" t="str">
            <v>NA</v>
          </cell>
          <cell r="N143" t="str">
            <v>NA</v>
          </cell>
          <cell r="O143" t="str">
            <v>NA</v>
          </cell>
          <cell r="P143" t="str">
            <v>NA</v>
          </cell>
          <cell r="Q143" t="str">
            <v>NA</v>
          </cell>
          <cell r="R143" t="str">
            <v>NA</v>
          </cell>
          <cell r="S143" t="str">
            <v>NA</v>
          </cell>
          <cell r="T143" t="str">
            <v>NA</v>
          </cell>
          <cell r="U143" t="str">
            <v>NA</v>
          </cell>
          <cell r="V143" t="str">
            <v>NA</v>
          </cell>
          <cell r="W143" t="str">
            <v>NA</v>
          </cell>
          <cell r="X143" t="str">
            <v>NA</v>
          </cell>
          <cell r="Y143" t="str">
            <v>NA</v>
          </cell>
          <cell r="Z143" t="str">
            <v>NA</v>
          </cell>
          <cell r="AA143" t="str">
            <v>NA</v>
          </cell>
          <cell r="AB143" t="str">
            <v>NA</v>
          </cell>
        </row>
        <row r="144">
          <cell r="A144" t="str">
            <v>Cissampelos andromorpha</v>
          </cell>
          <cell r="B144" t="str">
            <v>Menispermaceae</v>
          </cell>
          <cell r="D144" t="str">
            <v>NA</v>
          </cell>
          <cell r="E144" t="str">
            <v>NO</v>
          </cell>
          <cell r="F144" t="str">
            <v>NA</v>
          </cell>
          <cell r="G144" t="str">
            <v>NA</v>
          </cell>
          <cell r="H144" t="str">
            <v>NA</v>
          </cell>
          <cell r="I144" t="str">
            <v>NA</v>
          </cell>
          <cell r="J144" t="str">
            <v>NA</v>
          </cell>
          <cell r="K144" t="str">
            <v>NA</v>
          </cell>
          <cell r="L144" t="str">
            <v>NA</v>
          </cell>
          <cell r="M144" t="str">
            <v>NA</v>
          </cell>
          <cell r="N144" t="str">
            <v>NA</v>
          </cell>
          <cell r="O144" t="str">
            <v>NA</v>
          </cell>
          <cell r="P144" t="str">
            <v>NA</v>
          </cell>
          <cell r="Q144" t="str">
            <v>NA</v>
          </cell>
          <cell r="R144" t="str">
            <v>NA</v>
          </cell>
          <cell r="S144" t="str">
            <v>NA</v>
          </cell>
          <cell r="T144" t="str">
            <v>NA</v>
          </cell>
          <cell r="U144" t="str">
            <v>NA</v>
          </cell>
          <cell r="V144" t="str">
            <v>NA</v>
          </cell>
          <cell r="W144" t="str">
            <v>NA</v>
          </cell>
          <cell r="X144" t="str">
            <v>NA</v>
          </cell>
          <cell r="Y144" t="str">
            <v>NA</v>
          </cell>
          <cell r="Z144" t="str">
            <v>NA</v>
          </cell>
          <cell r="AA144" t="str">
            <v>NA</v>
          </cell>
          <cell r="AB144" t="str">
            <v>NA</v>
          </cell>
        </row>
        <row r="145">
          <cell r="A145" t="str">
            <v>Cissus paulliniifolia</v>
          </cell>
          <cell r="B145" t="str">
            <v>Vitaceae</v>
          </cell>
          <cell r="D145" t="str">
            <v>red</v>
          </cell>
          <cell r="E145" t="str">
            <v>NO</v>
          </cell>
          <cell r="F145" t="str">
            <v>NA</v>
          </cell>
          <cell r="G145" t="str">
            <v>NA</v>
          </cell>
          <cell r="H145" t="str">
            <v>NA</v>
          </cell>
          <cell r="I145" t="str">
            <v>NA</v>
          </cell>
          <cell r="J145" t="str">
            <v>NA</v>
          </cell>
          <cell r="K145" t="str">
            <v>NA</v>
          </cell>
          <cell r="L145" t="str">
            <v>NA</v>
          </cell>
          <cell r="M145" t="str">
            <v>NA</v>
          </cell>
          <cell r="N145" t="str">
            <v>NA</v>
          </cell>
          <cell r="O145" t="str">
            <v>NA</v>
          </cell>
          <cell r="P145" t="str">
            <v>NA</v>
          </cell>
          <cell r="Q145" t="str">
            <v>NA</v>
          </cell>
          <cell r="R145" t="str">
            <v>NA</v>
          </cell>
          <cell r="S145" t="str">
            <v>NA</v>
          </cell>
          <cell r="T145" t="str">
            <v>NA</v>
          </cell>
          <cell r="U145" t="str">
            <v>NA</v>
          </cell>
          <cell r="V145" t="str">
            <v>NA</v>
          </cell>
          <cell r="W145" t="str">
            <v>NA</v>
          </cell>
          <cell r="X145" t="str">
            <v>NA</v>
          </cell>
          <cell r="Y145" t="str">
            <v>NA</v>
          </cell>
          <cell r="Z145" t="str">
            <v>NA</v>
          </cell>
          <cell r="AA145" t="str">
            <v>NA</v>
          </cell>
          <cell r="AB145" t="str">
            <v>NA</v>
          </cell>
        </row>
        <row r="146">
          <cell r="A146" t="str">
            <v>Cissus verticillata</v>
          </cell>
          <cell r="B146" t="str">
            <v>Vitaceae</v>
          </cell>
          <cell r="D146" t="str">
            <v>red</v>
          </cell>
          <cell r="E146" t="str">
            <v>NO</v>
          </cell>
          <cell r="F146" t="str">
            <v>NA</v>
          </cell>
          <cell r="G146" t="str">
            <v>NA</v>
          </cell>
          <cell r="H146" t="str">
            <v>NA</v>
          </cell>
          <cell r="I146" t="str">
            <v>NA</v>
          </cell>
          <cell r="J146" t="str">
            <v>NA</v>
          </cell>
          <cell r="K146" t="str">
            <v>NA</v>
          </cell>
          <cell r="L146" t="str">
            <v>NA</v>
          </cell>
          <cell r="M146" t="str">
            <v>NA</v>
          </cell>
          <cell r="N146" t="str">
            <v>NA</v>
          </cell>
          <cell r="O146" t="str">
            <v>NA</v>
          </cell>
          <cell r="P146" t="str">
            <v>NA</v>
          </cell>
          <cell r="Q146" t="str">
            <v>NA</v>
          </cell>
          <cell r="R146" t="str">
            <v>NA</v>
          </cell>
          <cell r="S146" t="str">
            <v>NA</v>
          </cell>
          <cell r="T146" t="str">
            <v>NA</v>
          </cell>
          <cell r="U146" t="str">
            <v>NA</v>
          </cell>
          <cell r="V146" t="str">
            <v>NA</v>
          </cell>
          <cell r="W146" t="str">
            <v>NA</v>
          </cell>
          <cell r="X146" t="str">
            <v>NA</v>
          </cell>
          <cell r="Y146" t="str">
            <v>NA</v>
          </cell>
          <cell r="Z146" t="str">
            <v>NA</v>
          </cell>
          <cell r="AA146" t="str">
            <v>NA</v>
          </cell>
          <cell r="AB146" t="str">
            <v>NA</v>
          </cell>
        </row>
        <row r="147">
          <cell r="A147" t="str">
            <v>Citrus reticulata</v>
          </cell>
          <cell r="B147" t="str">
            <v>Rutaceae</v>
          </cell>
          <cell r="D147" t="str">
            <v>yellow</v>
          </cell>
          <cell r="E147" t="str">
            <v>NO</v>
          </cell>
          <cell r="F147" t="str">
            <v>NA</v>
          </cell>
          <cell r="G147" t="str">
            <v>NA</v>
          </cell>
          <cell r="H147" t="str">
            <v>NA</v>
          </cell>
          <cell r="I147" t="str">
            <v>NA</v>
          </cell>
          <cell r="J147" t="str">
            <v>NA</v>
          </cell>
          <cell r="K147" t="str">
            <v>NA</v>
          </cell>
          <cell r="L147" t="str">
            <v>NA</v>
          </cell>
          <cell r="M147" t="str">
            <v>NA</v>
          </cell>
          <cell r="N147" t="str">
            <v>NA</v>
          </cell>
          <cell r="O147" t="str">
            <v>NA</v>
          </cell>
          <cell r="P147" t="str">
            <v>NA</v>
          </cell>
          <cell r="Q147" t="str">
            <v>NA</v>
          </cell>
          <cell r="R147" t="str">
            <v>NA</v>
          </cell>
          <cell r="S147" t="str">
            <v>NA</v>
          </cell>
          <cell r="T147" t="str">
            <v>NA</v>
          </cell>
          <cell r="U147" t="str">
            <v>NA</v>
          </cell>
          <cell r="V147" t="str">
            <v>NA</v>
          </cell>
          <cell r="W147" t="str">
            <v>NA</v>
          </cell>
          <cell r="X147" t="str">
            <v>NA</v>
          </cell>
          <cell r="Y147" t="str">
            <v>NA</v>
          </cell>
          <cell r="Z147" t="str">
            <v>NA</v>
          </cell>
          <cell r="AA147" t="str">
            <v>NA</v>
          </cell>
          <cell r="AB147" t="str">
            <v>NA</v>
          </cell>
        </row>
        <row r="148">
          <cell r="A148" t="str">
            <v>Citrus x aurantium</v>
          </cell>
          <cell r="B148" t="str">
            <v>Rutaceae</v>
          </cell>
          <cell r="D148" t="str">
            <v>yellow</v>
          </cell>
          <cell r="E148" t="str">
            <v>NO</v>
          </cell>
          <cell r="F148" t="str">
            <v>NA</v>
          </cell>
          <cell r="G148" t="str">
            <v>NA</v>
          </cell>
          <cell r="H148" t="str">
            <v>NA</v>
          </cell>
          <cell r="I148" t="str">
            <v>NA</v>
          </cell>
          <cell r="J148" t="str">
            <v>NA</v>
          </cell>
          <cell r="K148" t="str">
            <v>NA</v>
          </cell>
          <cell r="L148" t="str">
            <v>NA</v>
          </cell>
          <cell r="M148" t="str">
            <v>NA</v>
          </cell>
          <cell r="N148" t="str">
            <v>NA</v>
          </cell>
          <cell r="O148" t="str">
            <v>NA</v>
          </cell>
          <cell r="P148" t="str">
            <v>NA</v>
          </cell>
          <cell r="Q148" t="str">
            <v>NA</v>
          </cell>
          <cell r="R148" t="str">
            <v>NA</v>
          </cell>
          <cell r="S148" t="str">
            <v>NA</v>
          </cell>
          <cell r="T148" t="str">
            <v>NA</v>
          </cell>
          <cell r="U148" t="str">
            <v>NA</v>
          </cell>
          <cell r="V148" t="str">
            <v>NA</v>
          </cell>
          <cell r="W148" t="str">
            <v>NA</v>
          </cell>
          <cell r="X148" t="str">
            <v>NA</v>
          </cell>
          <cell r="Y148" t="str">
            <v>NA</v>
          </cell>
          <cell r="Z148" t="str">
            <v>NA</v>
          </cell>
          <cell r="AA148" t="str">
            <v>NA</v>
          </cell>
          <cell r="AB148" t="str">
            <v>NA</v>
          </cell>
        </row>
        <row r="149">
          <cell r="A149" t="str">
            <v>Coccocypselum hasslerianum</v>
          </cell>
          <cell r="B149" t="str">
            <v>Rubiaceae</v>
          </cell>
          <cell r="D149" t="str">
            <v>red</v>
          </cell>
          <cell r="E149" t="str">
            <v>NO</v>
          </cell>
          <cell r="F149" t="str">
            <v>NA</v>
          </cell>
          <cell r="G149" t="str">
            <v>NA</v>
          </cell>
          <cell r="H149" t="str">
            <v>NA</v>
          </cell>
          <cell r="I149" t="str">
            <v>NA</v>
          </cell>
          <cell r="J149" t="str">
            <v>NA</v>
          </cell>
          <cell r="K149" t="str">
            <v>NA</v>
          </cell>
          <cell r="L149" t="str">
            <v>NA</v>
          </cell>
          <cell r="M149" t="str">
            <v>NA</v>
          </cell>
          <cell r="N149" t="str">
            <v>NA</v>
          </cell>
          <cell r="O149" t="str">
            <v>NA</v>
          </cell>
          <cell r="P149" t="str">
            <v>NA</v>
          </cell>
          <cell r="Q149" t="str">
            <v>NA</v>
          </cell>
          <cell r="R149" t="str">
            <v>NA</v>
          </cell>
          <cell r="S149" t="str">
            <v>NA</v>
          </cell>
          <cell r="T149" t="str">
            <v>NA</v>
          </cell>
          <cell r="U149" t="str">
            <v>NA</v>
          </cell>
          <cell r="V149" t="str">
            <v>NA</v>
          </cell>
          <cell r="W149" t="str">
            <v>NA</v>
          </cell>
          <cell r="X149" t="str">
            <v>NA</v>
          </cell>
          <cell r="Y149" t="str">
            <v>NA</v>
          </cell>
          <cell r="Z149" t="str">
            <v>NA</v>
          </cell>
          <cell r="AA149" t="str">
            <v>NA</v>
          </cell>
          <cell r="AB149" t="str">
            <v>NA</v>
          </cell>
        </row>
        <row r="150">
          <cell r="A150" t="str">
            <v>Codonanthe cordifolia</v>
          </cell>
          <cell r="B150" t="str">
            <v>Gesneriaceae</v>
          </cell>
          <cell r="D150" t="str">
            <v>red</v>
          </cell>
          <cell r="E150" t="str">
            <v>NO</v>
          </cell>
          <cell r="F150" t="str">
            <v>NA</v>
          </cell>
          <cell r="G150" t="str">
            <v>NA</v>
          </cell>
          <cell r="H150" t="str">
            <v>NA</v>
          </cell>
          <cell r="I150" t="str">
            <v>NA</v>
          </cell>
          <cell r="J150" t="str">
            <v>NA</v>
          </cell>
          <cell r="K150" t="str">
            <v>NA</v>
          </cell>
          <cell r="L150" t="str">
            <v>NA</v>
          </cell>
          <cell r="M150" t="str">
            <v>NA</v>
          </cell>
          <cell r="N150" t="str">
            <v>NA</v>
          </cell>
          <cell r="O150" t="str">
            <v>NA</v>
          </cell>
          <cell r="P150" t="str">
            <v>NA</v>
          </cell>
          <cell r="Q150" t="str">
            <v>NA</v>
          </cell>
          <cell r="R150" t="str">
            <v>NA</v>
          </cell>
          <cell r="S150" t="str">
            <v>NA</v>
          </cell>
          <cell r="T150" t="str">
            <v>NA</v>
          </cell>
          <cell r="U150" t="str">
            <v>NA</v>
          </cell>
          <cell r="V150" t="str">
            <v>NA</v>
          </cell>
          <cell r="W150" t="str">
            <v>NA</v>
          </cell>
          <cell r="X150" t="str">
            <v>NA</v>
          </cell>
          <cell r="Y150" t="str">
            <v>NA</v>
          </cell>
          <cell r="Z150" t="str">
            <v>NA</v>
          </cell>
          <cell r="AA150" t="str">
            <v>NA</v>
          </cell>
          <cell r="AB150" t="str">
            <v>NA</v>
          </cell>
        </row>
        <row r="151">
          <cell r="A151" t="str">
            <v>Copaifera trapezifolia</v>
          </cell>
          <cell r="B151" t="str">
            <v>Fabaceae</v>
          </cell>
          <cell r="D151" t="str">
            <v>multicolor</v>
          </cell>
          <cell r="E151" t="str">
            <v>NO</v>
          </cell>
          <cell r="F151" t="str">
            <v>NA</v>
          </cell>
          <cell r="G151" t="str">
            <v>NA</v>
          </cell>
          <cell r="H151" t="str">
            <v>NA</v>
          </cell>
          <cell r="I151" t="str">
            <v>NA</v>
          </cell>
          <cell r="J151" t="str">
            <v>NA</v>
          </cell>
          <cell r="K151" t="str">
            <v>NA</v>
          </cell>
          <cell r="L151" t="str">
            <v>NA</v>
          </cell>
          <cell r="M151" t="str">
            <v>NA</v>
          </cell>
          <cell r="N151" t="str">
            <v>NA</v>
          </cell>
          <cell r="O151" t="str">
            <v>NA</v>
          </cell>
          <cell r="P151" t="str">
            <v>NA</v>
          </cell>
          <cell r="Q151" t="str">
            <v>NA</v>
          </cell>
          <cell r="R151" t="str">
            <v>NA</v>
          </cell>
          <cell r="S151" t="str">
            <v>NA</v>
          </cell>
          <cell r="T151" t="str">
            <v>NA</v>
          </cell>
          <cell r="U151" t="str">
            <v>NA</v>
          </cell>
          <cell r="V151" t="str">
            <v>NA</v>
          </cell>
          <cell r="W151" t="str">
            <v>NA</v>
          </cell>
          <cell r="X151" t="str">
            <v>NA</v>
          </cell>
          <cell r="Y151" t="str">
            <v>NA</v>
          </cell>
          <cell r="Z151" t="str">
            <v>NA</v>
          </cell>
          <cell r="AA151" t="str">
            <v>NA</v>
          </cell>
          <cell r="AB151" t="str">
            <v>NA</v>
          </cell>
        </row>
        <row r="152">
          <cell r="A152" t="str">
            <v>Cordia sellowiana</v>
          </cell>
          <cell r="B152" t="str">
            <v>Boraginaceae</v>
          </cell>
          <cell r="D152" t="str">
            <v>NA</v>
          </cell>
          <cell r="E152" t="str">
            <v>NO</v>
          </cell>
          <cell r="F152" t="str">
            <v>NA</v>
          </cell>
          <cell r="G152" t="str">
            <v>NA</v>
          </cell>
          <cell r="H152" t="str">
            <v>NA</v>
          </cell>
          <cell r="I152" t="str">
            <v>NA</v>
          </cell>
          <cell r="J152" t="str">
            <v>NA</v>
          </cell>
          <cell r="K152" t="str">
            <v>NA</v>
          </cell>
          <cell r="L152" t="str">
            <v>NA</v>
          </cell>
          <cell r="M152" t="str">
            <v>NA</v>
          </cell>
          <cell r="N152" t="str">
            <v>NA</v>
          </cell>
          <cell r="O152" t="str">
            <v>NA</v>
          </cell>
          <cell r="P152" t="str">
            <v>NA</v>
          </cell>
          <cell r="Q152" t="str">
            <v>NA</v>
          </cell>
          <cell r="R152" t="str">
            <v>NA</v>
          </cell>
          <cell r="S152" t="str">
            <v>NA</v>
          </cell>
          <cell r="T152" t="str">
            <v>NA</v>
          </cell>
          <cell r="U152" t="str">
            <v>NA</v>
          </cell>
          <cell r="V152" t="str">
            <v>NA</v>
          </cell>
          <cell r="W152" t="str">
            <v>NA</v>
          </cell>
          <cell r="X152" t="str">
            <v>NA</v>
          </cell>
          <cell r="Y152" t="str">
            <v>NA</v>
          </cell>
          <cell r="Z152" t="str">
            <v>NA</v>
          </cell>
          <cell r="AA152" t="str">
            <v>NA</v>
          </cell>
          <cell r="AB152" t="str">
            <v>NA</v>
          </cell>
        </row>
        <row r="153">
          <cell r="A153" t="str">
            <v>Cordiera myrciifolia</v>
          </cell>
          <cell r="B153" t="str">
            <v>Rubiaceae</v>
          </cell>
          <cell r="D153" t="str">
            <v>NA</v>
          </cell>
          <cell r="E153" t="str">
            <v>NO</v>
          </cell>
          <cell r="F153" t="str">
            <v>NA</v>
          </cell>
          <cell r="G153" t="str">
            <v>NA</v>
          </cell>
          <cell r="H153" t="str">
            <v>NA</v>
          </cell>
          <cell r="I153" t="str">
            <v>NA</v>
          </cell>
          <cell r="J153" t="str">
            <v>NA</v>
          </cell>
          <cell r="K153" t="str">
            <v>NA</v>
          </cell>
          <cell r="L153" t="str">
            <v>NA</v>
          </cell>
          <cell r="M153" t="str">
            <v>NA</v>
          </cell>
          <cell r="N153" t="str">
            <v>NA</v>
          </cell>
          <cell r="O153" t="str">
            <v>NA</v>
          </cell>
          <cell r="P153" t="str">
            <v>NA</v>
          </cell>
          <cell r="Q153" t="str">
            <v>NA</v>
          </cell>
          <cell r="R153" t="str">
            <v>NA</v>
          </cell>
          <cell r="S153" t="str">
            <v>NA</v>
          </cell>
          <cell r="T153" t="str">
            <v>NA</v>
          </cell>
          <cell r="U153" t="str">
            <v>NA</v>
          </cell>
          <cell r="V153" t="str">
            <v>NA</v>
          </cell>
          <cell r="W153" t="str">
            <v>NA</v>
          </cell>
          <cell r="X153" t="str">
            <v>NA</v>
          </cell>
          <cell r="Y153" t="str">
            <v>NA</v>
          </cell>
          <cell r="Z153" t="str">
            <v>NA</v>
          </cell>
          <cell r="AA153" t="str">
            <v>NA</v>
          </cell>
          <cell r="AB153" t="str">
            <v>NA</v>
          </cell>
        </row>
        <row r="154">
          <cell r="A154" t="str">
            <v>Coussarea contracta</v>
          </cell>
          <cell r="B154" t="str">
            <v>Rubiaceae</v>
          </cell>
          <cell r="C154"/>
          <cell r="D154" t="str">
            <v>black</v>
          </cell>
          <cell r="E154" t="str">
            <v>NO</v>
          </cell>
          <cell r="F154" t="str">
            <v>NA</v>
          </cell>
          <cell r="G154" t="str">
            <v>NA</v>
          </cell>
          <cell r="H154" t="str">
            <v>NA</v>
          </cell>
          <cell r="I154" t="str">
            <v>NA</v>
          </cell>
          <cell r="J154" t="str">
            <v>NA</v>
          </cell>
          <cell r="K154" t="str">
            <v>NA</v>
          </cell>
          <cell r="L154" t="str">
            <v>NA</v>
          </cell>
          <cell r="M154" t="str">
            <v>NA</v>
          </cell>
          <cell r="N154" t="str">
            <v>NA</v>
          </cell>
          <cell r="O154" t="str">
            <v>NA</v>
          </cell>
          <cell r="P154" t="str">
            <v>NA</v>
          </cell>
          <cell r="Q154" t="str">
            <v>NA</v>
          </cell>
          <cell r="R154" t="str">
            <v>NA</v>
          </cell>
          <cell r="S154" t="str">
            <v>NA</v>
          </cell>
          <cell r="T154" t="str">
            <v>NA</v>
          </cell>
          <cell r="U154" t="str">
            <v>NA</v>
          </cell>
          <cell r="V154" t="str">
            <v>NA</v>
          </cell>
          <cell r="W154" t="str">
            <v>NA</v>
          </cell>
          <cell r="X154" t="str">
            <v>NA</v>
          </cell>
          <cell r="Y154" t="str">
            <v>NA</v>
          </cell>
          <cell r="Z154" t="str">
            <v>NA</v>
          </cell>
          <cell r="AA154" t="str">
            <v>NA</v>
          </cell>
          <cell r="AB154" t="str">
            <v>NA</v>
          </cell>
        </row>
        <row r="155">
          <cell r="A155" t="str">
            <v>Cryptocarya aschersoniana</v>
          </cell>
          <cell r="B155" t="str">
            <v>Lauraceae</v>
          </cell>
          <cell r="D155" t="str">
            <v>yellow</v>
          </cell>
          <cell r="E155" t="str">
            <v>NO</v>
          </cell>
          <cell r="F155" t="str">
            <v>NA</v>
          </cell>
          <cell r="G155" t="str">
            <v>NA</v>
          </cell>
          <cell r="H155" t="str">
            <v>NA</v>
          </cell>
          <cell r="I155" t="str">
            <v>NA</v>
          </cell>
          <cell r="J155" t="str">
            <v>NA</v>
          </cell>
          <cell r="K155" t="str">
            <v>NA</v>
          </cell>
          <cell r="L155" t="str">
            <v>NA</v>
          </cell>
          <cell r="M155" t="str">
            <v>NA</v>
          </cell>
          <cell r="N155" t="str">
            <v>NA</v>
          </cell>
          <cell r="O155" t="str">
            <v>NA</v>
          </cell>
          <cell r="P155" t="str">
            <v>NA</v>
          </cell>
          <cell r="Q155" t="str">
            <v>NA</v>
          </cell>
          <cell r="R155" t="str">
            <v>NA</v>
          </cell>
          <cell r="S155" t="str">
            <v>NA</v>
          </cell>
          <cell r="T155" t="str">
            <v>NA</v>
          </cell>
          <cell r="U155" t="str">
            <v>NA</v>
          </cell>
          <cell r="V155" t="str">
            <v>NA</v>
          </cell>
          <cell r="W155" t="str">
            <v>NA</v>
          </cell>
          <cell r="X155" t="str">
            <v>NA</v>
          </cell>
          <cell r="Y155" t="str">
            <v>NA</v>
          </cell>
          <cell r="Z155" t="str">
            <v>NA</v>
          </cell>
          <cell r="AA155" t="str">
            <v>NA</v>
          </cell>
          <cell r="AB155" t="str">
            <v>NA</v>
          </cell>
        </row>
        <row r="156">
          <cell r="A156" t="str">
            <v>Cryptocarya mandioccana</v>
          </cell>
          <cell r="B156" t="str">
            <v>Lauraceae</v>
          </cell>
          <cell r="D156" t="str">
            <v>yellow</v>
          </cell>
          <cell r="E156" t="str">
            <v>NO</v>
          </cell>
          <cell r="F156" t="str">
            <v>NA</v>
          </cell>
          <cell r="G156" t="str">
            <v>NA</v>
          </cell>
          <cell r="H156" t="str">
            <v>NA</v>
          </cell>
          <cell r="I156" t="str">
            <v>NA</v>
          </cell>
          <cell r="J156" t="str">
            <v>NA</v>
          </cell>
          <cell r="K156" t="str">
            <v>NA</v>
          </cell>
          <cell r="L156" t="str">
            <v>NA</v>
          </cell>
          <cell r="M156" t="str">
            <v>NA</v>
          </cell>
          <cell r="N156" t="str">
            <v>NA</v>
          </cell>
          <cell r="O156" t="str">
            <v>NA</v>
          </cell>
          <cell r="P156" t="str">
            <v>NA</v>
          </cell>
          <cell r="Q156" t="str">
            <v>NA</v>
          </cell>
          <cell r="R156" t="str">
            <v>NA</v>
          </cell>
          <cell r="S156" t="str">
            <v>NA</v>
          </cell>
          <cell r="T156" t="str">
            <v>NA</v>
          </cell>
          <cell r="U156" t="str">
            <v>NA</v>
          </cell>
          <cell r="V156" t="str">
            <v>NA</v>
          </cell>
          <cell r="W156" t="str">
            <v>NA</v>
          </cell>
          <cell r="X156" t="str">
            <v>NA</v>
          </cell>
          <cell r="Y156" t="str">
            <v>NA</v>
          </cell>
          <cell r="Z156" t="str">
            <v>NA</v>
          </cell>
          <cell r="AA156" t="str">
            <v>NA</v>
          </cell>
          <cell r="AB156" t="str">
            <v>NA</v>
          </cell>
        </row>
        <row r="157">
          <cell r="A157" t="str">
            <v>Cupania vernalis</v>
          </cell>
          <cell r="B157" t="str">
            <v>Sapindaceae</v>
          </cell>
          <cell r="C157" t="str">
            <v>NA</v>
          </cell>
          <cell r="D157" t="str">
            <v>multicolor</v>
          </cell>
          <cell r="E157" t="str">
            <v>NO</v>
          </cell>
          <cell r="F157" t="str">
            <v>NA</v>
          </cell>
          <cell r="G157" t="str">
            <v>NA</v>
          </cell>
          <cell r="H157" t="str">
            <v>NA</v>
          </cell>
          <cell r="I157" t="str">
            <v>NA</v>
          </cell>
          <cell r="J157" t="str">
            <v>NA</v>
          </cell>
          <cell r="K157" t="str">
            <v>NA</v>
          </cell>
          <cell r="L157" t="str">
            <v>NA</v>
          </cell>
          <cell r="M157" t="str">
            <v>NA</v>
          </cell>
          <cell r="N157" t="str">
            <v>NA</v>
          </cell>
          <cell r="O157" t="str">
            <v>NA</v>
          </cell>
          <cell r="P157" t="str">
            <v>NA</v>
          </cell>
          <cell r="Q157" t="str">
            <v>NA</v>
          </cell>
          <cell r="R157" t="str">
            <v>NA</v>
          </cell>
          <cell r="S157" t="str">
            <v>NA</v>
          </cell>
          <cell r="T157" t="str">
            <v>NA</v>
          </cell>
          <cell r="U157" t="str">
            <v>NA</v>
          </cell>
          <cell r="V157" t="str">
            <v>NA</v>
          </cell>
          <cell r="W157" t="str">
            <v>NA</v>
          </cell>
          <cell r="X157" t="str">
            <v>NA</v>
          </cell>
          <cell r="Y157" t="str">
            <v>NA</v>
          </cell>
          <cell r="Z157" t="str">
            <v>NA</v>
          </cell>
          <cell r="AA157" t="str">
            <v>NA</v>
          </cell>
          <cell r="AB157" t="str">
            <v>NA</v>
          </cell>
        </row>
        <row r="158">
          <cell r="A158" t="str">
            <v>Dendropanax cuneatus</v>
          </cell>
          <cell r="B158" t="str">
            <v>Araliaceae</v>
          </cell>
          <cell r="D158" t="str">
            <v>black</v>
          </cell>
          <cell r="E158" t="str">
            <v>NO</v>
          </cell>
          <cell r="F158" t="str">
            <v>NA</v>
          </cell>
          <cell r="G158" t="str">
            <v>NA</v>
          </cell>
          <cell r="H158" t="str">
            <v>NA</v>
          </cell>
          <cell r="I158" t="str">
            <v>NA</v>
          </cell>
          <cell r="J158" t="str">
            <v>NA</v>
          </cell>
          <cell r="K158" t="str">
            <v>NA</v>
          </cell>
          <cell r="L158" t="str">
            <v>NA</v>
          </cell>
          <cell r="M158" t="str">
            <v>NA</v>
          </cell>
          <cell r="N158" t="str">
            <v>NA</v>
          </cell>
          <cell r="O158" t="str">
            <v>NA</v>
          </cell>
          <cell r="P158" t="str">
            <v>NA</v>
          </cell>
          <cell r="Q158" t="str">
            <v>NA</v>
          </cell>
          <cell r="R158" t="str">
            <v>NA</v>
          </cell>
          <cell r="S158" t="str">
            <v>NA</v>
          </cell>
          <cell r="T158" t="str">
            <v>NA</v>
          </cell>
          <cell r="U158" t="str">
            <v>NA</v>
          </cell>
          <cell r="V158" t="str">
            <v>NA</v>
          </cell>
          <cell r="W158" t="str">
            <v>NA</v>
          </cell>
          <cell r="X158" t="str">
            <v>NA</v>
          </cell>
          <cell r="Y158" t="str">
            <v>NA</v>
          </cell>
          <cell r="Z158" t="str">
            <v>NA</v>
          </cell>
          <cell r="AA158" t="str">
            <v>NA</v>
          </cell>
          <cell r="AB158" t="str">
            <v>NA</v>
          </cell>
        </row>
        <row r="159">
          <cell r="A159" t="str">
            <v>Diospyros kaki</v>
          </cell>
          <cell r="B159" t="str">
            <v>Ebenaceae</v>
          </cell>
          <cell r="D159" t="str">
            <v>red</v>
          </cell>
          <cell r="E159" t="str">
            <v>NO</v>
          </cell>
          <cell r="F159" t="str">
            <v>NA</v>
          </cell>
          <cell r="G159" t="str">
            <v>NA</v>
          </cell>
          <cell r="H159" t="str">
            <v>NA</v>
          </cell>
          <cell r="I159" t="str">
            <v>NA</v>
          </cell>
          <cell r="J159" t="str">
            <v>NA</v>
          </cell>
          <cell r="K159" t="str">
            <v>NA</v>
          </cell>
          <cell r="L159" t="str">
            <v>NA</v>
          </cell>
          <cell r="M159" t="str">
            <v>NA</v>
          </cell>
          <cell r="N159" t="str">
            <v>NA</v>
          </cell>
          <cell r="O159" t="str">
            <v>NA</v>
          </cell>
          <cell r="P159" t="str">
            <v>NA</v>
          </cell>
          <cell r="Q159" t="str">
            <v>NA</v>
          </cell>
          <cell r="R159" t="str">
            <v>NA</v>
          </cell>
          <cell r="S159" t="str">
            <v>NA</v>
          </cell>
          <cell r="T159" t="str">
            <v>NA</v>
          </cell>
          <cell r="U159" t="str">
            <v>NA</v>
          </cell>
          <cell r="V159" t="str">
            <v>NA</v>
          </cell>
          <cell r="W159" t="str">
            <v>NA</v>
          </cell>
          <cell r="X159" t="str">
            <v>NA</v>
          </cell>
          <cell r="Y159" t="str">
            <v>NA</v>
          </cell>
          <cell r="Z159" t="str">
            <v>NA</v>
          </cell>
          <cell r="AA159" t="str">
            <v>NA</v>
          </cell>
          <cell r="AB159" t="str">
            <v>NA</v>
          </cell>
        </row>
        <row r="160">
          <cell r="A160" t="str">
            <v>Eriobotrya japonica</v>
          </cell>
          <cell r="B160" t="str">
            <v>Rosaceae</v>
          </cell>
          <cell r="D160" t="str">
            <v>yellow</v>
          </cell>
          <cell r="E160" t="str">
            <v>NO</v>
          </cell>
          <cell r="F160" t="str">
            <v>NA</v>
          </cell>
          <cell r="G160" t="str">
            <v>NA</v>
          </cell>
          <cell r="H160" t="str">
            <v>NA</v>
          </cell>
          <cell r="I160" t="str">
            <v>NA</v>
          </cell>
          <cell r="J160" t="str">
            <v>NA</v>
          </cell>
          <cell r="K160" t="str">
            <v>NA</v>
          </cell>
          <cell r="L160" t="str">
            <v>NA</v>
          </cell>
          <cell r="M160" t="str">
            <v>NA</v>
          </cell>
          <cell r="N160" t="str">
            <v>NA</v>
          </cell>
          <cell r="O160" t="str">
            <v>NA</v>
          </cell>
          <cell r="P160" t="str">
            <v>NA</v>
          </cell>
          <cell r="Q160" t="str">
            <v>NA</v>
          </cell>
          <cell r="R160" t="str">
            <v>NA</v>
          </cell>
          <cell r="S160" t="str">
            <v>NA</v>
          </cell>
          <cell r="T160" t="str">
            <v>NA</v>
          </cell>
          <cell r="U160" t="str">
            <v>NA</v>
          </cell>
          <cell r="V160" t="str">
            <v>NA</v>
          </cell>
          <cell r="W160" t="str">
            <v>NA</v>
          </cell>
          <cell r="X160" t="str">
            <v>NA</v>
          </cell>
          <cell r="Y160" t="str">
            <v>NA</v>
          </cell>
          <cell r="Z160" t="str">
            <v>NA</v>
          </cell>
          <cell r="AA160" t="str">
            <v>NA</v>
          </cell>
          <cell r="AB160" t="str">
            <v>NA</v>
          </cell>
        </row>
        <row r="161">
          <cell r="A161" t="str">
            <v>Erythroxylum pulchrum</v>
          </cell>
          <cell r="B161" t="str">
            <v>Erythroxylaceae</v>
          </cell>
          <cell r="D161" t="str">
            <v>red</v>
          </cell>
          <cell r="E161" t="str">
            <v>NO</v>
          </cell>
          <cell r="F161" t="str">
            <v>NA</v>
          </cell>
          <cell r="G161" t="str">
            <v>NA</v>
          </cell>
          <cell r="H161" t="str">
            <v>NA</v>
          </cell>
          <cell r="I161" t="str">
            <v>NA</v>
          </cell>
          <cell r="J161" t="str">
            <v>NA</v>
          </cell>
          <cell r="K161" t="str">
            <v>NA</v>
          </cell>
          <cell r="L161" t="str">
            <v>NA</v>
          </cell>
          <cell r="M161" t="str">
            <v>NA</v>
          </cell>
          <cell r="N161" t="str">
            <v>NA</v>
          </cell>
          <cell r="O161" t="str">
            <v>NA</v>
          </cell>
          <cell r="P161" t="str">
            <v>NA</v>
          </cell>
          <cell r="Q161" t="str">
            <v>NA</v>
          </cell>
          <cell r="R161" t="str">
            <v>NA</v>
          </cell>
          <cell r="S161" t="str">
            <v>NA</v>
          </cell>
          <cell r="T161" t="str">
            <v>NA</v>
          </cell>
          <cell r="U161" t="str">
            <v>NA</v>
          </cell>
          <cell r="V161" t="str">
            <v>NA</v>
          </cell>
          <cell r="W161" t="str">
            <v>NA</v>
          </cell>
          <cell r="X161" t="str">
            <v>NA</v>
          </cell>
          <cell r="Y161" t="str">
            <v>NA</v>
          </cell>
          <cell r="Z161" t="str">
            <v>NA</v>
          </cell>
          <cell r="AA161" t="str">
            <v>NA</v>
          </cell>
          <cell r="AB161" t="str">
            <v>NA</v>
          </cell>
        </row>
        <row r="162">
          <cell r="A162" t="str">
            <v>Eugenia astringens</v>
          </cell>
          <cell r="B162" t="str">
            <v>Myrtaceae</v>
          </cell>
          <cell r="D162" t="str">
            <v>red</v>
          </cell>
          <cell r="E162" t="str">
            <v>NO</v>
          </cell>
          <cell r="F162" t="str">
            <v>NA</v>
          </cell>
          <cell r="G162" t="str">
            <v>NA</v>
          </cell>
          <cell r="H162" t="str">
            <v>NA</v>
          </cell>
          <cell r="I162" t="str">
            <v>NA</v>
          </cell>
          <cell r="J162" t="str">
            <v>NA</v>
          </cell>
          <cell r="K162" t="str">
            <v>NA</v>
          </cell>
          <cell r="L162" t="str">
            <v>NA</v>
          </cell>
          <cell r="M162" t="str">
            <v>NA</v>
          </cell>
          <cell r="N162" t="str">
            <v>NA</v>
          </cell>
          <cell r="O162" t="str">
            <v>NA</v>
          </cell>
          <cell r="P162" t="str">
            <v>NA</v>
          </cell>
          <cell r="Q162" t="str">
            <v>NA</v>
          </cell>
          <cell r="R162" t="str">
            <v>NA</v>
          </cell>
          <cell r="S162" t="str">
            <v>NA</v>
          </cell>
          <cell r="T162" t="str">
            <v>NA</v>
          </cell>
          <cell r="U162" t="str">
            <v>NA</v>
          </cell>
          <cell r="V162" t="str">
            <v>NA</v>
          </cell>
          <cell r="W162" t="str">
            <v>NA</v>
          </cell>
          <cell r="X162" t="str">
            <v>NA</v>
          </cell>
          <cell r="Y162" t="str">
            <v>NA</v>
          </cell>
          <cell r="Z162" t="str">
            <v>NA</v>
          </cell>
          <cell r="AA162" t="str">
            <v>NA</v>
          </cell>
          <cell r="AB162" t="str">
            <v>NA</v>
          </cell>
        </row>
        <row r="163">
          <cell r="A163" t="str">
            <v>Eugenia brasiliensis</v>
          </cell>
          <cell r="B163" t="str">
            <v>Myrtaceae</v>
          </cell>
          <cell r="D163" t="str">
            <v>red</v>
          </cell>
          <cell r="E163" t="str">
            <v>NO</v>
          </cell>
          <cell r="F163" t="str">
            <v>NA</v>
          </cell>
          <cell r="G163" t="str">
            <v>NA</v>
          </cell>
          <cell r="H163" t="str">
            <v>NA</v>
          </cell>
          <cell r="I163" t="str">
            <v>NA</v>
          </cell>
          <cell r="J163" t="str">
            <v>NA</v>
          </cell>
          <cell r="K163" t="str">
            <v>NA</v>
          </cell>
          <cell r="L163" t="str">
            <v>NA</v>
          </cell>
          <cell r="M163" t="str">
            <v>NA</v>
          </cell>
          <cell r="N163" t="str">
            <v>NA</v>
          </cell>
          <cell r="O163" t="str">
            <v>NA</v>
          </cell>
          <cell r="P163" t="str">
            <v>NA</v>
          </cell>
          <cell r="Q163" t="str">
            <v>NA</v>
          </cell>
          <cell r="R163" t="str">
            <v>NA</v>
          </cell>
          <cell r="S163" t="str">
            <v>NA</v>
          </cell>
          <cell r="T163" t="str">
            <v>NA</v>
          </cell>
          <cell r="U163" t="str">
            <v>NA</v>
          </cell>
          <cell r="V163" t="str">
            <v>NA</v>
          </cell>
          <cell r="W163" t="str">
            <v>NA</v>
          </cell>
          <cell r="X163" t="str">
            <v>NA</v>
          </cell>
          <cell r="Y163" t="str">
            <v>NA</v>
          </cell>
          <cell r="Z163" t="str">
            <v>NA</v>
          </cell>
          <cell r="AA163" t="str">
            <v>NA</v>
          </cell>
          <cell r="AB163" t="str">
            <v>NA</v>
          </cell>
        </row>
        <row r="164">
          <cell r="A164" t="str">
            <v>Eugenia cuprea</v>
          </cell>
          <cell r="B164" t="str">
            <v>Myrtaceae</v>
          </cell>
          <cell r="D164" t="str">
            <v>red</v>
          </cell>
          <cell r="E164" t="str">
            <v>NO</v>
          </cell>
          <cell r="F164" t="str">
            <v>NA</v>
          </cell>
          <cell r="G164" t="str">
            <v>NA</v>
          </cell>
          <cell r="H164" t="str">
            <v>NA</v>
          </cell>
          <cell r="I164" t="str">
            <v>NA</v>
          </cell>
          <cell r="J164" t="str">
            <v>NA</v>
          </cell>
          <cell r="K164" t="str">
            <v>NA</v>
          </cell>
          <cell r="L164" t="str">
            <v>NA</v>
          </cell>
          <cell r="M164" t="str">
            <v>NA</v>
          </cell>
          <cell r="N164" t="str">
            <v>NA</v>
          </cell>
          <cell r="O164" t="str">
            <v>NA</v>
          </cell>
          <cell r="P164" t="str">
            <v>NA</v>
          </cell>
          <cell r="Q164" t="str">
            <v>NA</v>
          </cell>
          <cell r="R164" t="str">
            <v>NA</v>
          </cell>
          <cell r="S164" t="str">
            <v>NA</v>
          </cell>
          <cell r="T164" t="str">
            <v>NA</v>
          </cell>
          <cell r="U164" t="str">
            <v>NA</v>
          </cell>
          <cell r="V164" t="str">
            <v>NA</v>
          </cell>
          <cell r="W164" t="str">
            <v>NA</v>
          </cell>
          <cell r="X164" t="str">
            <v>NA</v>
          </cell>
          <cell r="Y164" t="str">
            <v>NA</v>
          </cell>
          <cell r="Z164" t="str">
            <v>NA</v>
          </cell>
          <cell r="AA164" t="str">
            <v>NA</v>
          </cell>
          <cell r="AB164" t="str">
            <v>NA</v>
          </cell>
        </row>
        <row r="165">
          <cell r="A165" t="str">
            <v>Eugenia handroi</v>
          </cell>
          <cell r="B165" t="str">
            <v>Myrtaceae</v>
          </cell>
          <cell r="C165"/>
          <cell r="D165" t="str">
            <v>red</v>
          </cell>
          <cell r="E165" t="str">
            <v>NO</v>
          </cell>
          <cell r="F165" t="str">
            <v>NA</v>
          </cell>
          <cell r="G165" t="str">
            <v>NA</v>
          </cell>
          <cell r="H165" t="str">
            <v>NA</v>
          </cell>
          <cell r="I165" t="str">
            <v>NA</v>
          </cell>
          <cell r="J165" t="str">
            <v>NA</v>
          </cell>
          <cell r="K165" t="str">
            <v>NA</v>
          </cell>
          <cell r="L165" t="str">
            <v>NA</v>
          </cell>
          <cell r="M165" t="str">
            <v>NA</v>
          </cell>
          <cell r="N165" t="str">
            <v>NA</v>
          </cell>
          <cell r="O165" t="str">
            <v>NA</v>
          </cell>
          <cell r="P165" t="str">
            <v>NA</v>
          </cell>
          <cell r="Q165" t="str">
            <v>NA</v>
          </cell>
          <cell r="R165" t="str">
            <v>NA</v>
          </cell>
          <cell r="S165" t="str">
            <v>NA</v>
          </cell>
          <cell r="T165" t="str">
            <v>NA</v>
          </cell>
          <cell r="U165" t="str">
            <v>NA</v>
          </cell>
          <cell r="V165" t="str">
            <v>NA</v>
          </cell>
          <cell r="W165" t="str">
            <v>NA</v>
          </cell>
          <cell r="X165" t="str">
            <v>NA</v>
          </cell>
          <cell r="Y165" t="str">
            <v>NA</v>
          </cell>
          <cell r="Z165" t="str">
            <v>NA</v>
          </cell>
          <cell r="AA165" t="str">
            <v>NA</v>
          </cell>
          <cell r="AB165" t="str">
            <v>NA</v>
          </cell>
        </row>
        <row r="166">
          <cell r="A166" t="str">
            <v>Eugenia hiemalis</v>
          </cell>
          <cell r="B166" t="str">
            <v>Myrtaceae</v>
          </cell>
          <cell r="D166" t="str">
            <v>red</v>
          </cell>
          <cell r="E166" t="str">
            <v>NO</v>
          </cell>
          <cell r="F166" t="str">
            <v>NA</v>
          </cell>
          <cell r="G166" t="str">
            <v>NA</v>
          </cell>
          <cell r="H166" t="str">
            <v>NA</v>
          </cell>
          <cell r="I166" t="str">
            <v>NA</v>
          </cell>
          <cell r="J166" t="str">
            <v>NA</v>
          </cell>
          <cell r="K166" t="str">
            <v>NA</v>
          </cell>
          <cell r="L166" t="str">
            <v>NA</v>
          </cell>
          <cell r="M166" t="str">
            <v>NA</v>
          </cell>
          <cell r="N166" t="str">
            <v>NA</v>
          </cell>
          <cell r="O166" t="str">
            <v>NA</v>
          </cell>
          <cell r="P166" t="str">
            <v>NA</v>
          </cell>
          <cell r="Q166" t="str">
            <v>NA</v>
          </cell>
          <cell r="R166" t="str">
            <v>NA</v>
          </cell>
          <cell r="S166" t="str">
            <v>NA</v>
          </cell>
          <cell r="T166" t="str">
            <v>NA</v>
          </cell>
          <cell r="U166" t="str">
            <v>NA</v>
          </cell>
          <cell r="V166" t="str">
            <v>NA</v>
          </cell>
          <cell r="W166" t="str">
            <v>NA</v>
          </cell>
          <cell r="X166" t="str">
            <v>NA</v>
          </cell>
          <cell r="Y166" t="str">
            <v>NA</v>
          </cell>
          <cell r="Z166" t="str">
            <v>NA</v>
          </cell>
          <cell r="AA166" t="str">
            <v>NA</v>
          </cell>
          <cell r="AB166" t="str">
            <v>NA</v>
          </cell>
        </row>
        <row r="167">
          <cell r="A167" t="str">
            <v>Eugenia involucrata</v>
          </cell>
          <cell r="B167" t="str">
            <v>Myrtaceae</v>
          </cell>
          <cell r="D167" t="str">
            <v>red</v>
          </cell>
          <cell r="E167" t="str">
            <v>NO</v>
          </cell>
          <cell r="F167" t="str">
            <v>NA</v>
          </cell>
          <cell r="G167" t="str">
            <v>NA</v>
          </cell>
          <cell r="H167" t="str">
            <v>NA</v>
          </cell>
          <cell r="I167" t="str">
            <v>NA</v>
          </cell>
          <cell r="J167" t="str">
            <v>NA</v>
          </cell>
          <cell r="K167" t="str">
            <v>NA</v>
          </cell>
          <cell r="L167" t="str">
            <v>NA</v>
          </cell>
          <cell r="M167" t="str">
            <v>NA</v>
          </cell>
          <cell r="N167" t="str">
            <v>NA</v>
          </cell>
          <cell r="O167" t="str">
            <v>NA</v>
          </cell>
          <cell r="P167" t="str">
            <v>NA</v>
          </cell>
          <cell r="Q167" t="str">
            <v>NA</v>
          </cell>
          <cell r="R167" t="str">
            <v>NA</v>
          </cell>
          <cell r="S167" t="str">
            <v>NA</v>
          </cell>
          <cell r="T167" t="str">
            <v>NA</v>
          </cell>
          <cell r="U167" t="str">
            <v>NA</v>
          </cell>
          <cell r="V167" t="str">
            <v>NA</v>
          </cell>
          <cell r="W167" t="str">
            <v>NA</v>
          </cell>
          <cell r="X167" t="str">
            <v>NA</v>
          </cell>
          <cell r="Y167" t="str">
            <v>NA</v>
          </cell>
          <cell r="Z167" t="str">
            <v>NA</v>
          </cell>
          <cell r="AA167" t="str">
            <v>NA</v>
          </cell>
          <cell r="AB167" t="str">
            <v>NA</v>
          </cell>
        </row>
        <row r="168">
          <cell r="A168" t="str">
            <v>Eugenia melanogyna</v>
          </cell>
          <cell r="B168" t="str">
            <v>Myrtaceae</v>
          </cell>
          <cell r="D168" t="str">
            <v>red</v>
          </cell>
          <cell r="E168" t="str">
            <v>NO</v>
          </cell>
          <cell r="F168" t="str">
            <v>NA</v>
          </cell>
          <cell r="G168" t="str">
            <v>NA</v>
          </cell>
          <cell r="H168" t="str">
            <v>NA</v>
          </cell>
          <cell r="I168" t="str">
            <v>NA</v>
          </cell>
          <cell r="J168" t="str">
            <v>NA</v>
          </cell>
          <cell r="K168" t="str">
            <v>NA</v>
          </cell>
          <cell r="L168" t="str">
            <v>NA</v>
          </cell>
          <cell r="M168" t="str">
            <v>NA</v>
          </cell>
          <cell r="N168" t="str">
            <v>NA</v>
          </cell>
          <cell r="O168" t="str">
            <v>NA</v>
          </cell>
          <cell r="P168" t="str">
            <v>NA</v>
          </cell>
          <cell r="Q168" t="str">
            <v>NA</v>
          </cell>
          <cell r="R168" t="str">
            <v>NA</v>
          </cell>
          <cell r="S168" t="str">
            <v>NA</v>
          </cell>
          <cell r="T168" t="str">
            <v>NA</v>
          </cell>
          <cell r="U168" t="str">
            <v>NA</v>
          </cell>
          <cell r="V168" t="str">
            <v>NA</v>
          </cell>
          <cell r="W168" t="str">
            <v>NA</v>
          </cell>
          <cell r="X168" t="str">
            <v>NA</v>
          </cell>
          <cell r="Y168" t="str">
            <v>NA</v>
          </cell>
          <cell r="Z168" t="str">
            <v>NA</v>
          </cell>
          <cell r="AA168" t="str">
            <v>NA</v>
          </cell>
          <cell r="AB168" t="str">
            <v>NA</v>
          </cell>
        </row>
        <row r="169">
          <cell r="A169" t="str">
            <v>Eugenia mosenii</v>
          </cell>
          <cell r="B169" t="str">
            <v>Myrtaceae</v>
          </cell>
          <cell r="D169" t="str">
            <v>red</v>
          </cell>
          <cell r="E169" t="str">
            <v>NO</v>
          </cell>
          <cell r="F169" t="str">
            <v>NA</v>
          </cell>
          <cell r="G169" t="str">
            <v>NA</v>
          </cell>
          <cell r="H169" t="str">
            <v>NA</v>
          </cell>
          <cell r="I169" t="str">
            <v>NA</v>
          </cell>
          <cell r="J169" t="str">
            <v>NA</v>
          </cell>
          <cell r="K169" t="str">
            <v>NA</v>
          </cell>
          <cell r="L169" t="str">
            <v>NA</v>
          </cell>
          <cell r="M169" t="str">
            <v>NA</v>
          </cell>
          <cell r="N169" t="str">
            <v>NA</v>
          </cell>
          <cell r="O169" t="str">
            <v>NA</v>
          </cell>
          <cell r="P169" t="str">
            <v>NA</v>
          </cell>
          <cell r="Q169" t="str">
            <v>NA</v>
          </cell>
          <cell r="R169" t="str">
            <v>NA</v>
          </cell>
          <cell r="S169" t="str">
            <v>NA</v>
          </cell>
          <cell r="T169" t="str">
            <v>NA</v>
          </cell>
          <cell r="U169" t="str">
            <v>NA</v>
          </cell>
          <cell r="V169" t="str">
            <v>NA</v>
          </cell>
          <cell r="W169" t="str">
            <v>NA</v>
          </cell>
          <cell r="X169" t="str">
            <v>NA</v>
          </cell>
          <cell r="Y169" t="str">
            <v>NA</v>
          </cell>
          <cell r="Z169" t="str">
            <v>NA</v>
          </cell>
          <cell r="AA169" t="str">
            <v>NA</v>
          </cell>
          <cell r="AB169" t="str">
            <v>NA</v>
          </cell>
        </row>
        <row r="170">
          <cell r="A170" t="str">
            <v>Eugenia oblongata</v>
          </cell>
          <cell r="B170" t="str">
            <v>Myrtaceae</v>
          </cell>
          <cell r="D170" t="str">
            <v>red</v>
          </cell>
          <cell r="E170" t="str">
            <v>NO</v>
          </cell>
          <cell r="F170" t="str">
            <v>NA</v>
          </cell>
          <cell r="G170" t="str">
            <v>NA</v>
          </cell>
          <cell r="H170" t="str">
            <v>NA</v>
          </cell>
          <cell r="I170" t="str">
            <v>NA</v>
          </cell>
          <cell r="J170" t="str">
            <v>NA</v>
          </cell>
          <cell r="K170" t="str">
            <v>NA</v>
          </cell>
          <cell r="L170" t="str">
            <v>NA</v>
          </cell>
          <cell r="M170" t="str">
            <v>NA</v>
          </cell>
          <cell r="N170" t="str">
            <v>NA</v>
          </cell>
          <cell r="O170" t="str">
            <v>NA</v>
          </cell>
          <cell r="P170" t="str">
            <v>NA</v>
          </cell>
          <cell r="Q170" t="str">
            <v>NA</v>
          </cell>
          <cell r="R170" t="str">
            <v>NA</v>
          </cell>
          <cell r="S170" t="str">
            <v>NA</v>
          </cell>
          <cell r="T170" t="str">
            <v>NA</v>
          </cell>
          <cell r="U170" t="str">
            <v>NA</v>
          </cell>
          <cell r="V170" t="str">
            <v>NA</v>
          </cell>
          <cell r="W170" t="str">
            <v>NA</v>
          </cell>
          <cell r="X170" t="str">
            <v>NA</v>
          </cell>
          <cell r="Y170" t="str">
            <v>NA</v>
          </cell>
          <cell r="Z170" t="str">
            <v>NA</v>
          </cell>
          <cell r="AA170" t="str">
            <v>NA</v>
          </cell>
          <cell r="AB170" t="str">
            <v>NA</v>
          </cell>
        </row>
        <row r="171">
          <cell r="A171" t="str">
            <v>Eugenia uruguayensis</v>
          </cell>
          <cell r="B171" t="str">
            <v>Myrtaceae</v>
          </cell>
          <cell r="D171" t="str">
            <v>red</v>
          </cell>
          <cell r="E171" t="str">
            <v>NO</v>
          </cell>
          <cell r="F171" t="str">
            <v>NA</v>
          </cell>
          <cell r="G171" t="str">
            <v>NA</v>
          </cell>
          <cell r="H171" t="str">
            <v>NA</v>
          </cell>
          <cell r="I171" t="str">
            <v>NA</v>
          </cell>
          <cell r="J171" t="str">
            <v>NA</v>
          </cell>
          <cell r="K171" t="str">
            <v>NA</v>
          </cell>
          <cell r="L171" t="str">
            <v>NA</v>
          </cell>
          <cell r="M171" t="str">
            <v>NA</v>
          </cell>
          <cell r="N171" t="str">
            <v>NA</v>
          </cell>
          <cell r="O171" t="str">
            <v>NA</v>
          </cell>
          <cell r="P171" t="str">
            <v>NA</v>
          </cell>
          <cell r="Q171" t="str">
            <v>NA</v>
          </cell>
          <cell r="R171" t="str">
            <v>NA</v>
          </cell>
          <cell r="S171" t="str">
            <v>NA</v>
          </cell>
          <cell r="T171" t="str">
            <v>NA</v>
          </cell>
          <cell r="U171" t="str">
            <v>NA</v>
          </cell>
          <cell r="V171" t="str">
            <v>NA</v>
          </cell>
          <cell r="W171" t="str">
            <v>NA</v>
          </cell>
          <cell r="X171" t="str">
            <v>NA</v>
          </cell>
          <cell r="Y171" t="str">
            <v>NA</v>
          </cell>
          <cell r="Z171" t="str">
            <v>NA</v>
          </cell>
          <cell r="AA171" t="str">
            <v>NA</v>
          </cell>
          <cell r="AB171" t="str">
            <v>NA</v>
          </cell>
        </row>
        <row r="172">
          <cell r="A172" t="str">
            <v>Ficus citrifolia</v>
          </cell>
          <cell r="B172" t="str">
            <v>Moraceae</v>
          </cell>
          <cell r="D172" t="str">
            <v>green</v>
          </cell>
          <cell r="E172" t="str">
            <v>NO</v>
          </cell>
          <cell r="F172" t="str">
            <v>NA</v>
          </cell>
          <cell r="G172" t="str">
            <v>NA</v>
          </cell>
          <cell r="H172" t="str">
            <v>NA</v>
          </cell>
          <cell r="I172" t="str">
            <v>NA</v>
          </cell>
          <cell r="J172" t="str">
            <v>NA</v>
          </cell>
          <cell r="K172" t="str">
            <v>NA</v>
          </cell>
          <cell r="L172" t="str">
            <v>NA</v>
          </cell>
          <cell r="M172" t="str">
            <v>NA</v>
          </cell>
          <cell r="N172" t="str">
            <v>NA</v>
          </cell>
          <cell r="O172" t="str">
            <v>NA</v>
          </cell>
          <cell r="P172" t="str">
            <v>NA</v>
          </cell>
          <cell r="Q172" t="str">
            <v>NA</v>
          </cell>
          <cell r="R172" t="str">
            <v>NA</v>
          </cell>
          <cell r="S172" t="str">
            <v>NA</v>
          </cell>
          <cell r="T172" t="str">
            <v>NA</v>
          </cell>
          <cell r="U172" t="str">
            <v>NA</v>
          </cell>
          <cell r="V172" t="str">
            <v>NA</v>
          </cell>
          <cell r="W172" t="str">
            <v>NA</v>
          </cell>
          <cell r="X172" t="str">
            <v>NA</v>
          </cell>
          <cell r="Y172" t="str">
            <v>NA</v>
          </cell>
          <cell r="Z172" t="str">
            <v>NA</v>
          </cell>
          <cell r="AA172" t="str">
            <v>NA</v>
          </cell>
          <cell r="AB172" t="str">
            <v>NA</v>
          </cell>
        </row>
        <row r="173">
          <cell r="A173" t="str">
            <v>Ficus eximia</v>
          </cell>
          <cell r="B173" t="str">
            <v>Moraceae</v>
          </cell>
          <cell r="D173" t="str">
            <v>green</v>
          </cell>
          <cell r="E173" t="str">
            <v>NO</v>
          </cell>
          <cell r="F173" t="str">
            <v>NA</v>
          </cell>
          <cell r="G173" t="str">
            <v>NA</v>
          </cell>
          <cell r="H173" t="str">
            <v>NA</v>
          </cell>
          <cell r="I173" t="str">
            <v>NA</v>
          </cell>
          <cell r="J173" t="str">
            <v>NA</v>
          </cell>
          <cell r="K173" t="str">
            <v>NA</v>
          </cell>
          <cell r="L173" t="str">
            <v>NA</v>
          </cell>
          <cell r="M173" t="str">
            <v>NA</v>
          </cell>
          <cell r="N173" t="str">
            <v>NA</v>
          </cell>
          <cell r="O173" t="str">
            <v>NA</v>
          </cell>
          <cell r="P173" t="str">
            <v>NA</v>
          </cell>
          <cell r="Q173" t="str">
            <v>NA</v>
          </cell>
          <cell r="R173" t="str">
            <v>NA</v>
          </cell>
          <cell r="S173" t="str">
            <v>NA</v>
          </cell>
          <cell r="T173" t="str">
            <v>NA</v>
          </cell>
          <cell r="U173" t="str">
            <v>NA</v>
          </cell>
          <cell r="V173" t="str">
            <v>NA</v>
          </cell>
          <cell r="W173" t="str">
            <v>NA</v>
          </cell>
          <cell r="X173" t="str">
            <v>NA</v>
          </cell>
          <cell r="Y173" t="str">
            <v>NA</v>
          </cell>
          <cell r="Z173" t="str">
            <v>NA</v>
          </cell>
          <cell r="AA173" t="str">
            <v>NA</v>
          </cell>
          <cell r="AB173" t="str">
            <v>NA</v>
          </cell>
        </row>
        <row r="174">
          <cell r="A174" t="str">
            <v>Ficus luschnathiana</v>
          </cell>
          <cell r="B174" t="str">
            <v>Moraceae</v>
          </cell>
          <cell r="D174" t="str">
            <v>green</v>
          </cell>
          <cell r="E174" t="str">
            <v>NO</v>
          </cell>
          <cell r="F174" t="str">
            <v>NA</v>
          </cell>
          <cell r="G174" t="str">
            <v>NA</v>
          </cell>
          <cell r="H174" t="str">
            <v>NA</v>
          </cell>
          <cell r="I174" t="str">
            <v>NA</v>
          </cell>
          <cell r="J174" t="str">
            <v>NA</v>
          </cell>
          <cell r="K174" t="str">
            <v>NA</v>
          </cell>
          <cell r="L174" t="str">
            <v>NA</v>
          </cell>
          <cell r="M174" t="str">
            <v>NA</v>
          </cell>
          <cell r="N174" t="str">
            <v>NA</v>
          </cell>
          <cell r="O174" t="str">
            <v>NA</v>
          </cell>
          <cell r="P174" t="str">
            <v>NA</v>
          </cell>
          <cell r="Q174" t="str">
            <v>NA</v>
          </cell>
          <cell r="R174" t="str">
            <v>NA</v>
          </cell>
          <cell r="S174" t="str">
            <v>NA</v>
          </cell>
          <cell r="T174" t="str">
            <v>NA</v>
          </cell>
          <cell r="U174" t="str">
            <v>NA</v>
          </cell>
          <cell r="V174" t="str">
            <v>NA</v>
          </cell>
          <cell r="W174" t="str">
            <v>NA</v>
          </cell>
          <cell r="X174" t="str">
            <v>NA</v>
          </cell>
          <cell r="Y174" t="str">
            <v>NA</v>
          </cell>
          <cell r="Z174" t="str">
            <v>NA</v>
          </cell>
          <cell r="AA174" t="str">
            <v>NA</v>
          </cell>
          <cell r="AB174" t="str">
            <v>NA</v>
          </cell>
        </row>
        <row r="175">
          <cell r="A175" t="str">
            <v>Ficus luschthia</v>
          </cell>
          <cell r="B175" t="str">
            <v>Moraceae</v>
          </cell>
          <cell r="D175" t="str">
            <v>green</v>
          </cell>
          <cell r="E175" t="str">
            <v>NO</v>
          </cell>
          <cell r="F175" t="str">
            <v>NA</v>
          </cell>
          <cell r="G175" t="str">
            <v>NA</v>
          </cell>
          <cell r="H175" t="str">
            <v>NA</v>
          </cell>
          <cell r="I175" t="str">
            <v>NA</v>
          </cell>
          <cell r="J175" t="str">
            <v>NA</v>
          </cell>
          <cell r="K175" t="str">
            <v>NA</v>
          </cell>
          <cell r="L175" t="str">
            <v>NA</v>
          </cell>
          <cell r="M175" t="str">
            <v>NA</v>
          </cell>
          <cell r="N175" t="str">
            <v>NA</v>
          </cell>
          <cell r="O175" t="str">
            <v>NA</v>
          </cell>
          <cell r="P175" t="str">
            <v>NA</v>
          </cell>
          <cell r="Q175" t="str">
            <v>NA</v>
          </cell>
          <cell r="R175" t="str">
            <v>NA</v>
          </cell>
          <cell r="S175" t="str">
            <v>NA</v>
          </cell>
          <cell r="T175" t="str">
            <v>NA</v>
          </cell>
          <cell r="U175" t="str">
            <v>NA</v>
          </cell>
          <cell r="V175" t="str">
            <v>NA</v>
          </cell>
          <cell r="W175" t="str">
            <v>NA</v>
          </cell>
          <cell r="X175" t="str">
            <v>NA</v>
          </cell>
          <cell r="Y175" t="str">
            <v>NA</v>
          </cell>
          <cell r="Z175" t="str">
            <v>NA</v>
          </cell>
          <cell r="AA175" t="str">
            <v>NA</v>
          </cell>
          <cell r="AB175" t="str">
            <v>NA</v>
          </cell>
        </row>
        <row r="176">
          <cell r="A176" t="str">
            <v>Ficus organensis</v>
          </cell>
          <cell r="B176" t="str">
            <v>Moraceae</v>
          </cell>
          <cell r="D176" t="str">
            <v>green</v>
          </cell>
          <cell r="E176" t="str">
            <v>NO</v>
          </cell>
          <cell r="F176" t="str">
            <v>NA</v>
          </cell>
          <cell r="G176" t="str">
            <v>NA</v>
          </cell>
          <cell r="H176" t="str">
            <v>NA</v>
          </cell>
          <cell r="I176" t="str">
            <v>NA</v>
          </cell>
          <cell r="J176" t="str">
            <v>NA</v>
          </cell>
          <cell r="K176" t="str">
            <v>NA</v>
          </cell>
          <cell r="L176" t="str">
            <v>NA</v>
          </cell>
          <cell r="M176" t="str">
            <v>NA</v>
          </cell>
          <cell r="N176" t="str">
            <v>NA</v>
          </cell>
          <cell r="O176" t="str">
            <v>NA</v>
          </cell>
          <cell r="P176" t="str">
            <v>NA</v>
          </cell>
          <cell r="Q176" t="str">
            <v>NA</v>
          </cell>
          <cell r="R176" t="str">
            <v>NA</v>
          </cell>
          <cell r="S176" t="str">
            <v>NA</v>
          </cell>
          <cell r="T176" t="str">
            <v>NA</v>
          </cell>
          <cell r="U176" t="str">
            <v>NA</v>
          </cell>
          <cell r="V176" t="str">
            <v>NA</v>
          </cell>
          <cell r="W176" t="str">
            <v>NA</v>
          </cell>
          <cell r="X176" t="str">
            <v>NA</v>
          </cell>
          <cell r="Y176" t="str">
            <v>NA</v>
          </cell>
          <cell r="Z176" t="str">
            <v>NA</v>
          </cell>
          <cell r="AA176" t="str">
            <v>NA</v>
          </cell>
          <cell r="AB176" t="str">
            <v>NA</v>
          </cell>
        </row>
        <row r="177">
          <cell r="A177" t="str">
            <v>Ficus pertusa</v>
          </cell>
          <cell r="B177" t="str">
            <v>Moraceae</v>
          </cell>
          <cell r="D177" t="str">
            <v>green</v>
          </cell>
          <cell r="E177" t="str">
            <v>NO</v>
          </cell>
          <cell r="F177" t="str">
            <v>NA</v>
          </cell>
          <cell r="G177" t="str">
            <v>NA</v>
          </cell>
          <cell r="H177" t="str">
            <v>NA</v>
          </cell>
          <cell r="I177" t="str">
            <v>NA</v>
          </cell>
          <cell r="J177" t="str">
            <v>NA</v>
          </cell>
          <cell r="K177" t="str">
            <v>NA</v>
          </cell>
          <cell r="L177" t="str">
            <v>NA</v>
          </cell>
          <cell r="M177" t="str">
            <v>NA</v>
          </cell>
          <cell r="N177" t="str">
            <v>NA</v>
          </cell>
          <cell r="O177" t="str">
            <v>NA</v>
          </cell>
          <cell r="P177" t="str">
            <v>NA</v>
          </cell>
          <cell r="Q177" t="str">
            <v>NA</v>
          </cell>
          <cell r="R177" t="str">
            <v>NA</v>
          </cell>
          <cell r="S177" t="str">
            <v>NA</v>
          </cell>
          <cell r="T177" t="str">
            <v>NA</v>
          </cell>
          <cell r="U177" t="str">
            <v>NA</v>
          </cell>
          <cell r="V177" t="str">
            <v>NA</v>
          </cell>
          <cell r="W177" t="str">
            <v>NA</v>
          </cell>
          <cell r="X177" t="str">
            <v>NA</v>
          </cell>
          <cell r="Y177" t="str">
            <v>NA</v>
          </cell>
          <cell r="Z177" t="str">
            <v>NA</v>
          </cell>
          <cell r="AA177" t="str">
            <v>NA</v>
          </cell>
          <cell r="AB177" t="str">
            <v>NA</v>
          </cell>
        </row>
        <row r="178">
          <cell r="A178" t="str">
            <v>Ficus trigona</v>
          </cell>
          <cell r="B178" t="str">
            <v>Moraceae</v>
          </cell>
          <cell r="D178" t="str">
            <v>green</v>
          </cell>
          <cell r="E178" t="str">
            <v>NO</v>
          </cell>
          <cell r="F178" t="str">
            <v>NA</v>
          </cell>
          <cell r="G178" t="str">
            <v>NA</v>
          </cell>
          <cell r="H178" t="str">
            <v>NA</v>
          </cell>
          <cell r="I178" t="str">
            <v>NA</v>
          </cell>
          <cell r="J178" t="str">
            <v>NA</v>
          </cell>
          <cell r="K178" t="str">
            <v>NA</v>
          </cell>
          <cell r="L178" t="str">
            <v>NA</v>
          </cell>
          <cell r="M178" t="str">
            <v>NA</v>
          </cell>
          <cell r="N178" t="str">
            <v>NA</v>
          </cell>
          <cell r="O178" t="str">
            <v>NA</v>
          </cell>
          <cell r="P178" t="str">
            <v>NA</v>
          </cell>
          <cell r="Q178" t="str">
            <v>NA</v>
          </cell>
          <cell r="R178" t="str">
            <v>NA</v>
          </cell>
          <cell r="S178" t="str">
            <v>NA</v>
          </cell>
          <cell r="T178" t="str">
            <v>NA</v>
          </cell>
          <cell r="U178" t="str">
            <v>NA</v>
          </cell>
          <cell r="V178" t="str">
            <v>NA</v>
          </cell>
          <cell r="W178" t="str">
            <v>NA</v>
          </cell>
          <cell r="X178" t="str">
            <v>NA</v>
          </cell>
          <cell r="Y178" t="str">
            <v>NA</v>
          </cell>
          <cell r="Z178" t="str">
            <v>NA</v>
          </cell>
          <cell r="AA178" t="str">
            <v>NA</v>
          </cell>
          <cell r="AB178" t="str">
            <v>NA</v>
          </cell>
        </row>
        <row r="179">
          <cell r="A179" t="str">
            <v>Fuchsia regia</v>
          </cell>
          <cell r="B179" t="str">
            <v>Onagraceae</v>
          </cell>
          <cell r="D179" t="str">
            <v>black</v>
          </cell>
          <cell r="E179" t="str">
            <v>NO</v>
          </cell>
          <cell r="F179" t="str">
            <v>NA</v>
          </cell>
          <cell r="G179" t="str">
            <v>NA</v>
          </cell>
          <cell r="H179" t="str">
            <v>NA</v>
          </cell>
          <cell r="I179" t="str">
            <v>NA</v>
          </cell>
          <cell r="J179" t="str">
            <v>NA</v>
          </cell>
          <cell r="K179" t="str">
            <v>NA</v>
          </cell>
          <cell r="L179" t="str">
            <v>NA</v>
          </cell>
          <cell r="M179" t="str">
            <v>NA</v>
          </cell>
          <cell r="N179" t="str">
            <v>NA</v>
          </cell>
          <cell r="O179" t="str">
            <v>NA</v>
          </cell>
          <cell r="P179" t="str">
            <v>NA</v>
          </cell>
          <cell r="Q179" t="str">
            <v>NA</v>
          </cell>
          <cell r="R179" t="str">
            <v>NA</v>
          </cell>
          <cell r="S179" t="str">
            <v>NA</v>
          </cell>
          <cell r="T179" t="str">
            <v>NA</v>
          </cell>
          <cell r="U179" t="str">
            <v>NA</v>
          </cell>
          <cell r="V179" t="str">
            <v>NA</v>
          </cell>
          <cell r="W179" t="str">
            <v>NA</v>
          </cell>
          <cell r="X179" t="str">
            <v>NA</v>
          </cell>
          <cell r="Y179" t="str">
            <v>NA</v>
          </cell>
          <cell r="Z179" t="str">
            <v>NA</v>
          </cell>
          <cell r="AA179" t="str">
            <v>NA</v>
          </cell>
          <cell r="AB179" t="str">
            <v>NA</v>
          </cell>
        </row>
        <row r="180">
          <cell r="A180" t="str">
            <v>Garcinia gardneriana</v>
          </cell>
          <cell r="B180" t="str">
            <v>Clusiaceae</v>
          </cell>
          <cell r="D180" t="str">
            <v>yellow</v>
          </cell>
          <cell r="E180" t="str">
            <v>NO</v>
          </cell>
          <cell r="F180" t="str">
            <v>NA</v>
          </cell>
          <cell r="G180" t="str">
            <v>NA</v>
          </cell>
          <cell r="H180" t="str">
            <v>NA</v>
          </cell>
          <cell r="I180" t="str">
            <v>NA</v>
          </cell>
          <cell r="J180" t="str">
            <v>NA</v>
          </cell>
          <cell r="K180" t="str">
            <v>NA</v>
          </cell>
          <cell r="L180" t="str">
            <v>NA</v>
          </cell>
          <cell r="M180" t="str">
            <v>NA</v>
          </cell>
          <cell r="N180" t="str">
            <v>NA</v>
          </cell>
          <cell r="O180" t="str">
            <v>NA</v>
          </cell>
          <cell r="P180" t="str">
            <v>NA</v>
          </cell>
          <cell r="Q180" t="str">
            <v>NA</v>
          </cell>
          <cell r="R180" t="str">
            <v>NA</v>
          </cell>
          <cell r="S180" t="str">
            <v>NA</v>
          </cell>
          <cell r="T180" t="str">
            <v>NA</v>
          </cell>
          <cell r="U180" t="str">
            <v>NA</v>
          </cell>
          <cell r="V180" t="str">
            <v>NA</v>
          </cell>
          <cell r="W180" t="str">
            <v>NA</v>
          </cell>
          <cell r="X180" t="str">
            <v>NA</v>
          </cell>
          <cell r="Y180" t="str">
            <v>NA</v>
          </cell>
          <cell r="Z180" t="str">
            <v>NA</v>
          </cell>
          <cell r="AA180" t="str">
            <v>NA</v>
          </cell>
          <cell r="AB180" t="str">
            <v>NA</v>
          </cell>
        </row>
        <row r="181">
          <cell r="A181" t="str">
            <v>Geonoma gamiova</v>
          </cell>
          <cell r="B181" t="str">
            <v>Arecaceae</v>
          </cell>
          <cell r="D181" t="str">
            <v>black</v>
          </cell>
          <cell r="E181" t="str">
            <v>NO</v>
          </cell>
          <cell r="F181" t="str">
            <v>NA</v>
          </cell>
          <cell r="G181" t="str">
            <v>NA</v>
          </cell>
          <cell r="H181" t="str">
            <v>NA</v>
          </cell>
          <cell r="I181" t="str">
            <v>NA</v>
          </cell>
          <cell r="J181" t="str">
            <v>NA</v>
          </cell>
          <cell r="K181" t="str">
            <v>NA</v>
          </cell>
          <cell r="L181" t="str">
            <v>NA</v>
          </cell>
          <cell r="M181" t="str">
            <v>NA</v>
          </cell>
          <cell r="N181" t="str">
            <v>NA</v>
          </cell>
          <cell r="O181" t="str">
            <v>NA</v>
          </cell>
          <cell r="P181" t="str">
            <v>NA</v>
          </cell>
          <cell r="Q181" t="str">
            <v>NA</v>
          </cell>
          <cell r="R181" t="str">
            <v>NA</v>
          </cell>
          <cell r="S181" t="str">
            <v>NA</v>
          </cell>
          <cell r="T181" t="str">
            <v>NA</v>
          </cell>
          <cell r="U181" t="str">
            <v>NA</v>
          </cell>
          <cell r="V181" t="str">
            <v>NA</v>
          </cell>
          <cell r="W181" t="str">
            <v>NA</v>
          </cell>
          <cell r="X181" t="str">
            <v>NA</v>
          </cell>
          <cell r="Y181" t="str">
            <v>NA</v>
          </cell>
          <cell r="Z181" t="str">
            <v>NA</v>
          </cell>
          <cell r="AA181" t="str">
            <v>NA</v>
          </cell>
          <cell r="AB181" t="str">
            <v>NA</v>
          </cell>
        </row>
        <row r="182">
          <cell r="A182" t="str">
            <v>Guatteria australis</v>
          </cell>
          <cell r="B182" t="str">
            <v>Annonaceae</v>
          </cell>
          <cell r="D182" t="str">
            <v>NA</v>
          </cell>
          <cell r="E182" t="str">
            <v>NO</v>
          </cell>
          <cell r="F182" t="str">
            <v>NA</v>
          </cell>
          <cell r="G182" t="str">
            <v>NA</v>
          </cell>
          <cell r="H182" t="str">
            <v>NA</v>
          </cell>
          <cell r="I182" t="str">
            <v>NA</v>
          </cell>
          <cell r="J182" t="str">
            <v>NA</v>
          </cell>
          <cell r="K182" t="str">
            <v>NA</v>
          </cell>
          <cell r="L182" t="str">
            <v>NA</v>
          </cell>
          <cell r="M182" t="str">
            <v>NA</v>
          </cell>
          <cell r="N182" t="str">
            <v>NA</v>
          </cell>
          <cell r="O182" t="str">
            <v>NA</v>
          </cell>
          <cell r="P182" t="str">
            <v>NA</v>
          </cell>
          <cell r="Q182" t="str">
            <v>NA</v>
          </cell>
          <cell r="R182" t="str">
            <v>NA</v>
          </cell>
          <cell r="S182" t="str">
            <v>NA</v>
          </cell>
          <cell r="T182" t="str">
            <v>NA</v>
          </cell>
          <cell r="U182" t="str">
            <v>NA</v>
          </cell>
          <cell r="V182" t="str">
            <v>NA</v>
          </cell>
          <cell r="W182" t="str">
            <v>NA</v>
          </cell>
          <cell r="X182" t="str">
            <v>NA</v>
          </cell>
          <cell r="Y182" t="str">
            <v>NA</v>
          </cell>
          <cell r="Z182" t="str">
            <v>NA</v>
          </cell>
          <cell r="AA182" t="str">
            <v>NA</v>
          </cell>
          <cell r="AB182" t="str">
            <v>NA</v>
          </cell>
        </row>
        <row r="183">
          <cell r="A183" t="str">
            <v>Hedera nepalensis</v>
          </cell>
          <cell r="B183" t="str">
            <v>Araliaceae</v>
          </cell>
          <cell r="D183" t="str">
            <v>NA</v>
          </cell>
          <cell r="E183" t="str">
            <v>NO</v>
          </cell>
          <cell r="F183" t="str">
            <v>NA</v>
          </cell>
          <cell r="G183" t="str">
            <v>NA</v>
          </cell>
          <cell r="H183" t="str">
            <v>NA</v>
          </cell>
          <cell r="I183" t="str">
            <v>NA</v>
          </cell>
          <cell r="J183" t="str">
            <v>NA</v>
          </cell>
          <cell r="K183" t="str">
            <v>NA</v>
          </cell>
          <cell r="L183" t="str">
            <v>NA</v>
          </cell>
          <cell r="M183" t="str">
            <v>NA</v>
          </cell>
          <cell r="N183" t="str">
            <v>NA</v>
          </cell>
          <cell r="O183" t="str">
            <v>NA</v>
          </cell>
          <cell r="P183" t="str">
            <v>NA</v>
          </cell>
          <cell r="Q183" t="str">
            <v>NA</v>
          </cell>
          <cell r="R183" t="str">
            <v>NA</v>
          </cell>
          <cell r="S183" t="str">
            <v>NA</v>
          </cell>
          <cell r="T183" t="str">
            <v>NA</v>
          </cell>
          <cell r="U183" t="str">
            <v>NA</v>
          </cell>
          <cell r="V183" t="str">
            <v>NA</v>
          </cell>
          <cell r="W183" t="str">
            <v>NA</v>
          </cell>
          <cell r="X183" t="str">
            <v>NA</v>
          </cell>
          <cell r="Y183" t="str">
            <v>NA</v>
          </cell>
          <cell r="Z183" t="str">
            <v>NA</v>
          </cell>
          <cell r="AA183" t="str">
            <v>NA</v>
          </cell>
          <cell r="AB183" t="str">
            <v>NA</v>
          </cell>
        </row>
        <row r="184">
          <cell r="A184" t="str">
            <v>Heteropsis oblongifolia</v>
          </cell>
          <cell r="B184" t="str">
            <v>Araceae</v>
          </cell>
          <cell r="D184" t="str">
            <v>orange</v>
          </cell>
          <cell r="E184" t="str">
            <v>NO</v>
          </cell>
          <cell r="F184" t="str">
            <v>NA</v>
          </cell>
          <cell r="G184" t="str">
            <v>NA</v>
          </cell>
          <cell r="H184" t="str">
            <v>NA</v>
          </cell>
          <cell r="I184" t="str">
            <v>NA</v>
          </cell>
          <cell r="J184" t="str">
            <v>NA</v>
          </cell>
          <cell r="K184" t="str">
            <v>NA</v>
          </cell>
          <cell r="L184" t="str">
            <v>NA</v>
          </cell>
          <cell r="M184" t="str">
            <v>NA</v>
          </cell>
          <cell r="N184" t="str">
            <v>NA</v>
          </cell>
          <cell r="O184" t="str">
            <v>NA</v>
          </cell>
          <cell r="P184" t="str">
            <v>NA</v>
          </cell>
          <cell r="Q184" t="str">
            <v>NA</v>
          </cell>
          <cell r="R184" t="str">
            <v>NA</v>
          </cell>
          <cell r="S184" t="str">
            <v>NA</v>
          </cell>
          <cell r="T184" t="str">
            <v>NA</v>
          </cell>
          <cell r="U184" t="str">
            <v>NA</v>
          </cell>
          <cell r="V184" t="str">
            <v>NA</v>
          </cell>
          <cell r="W184" t="str">
            <v>NA</v>
          </cell>
          <cell r="X184" t="str">
            <v>NA</v>
          </cell>
          <cell r="Y184" t="str">
            <v>NA</v>
          </cell>
          <cell r="Z184" t="str">
            <v>NA</v>
          </cell>
          <cell r="AA184" t="str">
            <v>NA</v>
          </cell>
          <cell r="AB184" t="str">
            <v>NA</v>
          </cell>
        </row>
        <row r="185">
          <cell r="A185" t="str">
            <v>Hovenia dulcis</v>
          </cell>
          <cell r="B185" t="str">
            <v>Rhamnaceae</v>
          </cell>
          <cell r="D185" t="str">
            <v>brown</v>
          </cell>
          <cell r="E185" t="str">
            <v>NO</v>
          </cell>
          <cell r="F185" t="str">
            <v>NA</v>
          </cell>
          <cell r="G185" t="str">
            <v>NA</v>
          </cell>
          <cell r="H185" t="str">
            <v>NA</v>
          </cell>
          <cell r="I185" t="str">
            <v>NA</v>
          </cell>
          <cell r="J185" t="str">
            <v>NA</v>
          </cell>
          <cell r="K185" t="str">
            <v>NA</v>
          </cell>
          <cell r="L185" t="str">
            <v>NA</v>
          </cell>
          <cell r="M185" t="str">
            <v>NA</v>
          </cell>
          <cell r="N185" t="str">
            <v>NA</v>
          </cell>
          <cell r="O185" t="str">
            <v>NA</v>
          </cell>
          <cell r="P185" t="str">
            <v>NA</v>
          </cell>
          <cell r="Q185" t="str">
            <v>NA</v>
          </cell>
          <cell r="R185" t="str">
            <v>NA</v>
          </cell>
          <cell r="S185" t="str">
            <v>NA</v>
          </cell>
          <cell r="T185" t="str">
            <v>NA</v>
          </cell>
          <cell r="U185" t="str">
            <v>NA</v>
          </cell>
          <cell r="V185" t="str">
            <v>NA</v>
          </cell>
          <cell r="W185" t="str">
            <v>NA</v>
          </cell>
          <cell r="X185" t="str">
            <v>NA</v>
          </cell>
          <cell r="Y185" t="str">
            <v>NA</v>
          </cell>
          <cell r="Z185" t="str">
            <v>NA</v>
          </cell>
          <cell r="AA185" t="str">
            <v>NA</v>
          </cell>
          <cell r="AB185" t="str">
            <v>NA</v>
          </cell>
        </row>
        <row r="186">
          <cell r="A186" t="str">
            <v>Hyeronima alchorneoides</v>
          </cell>
          <cell r="B186" t="str">
            <v>Phyllanthaceae</v>
          </cell>
          <cell r="D186" t="str">
            <v>black</v>
          </cell>
          <cell r="E186" t="str">
            <v>NO</v>
          </cell>
          <cell r="F186" t="str">
            <v>NA</v>
          </cell>
          <cell r="G186" t="str">
            <v>NA</v>
          </cell>
          <cell r="H186" t="str">
            <v>NA</v>
          </cell>
          <cell r="I186" t="str">
            <v>NA</v>
          </cell>
          <cell r="J186" t="str">
            <v>NA</v>
          </cell>
          <cell r="K186" t="str">
            <v>NA</v>
          </cell>
          <cell r="L186" t="str">
            <v>NA</v>
          </cell>
          <cell r="M186" t="str">
            <v>NA</v>
          </cell>
          <cell r="N186" t="str">
            <v>NA</v>
          </cell>
          <cell r="O186" t="str">
            <v>NA</v>
          </cell>
          <cell r="P186" t="str">
            <v>NA</v>
          </cell>
          <cell r="Q186" t="str">
            <v>NA</v>
          </cell>
          <cell r="R186" t="str">
            <v>NA</v>
          </cell>
          <cell r="S186" t="str">
            <v>NA</v>
          </cell>
          <cell r="T186" t="str">
            <v>NA</v>
          </cell>
          <cell r="U186" t="str">
            <v>NA</v>
          </cell>
          <cell r="V186" t="str">
            <v>NA</v>
          </cell>
          <cell r="W186" t="str">
            <v>NA</v>
          </cell>
          <cell r="X186" t="str">
            <v>NA</v>
          </cell>
          <cell r="Y186" t="str">
            <v>NA</v>
          </cell>
          <cell r="Z186" t="str">
            <v>NA</v>
          </cell>
          <cell r="AA186" t="str">
            <v>NA</v>
          </cell>
          <cell r="AB186" t="str">
            <v>NA</v>
          </cell>
        </row>
        <row r="187">
          <cell r="A187" t="str">
            <v>Ilex microdonta</v>
          </cell>
          <cell r="B187" t="str">
            <v>Aquifoliaceae</v>
          </cell>
          <cell r="D187" t="str">
            <v>black</v>
          </cell>
          <cell r="E187" t="str">
            <v>NO</v>
          </cell>
          <cell r="F187" t="str">
            <v>NA</v>
          </cell>
          <cell r="G187" t="str">
            <v>NA</v>
          </cell>
          <cell r="H187" t="str">
            <v>NA</v>
          </cell>
          <cell r="I187" t="str">
            <v>NA</v>
          </cell>
          <cell r="J187" t="str">
            <v>NA</v>
          </cell>
          <cell r="K187" t="str">
            <v>NA</v>
          </cell>
          <cell r="L187" t="str">
            <v>NA</v>
          </cell>
          <cell r="M187" t="str">
            <v>NA</v>
          </cell>
          <cell r="N187" t="str">
            <v>NA</v>
          </cell>
          <cell r="O187" t="str">
            <v>NA</v>
          </cell>
          <cell r="P187" t="str">
            <v>NA</v>
          </cell>
          <cell r="Q187" t="str">
            <v>NA</v>
          </cell>
          <cell r="R187" t="str">
            <v>NA</v>
          </cell>
          <cell r="S187" t="str">
            <v>NA</v>
          </cell>
          <cell r="T187" t="str">
            <v>NA</v>
          </cell>
          <cell r="U187" t="str">
            <v>NA</v>
          </cell>
          <cell r="V187" t="str">
            <v>NA</v>
          </cell>
          <cell r="W187" t="str">
            <v>NA</v>
          </cell>
          <cell r="X187" t="str">
            <v>NA</v>
          </cell>
          <cell r="Y187" t="str">
            <v>NA</v>
          </cell>
          <cell r="Z187" t="str">
            <v>NA</v>
          </cell>
          <cell r="AA187" t="str">
            <v>NA</v>
          </cell>
          <cell r="AB187" t="str">
            <v>NA</v>
          </cell>
        </row>
        <row r="188">
          <cell r="A188" t="str">
            <v>Ilex pseudobuxus</v>
          </cell>
          <cell r="B188" t="str">
            <v>Aquifoliaceae</v>
          </cell>
          <cell r="D188" t="str">
            <v>black</v>
          </cell>
          <cell r="E188" t="str">
            <v>NO</v>
          </cell>
          <cell r="F188" t="str">
            <v>NA</v>
          </cell>
          <cell r="G188" t="str">
            <v>NA</v>
          </cell>
          <cell r="H188" t="str">
            <v>NA</v>
          </cell>
          <cell r="I188" t="str">
            <v>NA</v>
          </cell>
          <cell r="J188" t="str">
            <v>NA</v>
          </cell>
          <cell r="K188" t="str">
            <v>NA</v>
          </cell>
          <cell r="L188" t="str">
            <v>NA</v>
          </cell>
          <cell r="M188" t="str">
            <v>NA</v>
          </cell>
          <cell r="N188" t="str">
            <v>NA</v>
          </cell>
          <cell r="O188" t="str">
            <v>NA</v>
          </cell>
          <cell r="P188" t="str">
            <v>NA</v>
          </cell>
          <cell r="Q188" t="str">
            <v>NA</v>
          </cell>
          <cell r="R188" t="str">
            <v>NA</v>
          </cell>
          <cell r="S188" t="str">
            <v>NA</v>
          </cell>
          <cell r="T188" t="str">
            <v>NA</v>
          </cell>
          <cell r="U188" t="str">
            <v>NA</v>
          </cell>
          <cell r="V188" t="str">
            <v>NA</v>
          </cell>
          <cell r="W188" t="str">
            <v>NA</v>
          </cell>
          <cell r="X188" t="str">
            <v>NA</v>
          </cell>
          <cell r="Y188" t="str">
            <v>NA</v>
          </cell>
          <cell r="Z188" t="str">
            <v>NA</v>
          </cell>
          <cell r="AA188" t="str">
            <v>NA</v>
          </cell>
          <cell r="AB188" t="str">
            <v>NA</v>
          </cell>
        </row>
        <row r="189">
          <cell r="A189" t="str">
            <v>Ilex theezans</v>
          </cell>
          <cell r="B189" t="str">
            <v>Aquifoliaceae</v>
          </cell>
          <cell r="D189" t="str">
            <v>black</v>
          </cell>
          <cell r="E189" t="str">
            <v>NO</v>
          </cell>
          <cell r="F189" t="str">
            <v>NA</v>
          </cell>
          <cell r="G189" t="str">
            <v>NA</v>
          </cell>
          <cell r="H189" t="str">
            <v>NA</v>
          </cell>
          <cell r="I189" t="str">
            <v>NA</v>
          </cell>
          <cell r="J189" t="str">
            <v>NA</v>
          </cell>
          <cell r="K189" t="str">
            <v>NA</v>
          </cell>
          <cell r="L189" t="str">
            <v>NA</v>
          </cell>
          <cell r="M189" t="str">
            <v>NA</v>
          </cell>
          <cell r="N189" t="str">
            <v>NA</v>
          </cell>
          <cell r="O189" t="str">
            <v>NA</v>
          </cell>
          <cell r="P189" t="str">
            <v>NA</v>
          </cell>
          <cell r="Q189" t="str">
            <v>NA</v>
          </cell>
          <cell r="R189" t="str">
            <v>NA</v>
          </cell>
          <cell r="S189" t="str">
            <v>NA</v>
          </cell>
          <cell r="T189" t="str">
            <v>NA</v>
          </cell>
          <cell r="U189" t="str">
            <v>NA</v>
          </cell>
          <cell r="V189" t="str">
            <v>NA</v>
          </cell>
          <cell r="W189" t="str">
            <v>NA</v>
          </cell>
          <cell r="X189" t="str">
            <v>NA</v>
          </cell>
          <cell r="Y189" t="str">
            <v>NA</v>
          </cell>
          <cell r="Z189" t="str">
            <v>NA</v>
          </cell>
          <cell r="AA189" t="str">
            <v>NA</v>
          </cell>
          <cell r="AB189" t="str">
            <v>NA</v>
          </cell>
        </row>
        <row r="190">
          <cell r="A190" t="str">
            <v>Inga edulis</v>
          </cell>
          <cell r="B190" t="str">
            <v>Fabaceae</v>
          </cell>
          <cell r="D190" t="str">
            <v>brown</v>
          </cell>
          <cell r="E190" t="str">
            <v>NO</v>
          </cell>
          <cell r="F190" t="str">
            <v>NA</v>
          </cell>
          <cell r="G190" t="str">
            <v>NA</v>
          </cell>
          <cell r="H190" t="str">
            <v>NA</v>
          </cell>
          <cell r="I190" t="str">
            <v>NA</v>
          </cell>
          <cell r="J190" t="str">
            <v>NA</v>
          </cell>
          <cell r="K190" t="str">
            <v>NA</v>
          </cell>
          <cell r="L190" t="str">
            <v>NA</v>
          </cell>
          <cell r="M190" t="str">
            <v>NA</v>
          </cell>
          <cell r="N190" t="str">
            <v>NA</v>
          </cell>
          <cell r="O190" t="str">
            <v>NA</v>
          </cell>
          <cell r="P190" t="str">
            <v>NA</v>
          </cell>
          <cell r="Q190" t="str">
            <v>NA</v>
          </cell>
          <cell r="R190" t="str">
            <v>NA</v>
          </cell>
          <cell r="S190" t="str">
            <v>NA</v>
          </cell>
          <cell r="T190" t="str">
            <v>NA</v>
          </cell>
          <cell r="U190" t="str">
            <v>NA</v>
          </cell>
          <cell r="V190" t="str">
            <v>NA</v>
          </cell>
          <cell r="W190" t="str">
            <v>NA</v>
          </cell>
          <cell r="X190" t="str">
            <v>NA</v>
          </cell>
          <cell r="Y190" t="str">
            <v>NA</v>
          </cell>
          <cell r="Z190" t="str">
            <v>NA</v>
          </cell>
          <cell r="AA190" t="str">
            <v>NA</v>
          </cell>
          <cell r="AB190" t="str">
            <v>NA</v>
          </cell>
        </row>
        <row r="191">
          <cell r="A191" t="str">
            <v>Inga marginata</v>
          </cell>
          <cell r="B191" t="str">
            <v>Fabaceae</v>
          </cell>
          <cell r="D191" t="str">
            <v>brown</v>
          </cell>
          <cell r="E191" t="str">
            <v>NO</v>
          </cell>
          <cell r="F191" t="str">
            <v>NA</v>
          </cell>
          <cell r="G191" t="str">
            <v>NA</v>
          </cell>
          <cell r="H191" t="str">
            <v>NA</v>
          </cell>
          <cell r="I191" t="str">
            <v>NA</v>
          </cell>
          <cell r="J191" t="str">
            <v>NA</v>
          </cell>
          <cell r="K191" t="str">
            <v>NA</v>
          </cell>
          <cell r="L191" t="str">
            <v>NA</v>
          </cell>
          <cell r="M191" t="str">
            <v>NA</v>
          </cell>
          <cell r="N191" t="str">
            <v>NA</v>
          </cell>
          <cell r="O191" t="str">
            <v>NA</v>
          </cell>
          <cell r="P191" t="str">
            <v>NA</v>
          </cell>
          <cell r="Q191" t="str">
            <v>NA</v>
          </cell>
          <cell r="R191" t="str">
            <v>NA</v>
          </cell>
          <cell r="S191" t="str">
            <v>NA</v>
          </cell>
          <cell r="T191" t="str">
            <v>NA</v>
          </cell>
          <cell r="U191" t="str">
            <v>NA</v>
          </cell>
          <cell r="V191" t="str">
            <v>NA</v>
          </cell>
          <cell r="W191" t="str">
            <v>NA</v>
          </cell>
          <cell r="X191" t="str">
            <v>NA</v>
          </cell>
          <cell r="Y191" t="str">
            <v>NA</v>
          </cell>
          <cell r="Z191" t="str">
            <v>NA</v>
          </cell>
          <cell r="AA191" t="str">
            <v>NA</v>
          </cell>
          <cell r="AB191" t="str">
            <v>NA</v>
          </cell>
        </row>
        <row r="192">
          <cell r="A192" t="str">
            <v>Ixora burchelliana</v>
          </cell>
          <cell r="B192" t="str">
            <v>Rubiaceae</v>
          </cell>
          <cell r="D192" t="str">
            <v>black</v>
          </cell>
          <cell r="E192" t="str">
            <v>NO</v>
          </cell>
          <cell r="F192" t="str">
            <v>NA</v>
          </cell>
          <cell r="G192" t="str">
            <v>NA</v>
          </cell>
          <cell r="H192" t="str">
            <v>NA</v>
          </cell>
          <cell r="I192" t="str">
            <v>NA</v>
          </cell>
          <cell r="J192" t="str">
            <v>NA</v>
          </cell>
          <cell r="K192" t="str">
            <v>NA</v>
          </cell>
          <cell r="L192" t="str">
            <v>NA</v>
          </cell>
          <cell r="M192" t="str">
            <v>NA</v>
          </cell>
          <cell r="N192" t="str">
            <v>NA</v>
          </cell>
          <cell r="O192" t="str">
            <v>NA</v>
          </cell>
          <cell r="P192" t="str">
            <v>NA</v>
          </cell>
          <cell r="Q192" t="str">
            <v>NA</v>
          </cell>
          <cell r="R192" t="str">
            <v>NA</v>
          </cell>
          <cell r="S192" t="str">
            <v>NA</v>
          </cell>
          <cell r="T192" t="str">
            <v>NA</v>
          </cell>
          <cell r="U192" t="str">
            <v>NA</v>
          </cell>
          <cell r="V192" t="str">
            <v>NA</v>
          </cell>
          <cell r="W192" t="str">
            <v>NA</v>
          </cell>
          <cell r="X192" t="str">
            <v>NA</v>
          </cell>
          <cell r="Y192" t="str">
            <v>NA</v>
          </cell>
          <cell r="Z192" t="str">
            <v>NA</v>
          </cell>
          <cell r="AA192" t="str">
            <v>NA</v>
          </cell>
          <cell r="AB192" t="str">
            <v>NA</v>
          </cell>
        </row>
        <row r="193">
          <cell r="A193" t="str">
            <v>Ixora gardneriana</v>
          </cell>
          <cell r="B193" t="str">
            <v>Rubiaceae</v>
          </cell>
          <cell r="D193" t="str">
            <v>black</v>
          </cell>
          <cell r="E193" t="str">
            <v>NO</v>
          </cell>
          <cell r="F193" t="str">
            <v>NA</v>
          </cell>
          <cell r="G193" t="str">
            <v>NA</v>
          </cell>
          <cell r="H193" t="str">
            <v>NA</v>
          </cell>
          <cell r="I193" t="str">
            <v>NA</v>
          </cell>
          <cell r="J193" t="str">
            <v>NA</v>
          </cell>
          <cell r="K193" t="str">
            <v>NA</v>
          </cell>
          <cell r="L193" t="str">
            <v>NA</v>
          </cell>
          <cell r="M193" t="str">
            <v>NA</v>
          </cell>
          <cell r="N193" t="str">
            <v>NA</v>
          </cell>
          <cell r="O193" t="str">
            <v>NA</v>
          </cell>
          <cell r="P193" t="str">
            <v>NA</v>
          </cell>
          <cell r="Q193" t="str">
            <v>NA</v>
          </cell>
          <cell r="R193" t="str">
            <v>NA</v>
          </cell>
          <cell r="S193" t="str">
            <v>NA</v>
          </cell>
          <cell r="T193" t="str">
            <v>NA</v>
          </cell>
          <cell r="U193" t="str">
            <v>NA</v>
          </cell>
          <cell r="V193" t="str">
            <v>NA</v>
          </cell>
          <cell r="W193" t="str">
            <v>NA</v>
          </cell>
          <cell r="X193" t="str">
            <v>NA</v>
          </cell>
          <cell r="Y193" t="str">
            <v>NA</v>
          </cell>
          <cell r="Z193" t="str">
            <v>NA</v>
          </cell>
          <cell r="AA193" t="str">
            <v>NA</v>
          </cell>
          <cell r="AB193" t="str">
            <v>NA</v>
          </cell>
        </row>
        <row r="194">
          <cell r="A194" t="str">
            <v>Lantana camara</v>
          </cell>
          <cell r="B194" t="str">
            <v>Verbenaceae</v>
          </cell>
          <cell r="D194" t="str">
            <v>black</v>
          </cell>
          <cell r="E194" t="str">
            <v>NO</v>
          </cell>
          <cell r="F194" t="str">
            <v>NA</v>
          </cell>
          <cell r="G194" t="str">
            <v>NA</v>
          </cell>
          <cell r="H194" t="str">
            <v>NA</v>
          </cell>
          <cell r="I194" t="str">
            <v>NA</v>
          </cell>
          <cell r="J194" t="str">
            <v>NA</v>
          </cell>
          <cell r="K194" t="str">
            <v>NA</v>
          </cell>
          <cell r="L194" t="str">
            <v>NA</v>
          </cell>
          <cell r="M194" t="str">
            <v>NA</v>
          </cell>
          <cell r="N194" t="str">
            <v>NA</v>
          </cell>
          <cell r="O194" t="str">
            <v>NA</v>
          </cell>
          <cell r="P194" t="str">
            <v>NA</v>
          </cell>
          <cell r="Q194" t="str">
            <v>NA</v>
          </cell>
          <cell r="R194" t="str">
            <v>NA</v>
          </cell>
          <cell r="S194" t="str">
            <v>NA</v>
          </cell>
          <cell r="T194" t="str">
            <v>NA</v>
          </cell>
          <cell r="U194" t="str">
            <v>NA</v>
          </cell>
          <cell r="V194" t="str">
            <v>NA</v>
          </cell>
          <cell r="W194" t="str">
            <v>NA</v>
          </cell>
          <cell r="X194" t="str">
            <v>NA</v>
          </cell>
          <cell r="Y194" t="str">
            <v>NA</v>
          </cell>
          <cell r="Z194" t="str">
            <v>NA</v>
          </cell>
          <cell r="AA194" t="str">
            <v>NA</v>
          </cell>
          <cell r="AB194" t="str">
            <v>NA</v>
          </cell>
        </row>
        <row r="195">
          <cell r="A195" t="str">
            <v>Leandra acutiflora</v>
          </cell>
          <cell r="B195" t="str">
            <v>Melastomataceae</v>
          </cell>
          <cell r="D195" t="str">
            <v>black</v>
          </cell>
          <cell r="E195" t="str">
            <v>NO</v>
          </cell>
          <cell r="F195" t="str">
            <v>NA</v>
          </cell>
          <cell r="G195" t="str">
            <v>NA</v>
          </cell>
          <cell r="H195" t="str">
            <v>NA</v>
          </cell>
          <cell r="I195" t="str">
            <v>NA</v>
          </cell>
          <cell r="J195" t="str">
            <v>NA</v>
          </cell>
          <cell r="K195" t="str">
            <v>NA</v>
          </cell>
          <cell r="L195" t="str">
            <v>NA</v>
          </cell>
          <cell r="M195" t="str">
            <v>NA</v>
          </cell>
          <cell r="N195" t="str">
            <v>NA</v>
          </cell>
          <cell r="O195" t="str">
            <v>NA</v>
          </cell>
          <cell r="P195" t="str">
            <v>NA</v>
          </cell>
          <cell r="Q195" t="str">
            <v>NA</v>
          </cell>
          <cell r="R195" t="str">
            <v>NA</v>
          </cell>
          <cell r="S195" t="str">
            <v>NA</v>
          </cell>
          <cell r="T195" t="str">
            <v>NA</v>
          </cell>
          <cell r="U195" t="str">
            <v>NA</v>
          </cell>
          <cell r="V195" t="str">
            <v>NA</v>
          </cell>
          <cell r="W195" t="str">
            <v>NA</v>
          </cell>
          <cell r="X195" t="str">
            <v>NA</v>
          </cell>
          <cell r="Y195" t="str">
            <v>NA</v>
          </cell>
          <cell r="Z195" t="str">
            <v>NA</v>
          </cell>
          <cell r="AA195" t="str">
            <v>NA</v>
          </cell>
          <cell r="AB195" t="str">
            <v>NA</v>
          </cell>
        </row>
        <row r="196">
          <cell r="A196" t="str">
            <v>Leandra australis</v>
          </cell>
          <cell r="B196" t="str">
            <v>Melastomataceae</v>
          </cell>
          <cell r="D196" t="str">
            <v>black</v>
          </cell>
          <cell r="E196" t="str">
            <v>NO</v>
          </cell>
          <cell r="F196" t="str">
            <v>NA</v>
          </cell>
          <cell r="G196" t="str">
            <v>NA</v>
          </cell>
          <cell r="H196" t="str">
            <v>NA</v>
          </cell>
          <cell r="I196" t="str">
            <v>NA</v>
          </cell>
          <cell r="J196" t="str">
            <v>NA</v>
          </cell>
          <cell r="K196" t="str">
            <v>NA</v>
          </cell>
          <cell r="L196" t="str">
            <v>NA</v>
          </cell>
          <cell r="M196" t="str">
            <v>NA</v>
          </cell>
          <cell r="N196" t="str">
            <v>NA</v>
          </cell>
          <cell r="O196" t="str">
            <v>NA</v>
          </cell>
          <cell r="P196" t="str">
            <v>NA</v>
          </cell>
          <cell r="Q196" t="str">
            <v>NA</v>
          </cell>
          <cell r="R196" t="str">
            <v>NA</v>
          </cell>
          <cell r="S196" t="str">
            <v>NA</v>
          </cell>
          <cell r="T196" t="str">
            <v>NA</v>
          </cell>
          <cell r="U196" t="str">
            <v>NA</v>
          </cell>
          <cell r="V196" t="str">
            <v>NA</v>
          </cell>
          <cell r="W196" t="str">
            <v>NA</v>
          </cell>
          <cell r="X196" t="str">
            <v>NA</v>
          </cell>
          <cell r="Y196" t="str">
            <v>NA</v>
          </cell>
          <cell r="Z196" t="str">
            <v>NA</v>
          </cell>
          <cell r="AA196" t="str">
            <v>NA</v>
          </cell>
          <cell r="AB196" t="str">
            <v>NA</v>
          </cell>
        </row>
        <row r="197">
          <cell r="A197" t="str">
            <v>Leandra laevigata</v>
          </cell>
          <cell r="B197" t="str">
            <v>Melastomataceae</v>
          </cell>
          <cell r="D197" t="str">
            <v>black</v>
          </cell>
          <cell r="E197" t="str">
            <v>NO</v>
          </cell>
          <cell r="F197" t="str">
            <v>NA</v>
          </cell>
          <cell r="G197" t="str">
            <v>NA</v>
          </cell>
          <cell r="H197" t="str">
            <v>NA</v>
          </cell>
          <cell r="I197" t="str">
            <v>NA</v>
          </cell>
          <cell r="J197" t="str">
            <v>NA</v>
          </cell>
          <cell r="K197" t="str">
            <v>NA</v>
          </cell>
          <cell r="L197" t="str">
            <v>NA</v>
          </cell>
          <cell r="M197" t="str">
            <v>NA</v>
          </cell>
          <cell r="N197" t="str">
            <v>NA</v>
          </cell>
          <cell r="O197" t="str">
            <v>NA</v>
          </cell>
          <cell r="P197" t="str">
            <v>NA</v>
          </cell>
          <cell r="Q197" t="str">
            <v>NA</v>
          </cell>
          <cell r="R197" t="str">
            <v>NA</v>
          </cell>
          <cell r="S197" t="str">
            <v>NA</v>
          </cell>
          <cell r="T197" t="str">
            <v>NA</v>
          </cell>
          <cell r="U197" t="str">
            <v>NA</v>
          </cell>
          <cell r="V197" t="str">
            <v>NA</v>
          </cell>
          <cell r="W197" t="str">
            <v>NA</v>
          </cell>
          <cell r="X197" t="str">
            <v>NA</v>
          </cell>
          <cell r="Y197" t="str">
            <v>NA</v>
          </cell>
          <cell r="Z197" t="str">
            <v>NA</v>
          </cell>
          <cell r="AA197" t="str">
            <v>NA</v>
          </cell>
          <cell r="AB197" t="str">
            <v>NA</v>
          </cell>
        </row>
        <row r="198">
          <cell r="A198" t="str">
            <v>Leandra melastomoides</v>
          </cell>
          <cell r="B198" t="str">
            <v>Melastomataceae</v>
          </cell>
          <cell r="D198" t="str">
            <v>black</v>
          </cell>
          <cell r="E198" t="str">
            <v>NO</v>
          </cell>
          <cell r="F198" t="str">
            <v>NA</v>
          </cell>
          <cell r="G198" t="str">
            <v>NA</v>
          </cell>
          <cell r="H198" t="str">
            <v>NA</v>
          </cell>
          <cell r="I198" t="str">
            <v>NA</v>
          </cell>
          <cell r="J198" t="str">
            <v>NA</v>
          </cell>
          <cell r="K198" t="str">
            <v>NA</v>
          </cell>
          <cell r="L198" t="str">
            <v>NA</v>
          </cell>
          <cell r="M198" t="str">
            <v>NA</v>
          </cell>
          <cell r="N198" t="str">
            <v>NA</v>
          </cell>
          <cell r="O198" t="str">
            <v>NA</v>
          </cell>
          <cell r="P198" t="str">
            <v>NA</v>
          </cell>
          <cell r="Q198" t="str">
            <v>NA</v>
          </cell>
          <cell r="R198" t="str">
            <v>NA</v>
          </cell>
          <cell r="S198" t="str">
            <v>NA</v>
          </cell>
          <cell r="T198" t="str">
            <v>NA</v>
          </cell>
          <cell r="U198" t="str">
            <v>NA</v>
          </cell>
          <cell r="V198" t="str">
            <v>NA</v>
          </cell>
          <cell r="W198" t="str">
            <v>NA</v>
          </cell>
          <cell r="X198" t="str">
            <v>NA</v>
          </cell>
          <cell r="Y198" t="str">
            <v>NA</v>
          </cell>
          <cell r="Z198" t="str">
            <v>NA</v>
          </cell>
          <cell r="AA198" t="str">
            <v>NA</v>
          </cell>
          <cell r="AB198" t="str">
            <v>NA</v>
          </cell>
        </row>
        <row r="199">
          <cell r="A199" t="str">
            <v>Leandra pilonensis</v>
          </cell>
          <cell r="B199" t="str">
            <v>Melastomataceae</v>
          </cell>
          <cell r="D199" t="str">
            <v>black</v>
          </cell>
          <cell r="E199" t="str">
            <v>NO</v>
          </cell>
          <cell r="F199" t="str">
            <v>NA</v>
          </cell>
          <cell r="G199" t="str">
            <v>NA</v>
          </cell>
          <cell r="H199" t="str">
            <v>NA</v>
          </cell>
          <cell r="I199" t="str">
            <v>NA</v>
          </cell>
          <cell r="J199" t="str">
            <v>NA</v>
          </cell>
          <cell r="K199" t="str">
            <v>NA</v>
          </cell>
          <cell r="L199" t="str">
            <v>NA</v>
          </cell>
          <cell r="M199" t="str">
            <v>NA</v>
          </cell>
          <cell r="N199" t="str">
            <v>NA</v>
          </cell>
          <cell r="O199" t="str">
            <v>NA</v>
          </cell>
          <cell r="P199" t="str">
            <v>NA</v>
          </cell>
          <cell r="Q199" t="str">
            <v>NA</v>
          </cell>
          <cell r="R199" t="str">
            <v>NA</v>
          </cell>
          <cell r="S199" t="str">
            <v>NA</v>
          </cell>
          <cell r="T199" t="str">
            <v>NA</v>
          </cell>
          <cell r="U199" t="str">
            <v>NA</v>
          </cell>
          <cell r="V199" t="str">
            <v>NA</v>
          </cell>
          <cell r="W199" t="str">
            <v>NA</v>
          </cell>
          <cell r="X199" t="str">
            <v>NA</v>
          </cell>
          <cell r="Y199" t="str">
            <v>NA</v>
          </cell>
          <cell r="Z199" t="str">
            <v>NA</v>
          </cell>
          <cell r="AA199" t="str">
            <v>NA</v>
          </cell>
          <cell r="AB199" t="str">
            <v>NA</v>
          </cell>
        </row>
        <row r="200">
          <cell r="A200" t="str">
            <v>Leandra refracta</v>
          </cell>
          <cell r="B200" t="str">
            <v>Melastomataceae</v>
          </cell>
          <cell r="D200" t="str">
            <v>black</v>
          </cell>
          <cell r="E200" t="str">
            <v>NO</v>
          </cell>
          <cell r="F200" t="str">
            <v>NA</v>
          </cell>
          <cell r="G200" t="str">
            <v>NA</v>
          </cell>
          <cell r="H200" t="str">
            <v>NA</v>
          </cell>
          <cell r="I200" t="str">
            <v>NA</v>
          </cell>
          <cell r="J200" t="str">
            <v>NA</v>
          </cell>
          <cell r="K200" t="str">
            <v>NA</v>
          </cell>
          <cell r="L200" t="str">
            <v>NA</v>
          </cell>
          <cell r="M200" t="str">
            <v>NA</v>
          </cell>
          <cell r="N200" t="str">
            <v>NA</v>
          </cell>
          <cell r="O200" t="str">
            <v>NA</v>
          </cell>
          <cell r="P200" t="str">
            <v>NA</v>
          </cell>
          <cell r="Q200" t="str">
            <v>NA</v>
          </cell>
          <cell r="R200" t="str">
            <v>NA</v>
          </cell>
          <cell r="S200" t="str">
            <v>NA</v>
          </cell>
          <cell r="T200" t="str">
            <v>NA</v>
          </cell>
          <cell r="U200" t="str">
            <v>NA</v>
          </cell>
          <cell r="V200" t="str">
            <v>NA</v>
          </cell>
          <cell r="W200" t="str">
            <v>NA</v>
          </cell>
          <cell r="X200" t="str">
            <v>NA</v>
          </cell>
          <cell r="Y200" t="str">
            <v>NA</v>
          </cell>
          <cell r="Z200" t="str">
            <v>NA</v>
          </cell>
          <cell r="AA200" t="str">
            <v>NA</v>
          </cell>
          <cell r="AB200" t="str">
            <v>NA</v>
          </cell>
        </row>
        <row r="201">
          <cell r="A201" t="str">
            <v>Leandra sabiaensis</v>
          </cell>
          <cell r="B201" t="str">
            <v>Melastomataceae</v>
          </cell>
          <cell r="D201" t="str">
            <v>black</v>
          </cell>
          <cell r="E201" t="str">
            <v>NO</v>
          </cell>
          <cell r="F201" t="str">
            <v>NA</v>
          </cell>
          <cell r="G201" t="str">
            <v>NA</v>
          </cell>
          <cell r="H201" t="str">
            <v>NA</v>
          </cell>
          <cell r="I201" t="str">
            <v>NA</v>
          </cell>
          <cell r="J201" t="str">
            <v>NA</v>
          </cell>
          <cell r="K201" t="str">
            <v>NA</v>
          </cell>
          <cell r="L201" t="str">
            <v>NA</v>
          </cell>
          <cell r="M201" t="str">
            <v>NA</v>
          </cell>
          <cell r="N201" t="str">
            <v>NA</v>
          </cell>
          <cell r="O201" t="str">
            <v>NA</v>
          </cell>
          <cell r="P201" t="str">
            <v>NA</v>
          </cell>
          <cell r="Q201" t="str">
            <v>NA</v>
          </cell>
          <cell r="R201" t="str">
            <v>NA</v>
          </cell>
          <cell r="S201" t="str">
            <v>NA</v>
          </cell>
          <cell r="T201" t="str">
            <v>NA</v>
          </cell>
          <cell r="U201" t="str">
            <v>NA</v>
          </cell>
          <cell r="V201" t="str">
            <v>NA</v>
          </cell>
          <cell r="W201" t="str">
            <v>NA</v>
          </cell>
          <cell r="X201" t="str">
            <v>NA</v>
          </cell>
          <cell r="Y201" t="str">
            <v>NA</v>
          </cell>
          <cell r="Z201" t="str">
            <v>NA</v>
          </cell>
          <cell r="AA201" t="str">
            <v>NA</v>
          </cell>
          <cell r="AB201" t="str">
            <v>NA</v>
          </cell>
        </row>
        <row r="202">
          <cell r="A202" t="str">
            <v>Leandra variabilis</v>
          </cell>
          <cell r="B202" t="str">
            <v>Melastomataceae</v>
          </cell>
          <cell r="D202" t="str">
            <v>black</v>
          </cell>
          <cell r="E202" t="str">
            <v>NO</v>
          </cell>
          <cell r="F202" t="str">
            <v>NA</v>
          </cell>
          <cell r="G202" t="str">
            <v>NA</v>
          </cell>
          <cell r="H202" t="str">
            <v>NA</v>
          </cell>
          <cell r="I202" t="str">
            <v>NA</v>
          </cell>
          <cell r="J202" t="str">
            <v>NA</v>
          </cell>
          <cell r="K202" t="str">
            <v>NA</v>
          </cell>
          <cell r="L202" t="str">
            <v>NA</v>
          </cell>
          <cell r="M202" t="str">
            <v>NA</v>
          </cell>
          <cell r="N202" t="str">
            <v>NA</v>
          </cell>
          <cell r="O202" t="str">
            <v>NA</v>
          </cell>
          <cell r="P202" t="str">
            <v>NA</v>
          </cell>
          <cell r="Q202" t="str">
            <v>NA</v>
          </cell>
          <cell r="R202" t="str">
            <v>NA</v>
          </cell>
          <cell r="S202" t="str">
            <v>NA</v>
          </cell>
          <cell r="T202" t="str">
            <v>NA</v>
          </cell>
          <cell r="U202" t="str">
            <v>NA</v>
          </cell>
          <cell r="V202" t="str">
            <v>NA</v>
          </cell>
          <cell r="W202" t="str">
            <v>NA</v>
          </cell>
          <cell r="X202" t="str">
            <v>NA</v>
          </cell>
          <cell r="Y202" t="str">
            <v>NA</v>
          </cell>
          <cell r="Z202" t="str">
            <v>NA</v>
          </cell>
          <cell r="AA202" t="str">
            <v>NA</v>
          </cell>
          <cell r="AB202" t="str">
            <v>NA</v>
          </cell>
        </row>
        <row r="203">
          <cell r="A203" t="str">
            <v>Ligustrum japonicum</v>
          </cell>
          <cell r="B203" t="str">
            <v>Oleaceae</v>
          </cell>
          <cell r="D203" t="str">
            <v>black</v>
          </cell>
          <cell r="E203" t="str">
            <v>NO</v>
          </cell>
          <cell r="F203" t="str">
            <v>NA</v>
          </cell>
          <cell r="G203" t="str">
            <v>NA</v>
          </cell>
          <cell r="H203" t="str">
            <v>NA</v>
          </cell>
          <cell r="I203" t="str">
            <v>NA</v>
          </cell>
          <cell r="J203" t="str">
            <v>NA</v>
          </cell>
          <cell r="K203" t="str">
            <v>NA</v>
          </cell>
          <cell r="L203" t="str">
            <v>NA</v>
          </cell>
          <cell r="M203" t="str">
            <v>NA</v>
          </cell>
          <cell r="N203" t="str">
            <v>NA</v>
          </cell>
          <cell r="O203" t="str">
            <v>NA</v>
          </cell>
          <cell r="P203" t="str">
            <v>NA</v>
          </cell>
          <cell r="Q203" t="str">
            <v>NA</v>
          </cell>
          <cell r="R203" t="str">
            <v>NA</v>
          </cell>
          <cell r="S203" t="str">
            <v>NA</v>
          </cell>
          <cell r="T203" t="str">
            <v>NA</v>
          </cell>
          <cell r="U203" t="str">
            <v>NA</v>
          </cell>
          <cell r="V203" t="str">
            <v>NA</v>
          </cell>
          <cell r="W203" t="str">
            <v>NA</v>
          </cell>
          <cell r="X203" t="str">
            <v>NA</v>
          </cell>
          <cell r="Y203" t="str">
            <v>NA</v>
          </cell>
          <cell r="Z203" t="str">
            <v>NA</v>
          </cell>
          <cell r="AA203" t="str">
            <v>NA</v>
          </cell>
          <cell r="AB203" t="str">
            <v>NA</v>
          </cell>
        </row>
        <row r="204">
          <cell r="A204" t="str">
            <v>Ligustrum lucidum</v>
          </cell>
          <cell r="B204" t="str">
            <v>Oleaceae</v>
          </cell>
          <cell r="D204" t="str">
            <v>black</v>
          </cell>
          <cell r="E204" t="str">
            <v>NO</v>
          </cell>
          <cell r="F204" t="str">
            <v>NA</v>
          </cell>
          <cell r="G204" t="str">
            <v>NA</v>
          </cell>
          <cell r="H204" t="str">
            <v>NA</v>
          </cell>
          <cell r="I204" t="str">
            <v>NA</v>
          </cell>
          <cell r="J204" t="str">
            <v>NA</v>
          </cell>
          <cell r="K204" t="str">
            <v>NA</v>
          </cell>
          <cell r="L204" t="str">
            <v>NA</v>
          </cell>
          <cell r="M204" t="str">
            <v>NA</v>
          </cell>
          <cell r="N204" t="str">
            <v>NA</v>
          </cell>
          <cell r="O204" t="str">
            <v>NA</v>
          </cell>
          <cell r="P204" t="str">
            <v>NA</v>
          </cell>
          <cell r="Q204" t="str">
            <v>NA</v>
          </cell>
          <cell r="R204" t="str">
            <v>NA</v>
          </cell>
          <cell r="S204" t="str">
            <v>NA</v>
          </cell>
          <cell r="T204" t="str">
            <v>NA</v>
          </cell>
          <cell r="U204" t="str">
            <v>NA</v>
          </cell>
          <cell r="V204" t="str">
            <v>NA</v>
          </cell>
          <cell r="W204" t="str">
            <v>NA</v>
          </cell>
          <cell r="X204" t="str">
            <v>NA</v>
          </cell>
          <cell r="Y204" t="str">
            <v>NA</v>
          </cell>
          <cell r="Z204" t="str">
            <v>NA</v>
          </cell>
          <cell r="AA204" t="str">
            <v>NA</v>
          </cell>
          <cell r="AB204" t="str">
            <v>NA</v>
          </cell>
        </row>
        <row r="205">
          <cell r="A205" t="str">
            <v>Lithrea molleoides</v>
          </cell>
          <cell r="B205" t="str">
            <v>Anacardiaceae</v>
          </cell>
          <cell r="D205" t="str">
            <v>NA</v>
          </cell>
          <cell r="E205" t="str">
            <v>NO</v>
          </cell>
          <cell r="F205" t="str">
            <v>NA</v>
          </cell>
          <cell r="G205" t="str">
            <v>NA</v>
          </cell>
          <cell r="H205" t="str">
            <v>NA</v>
          </cell>
          <cell r="I205" t="str">
            <v>NA</v>
          </cell>
          <cell r="J205" t="str">
            <v>NA</v>
          </cell>
          <cell r="K205" t="str">
            <v>NA</v>
          </cell>
          <cell r="L205" t="str">
            <v>NA</v>
          </cell>
          <cell r="M205" t="str">
            <v>NA</v>
          </cell>
          <cell r="N205" t="str">
            <v>NA</v>
          </cell>
          <cell r="O205" t="str">
            <v>NA</v>
          </cell>
          <cell r="P205" t="str">
            <v>NA</v>
          </cell>
          <cell r="Q205" t="str">
            <v>NA</v>
          </cell>
          <cell r="R205" t="str">
            <v>NA</v>
          </cell>
          <cell r="S205" t="str">
            <v>NA</v>
          </cell>
          <cell r="T205" t="str">
            <v>NA</v>
          </cell>
          <cell r="U205" t="str">
            <v>NA</v>
          </cell>
          <cell r="V205" t="str">
            <v>NA</v>
          </cell>
          <cell r="W205" t="str">
            <v>NA</v>
          </cell>
          <cell r="X205" t="str">
            <v>NA</v>
          </cell>
          <cell r="Y205" t="str">
            <v>NA</v>
          </cell>
          <cell r="Z205" t="str">
            <v>NA</v>
          </cell>
          <cell r="AA205" t="str">
            <v>NA</v>
          </cell>
          <cell r="AB205" t="str">
            <v>NA</v>
          </cell>
        </row>
        <row r="206">
          <cell r="A206" t="str">
            <v>Maclura tinctoria</v>
          </cell>
          <cell r="B206" t="str">
            <v>Moraceae</v>
          </cell>
          <cell r="D206" t="str">
            <v>green</v>
          </cell>
          <cell r="E206" t="str">
            <v>NO</v>
          </cell>
          <cell r="F206" t="str">
            <v>NA</v>
          </cell>
          <cell r="G206" t="str">
            <v>NA</v>
          </cell>
          <cell r="H206" t="str">
            <v>NA</v>
          </cell>
          <cell r="I206" t="str">
            <v>NA</v>
          </cell>
          <cell r="J206" t="str">
            <v>NA</v>
          </cell>
          <cell r="K206" t="str">
            <v>NA</v>
          </cell>
          <cell r="L206" t="str">
            <v>NA</v>
          </cell>
          <cell r="M206" t="str">
            <v>NA</v>
          </cell>
          <cell r="N206" t="str">
            <v>NA</v>
          </cell>
          <cell r="O206" t="str">
            <v>NA</v>
          </cell>
          <cell r="P206" t="str">
            <v>NA</v>
          </cell>
          <cell r="Q206" t="str">
            <v>NA</v>
          </cell>
          <cell r="R206" t="str">
            <v>NA</v>
          </cell>
          <cell r="S206" t="str">
            <v>NA</v>
          </cell>
          <cell r="T206" t="str">
            <v>NA</v>
          </cell>
          <cell r="U206" t="str">
            <v>NA</v>
          </cell>
          <cell r="V206" t="str">
            <v>NA</v>
          </cell>
          <cell r="W206" t="str">
            <v>NA</v>
          </cell>
          <cell r="X206" t="str">
            <v>NA</v>
          </cell>
          <cell r="Y206" t="str">
            <v>NA</v>
          </cell>
          <cell r="Z206" t="str">
            <v>NA</v>
          </cell>
          <cell r="AA206" t="str">
            <v>NA</v>
          </cell>
          <cell r="AB206" t="str">
            <v>NA</v>
          </cell>
        </row>
        <row r="207">
          <cell r="A207" t="str">
            <v>Magnolia champaca</v>
          </cell>
          <cell r="B207" t="str">
            <v>Magnoliaceae</v>
          </cell>
          <cell r="D207" t="str">
            <v>red</v>
          </cell>
          <cell r="E207" t="str">
            <v>NO</v>
          </cell>
          <cell r="F207" t="str">
            <v>NA</v>
          </cell>
          <cell r="G207" t="str">
            <v>NA</v>
          </cell>
          <cell r="H207" t="str">
            <v>NA</v>
          </cell>
          <cell r="I207" t="str">
            <v>NA</v>
          </cell>
          <cell r="J207" t="str">
            <v>NA</v>
          </cell>
          <cell r="K207" t="str">
            <v>NA</v>
          </cell>
          <cell r="L207" t="str">
            <v>NA</v>
          </cell>
          <cell r="M207" t="str">
            <v>NA</v>
          </cell>
          <cell r="N207" t="str">
            <v>NA</v>
          </cell>
          <cell r="O207" t="str">
            <v>NA</v>
          </cell>
          <cell r="P207" t="str">
            <v>NA</v>
          </cell>
          <cell r="Q207" t="str">
            <v>NA</v>
          </cell>
          <cell r="R207" t="str">
            <v>NA</v>
          </cell>
          <cell r="S207" t="str">
            <v>NA</v>
          </cell>
          <cell r="T207" t="str">
            <v>NA</v>
          </cell>
          <cell r="U207" t="str">
            <v>NA</v>
          </cell>
          <cell r="V207" t="str">
            <v>NA</v>
          </cell>
          <cell r="W207" t="str">
            <v>NA</v>
          </cell>
          <cell r="X207" t="str">
            <v>NA</v>
          </cell>
          <cell r="Y207" t="str">
            <v>NA</v>
          </cell>
          <cell r="Z207" t="str">
            <v>NA</v>
          </cell>
          <cell r="AA207" t="str">
            <v>NA</v>
          </cell>
          <cell r="AB207" t="str">
            <v>NA</v>
          </cell>
        </row>
        <row r="208">
          <cell r="A208" t="str">
            <v>Mangifera indica</v>
          </cell>
          <cell r="B208" t="str">
            <v>Anacardiaceae</v>
          </cell>
          <cell r="D208" t="str">
            <v>yellow</v>
          </cell>
          <cell r="E208" t="str">
            <v>NO</v>
          </cell>
          <cell r="F208" t="str">
            <v>NA</v>
          </cell>
          <cell r="G208" t="str">
            <v>NA</v>
          </cell>
          <cell r="H208" t="str">
            <v>NA</v>
          </cell>
          <cell r="I208" t="str">
            <v>NA</v>
          </cell>
          <cell r="J208" t="str">
            <v>NA</v>
          </cell>
          <cell r="K208" t="str">
            <v>NA</v>
          </cell>
          <cell r="L208" t="str">
            <v>NA</v>
          </cell>
          <cell r="M208" t="str">
            <v>NA</v>
          </cell>
          <cell r="N208" t="str">
            <v>NA</v>
          </cell>
          <cell r="O208" t="str">
            <v>NA</v>
          </cell>
          <cell r="P208" t="str">
            <v>NA</v>
          </cell>
          <cell r="Q208" t="str">
            <v>NA</v>
          </cell>
          <cell r="R208" t="str">
            <v>NA</v>
          </cell>
          <cell r="S208" t="str">
            <v>NA</v>
          </cell>
          <cell r="T208" t="str">
            <v>NA</v>
          </cell>
          <cell r="U208" t="str">
            <v>NA</v>
          </cell>
          <cell r="V208" t="str">
            <v>NA</v>
          </cell>
          <cell r="W208" t="str">
            <v>NA</v>
          </cell>
          <cell r="X208" t="str">
            <v>NA</v>
          </cell>
          <cell r="Y208" t="str">
            <v>NA</v>
          </cell>
          <cell r="Z208" t="str">
            <v>NA</v>
          </cell>
          <cell r="AA208" t="str">
            <v>NA</v>
          </cell>
          <cell r="AB208" t="str">
            <v>NA</v>
          </cell>
        </row>
        <row r="209">
          <cell r="A209" t="str">
            <v>Marcgravia polyantha</v>
          </cell>
          <cell r="B209" t="str">
            <v>Marcgraviaceae</v>
          </cell>
          <cell r="D209" t="str">
            <v>red</v>
          </cell>
          <cell r="E209" t="str">
            <v>NO</v>
          </cell>
          <cell r="F209" t="str">
            <v>NA</v>
          </cell>
          <cell r="G209" t="str">
            <v>NA</v>
          </cell>
          <cell r="H209" t="str">
            <v>NA</v>
          </cell>
          <cell r="I209" t="str">
            <v>NA</v>
          </cell>
          <cell r="J209" t="str">
            <v>NA</v>
          </cell>
          <cell r="K209" t="str">
            <v>NA</v>
          </cell>
          <cell r="L209" t="str">
            <v>NA</v>
          </cell>
          <cell r="M209" t="str">
            <v>NA</v>
          </cell>
          <cell r="N209" t="str">
            <v>NA</v>
          </cell>
          <cell r="O209" t="str">
            <v>NA</v>
          </cell>
          <cell r="P209" t="str">
            <v>NA</v>
          </cell>
          <cell r="Q209" t="str">
            <v>NA</v>
          </cell>
          <cell r="R209" t="str">
            <v>NA</v>
          </cell>
          <cell r="S209" t="str">
            <v>NA</v>
          </cell>
          <cell r="T209" t="str">
            <v>NA</v>
          </cell>
          <cell r="U209" t="str">
            <v>NA</v>
          </cell>
          <cell r="V209" t="str">
            <v>NA</v>
          </cell>
          <cell r="W209" t="str">
            <v>NA</v>
          </cell>
          <cell r="X209" t="str">
            <v>NA</v>
          </cell>
          <cell r="Y209" t="str">
            <v>NA</v>
          </cell>
          <cell r="Z209" t="str">
            <v>NA</v>
          </cell>
          <cell r="AA209" t="str">
            <v>NA</v>
          </cell>
          <cell r="AB209" t="str">
            <v>NA</v>
          </cell>
        </row>
        <row r="210">
          <cell r="A210" t="str">
            <v>Margaritaria nobilis</v>
          </cell>
          <cell r="B210" t="str">
            <v>Phyllanthaceae</v>
          </cell>
          <cell r="D210" t="str">
            <v>blue</v>
          </cell>
          <cell r="E210" t="str">
            <v>NO</v>
          </cell>
          <cell r="F210" t="str">
            <v>NA</v>
          </cell>
          <cell r="G210" t="str">
            <v>NA</v>
          </cell>
          <cell r="H210" t="str">
            <v>NA</v>
          </cell>
          <cell r="I210" t="str">
            <v>NA</v>
          </cell>
          <cell r="J210" t="str">
            <v>NA</v>
          </cell>
          <cell r="K210" t="str">
            <v>NA</v>
          </cell>
          <cell r="L210" t="str">
            <v>NA</v>
          </cell>
          <cell r="M210" t="str">
            <v>NA</v>
          </cell>
          <cell r="N210" t="str">
            <v>NA</v>
          </cell>
          <cell r="O210" t="str">
            <v>NA</v>
          </cell>
          <cell r="P210" t="str">
            <v>NA</v>
          </cell>
          <cell r="Q210" t="str">
            <v>NA</v>
          </cell>
          <cell r="R210" t="str">
            <v>NA</v>
          </cell>
          <cell r="S210" t="str">
            <v>NA</v>
          </cell>
          <cell r="T210" t="str">
            <v>NA</v>
          </cell>
          <cell r="U210" t="str">
            <v>NA</v>
          </cell>
          <cell r="V210" t="str">
            <v>NA</v>
          </cell>
          <cell r="W210" t="str">
            <v>NA</v>
          </cell>
          <cell r="X210" t="str">
            <v>NA</v>
          </cell>
          <cell r="Y210" t="str">
            <v>NA</v>
          </cell>
          <cell r="Z210" t="str">
            <v>NA</v>
          </cell>
          <cell r="AA210" t="str">
            <v>NA</v>
          </cell>
          <cell r="AB210" t="str">
            <v>NA</v>
          </cell>
        </row>
        <row r="211">
          <cell r="A211" t="str">
            <v>Margaritopsis astrellantha</v>
          </cell>
          <cell r="B211" t="str">
            <v>Rubiaceae</v>
          </cell>
          <cell r="D211" t="str">
            <v>NA</v>
          </cell>
          <cell r="E211" t="str">
            <v>NO</v>
          </cell>
          <cell r="F211" t="str">
            <v>NA</v>
          </cell>
          <cell r="G211" t="str">
            <v>NA</v>
          </cell>
          <cell r="H211" t="str">
            <v>NA</v>
          </cell>
          <cell r="I211" t="str">
            <v>NA</v>
          </cell>
          <cell r="J211" t="str">
            <v>NA</v>
          </cell>
          <cell r="K211" t="str">
            <v>NA</v>
          </cell>
          <cell r="L211" t="str">
            <v>NA</v>
          </cell>
          <cell r="M211" t="str">
            <v>NA</v>
          </cell>
          <cell r="N211" t="str">
            <v>NA</v>
          </cell>
          <cell r="O211" t="str">
            <v>NA</v>
          </cell>
          <cell r="P211" t="str">
            <v>NA</v>
          </cell>
          <cell r="Q211" t="str">
            <v>NA</v>
          </cell>
          <cell r="R211" t="str">
            <v>NA</v>
          </cell>
          <cell r="S211" t="str">
            <v>NA</v>
          </cell>
          <cell r="T211" t="str">
            <v>NA</v>
          </cell>
          <cell r="U211" t="str">
            <v>NA</v>
          </cell>
          <cell r="V211" t="str">
            <v>NA</v>
          </cell>
          <cell r="W211" t="str">
            <v>NA</v>
          </cell>
          <cell r="X211" t="str">
            <v>NA</v>
          </cell>
          <cell r="Y211" t="str">
            <v>NA</v>
          </cell>
          <cell r="Z211" t="str">
            <v>NA</v>
          </cell>
          <cell r="AA211" t="str">
            <v>NA</v>
          </cell>
          <cell r="AB211" t="str">
            <v>NA</v>
          </cell>
        </row>
        <row r="212">
          <cell r="A212" t="str">
            <v>Marlierea obscura</v>
          </cell>
          <cell r="B212" t="str">
            <v>Myrtaceae</v>
          </cell>
          <cell r="D212" t="str">
            <v>black</v>
          </cell>
          <cell r="E212" t="str">
            <v>NO</v>
          </cell>
          <cell r="F212" t="str">
            <v>NA</v>
          </cell>
          <cell r="G212" t="str">
            <v>NA</v>
          </cell>
          <cell r="H212" t="str">
            <v>NA</v>
          </cell>
          <cell r="I212" t="str">
            <v>NA</v>
          </cell>
          <cell r="J212" t="str">
            <v>NA</v>
          </cell>
          <cell r="K212" t="str">
            <v>NA</v>
          </cell>
          <cell r="L212" t="str">
            <v>NA</v>
          </cell>
          <cell r="M212" t="str">
            <v>NA</v>
          </cell>
          <cell r="N212" t="str">
            <v>NA</v>
          </cell>
          <cell r="O212" t="str">
            <v>NA</v>
          </cell>
          <cell r="P212" t="str">
            <v>NA</v>
          </cell>
          <cell r="Q212" t="str">
            <v>NA</v>
          </cell>
          <cell r="R212" t="str">
            <v>NA</v>
          </cell>
          <cell r="S212" t="str">
            <v>NA</v>
          </cell>
          <cell r="T212" t="str">
            <v>NA</v>
          </cell>
          <cell r="U212" t="str">
            <v>NA</v>
          </cell>
          <cell r="V212" t="str">
            <v>NA</v>
          </cell>
          <cell r="W212" t="str">
            <v>NA</v>
          </cell>
          <cell r="X212" t="str">
            <v>NA</v>
          </cell>
          <cell r="Y212" t="str">
            <v>NA</v>
          </cell>
          <cell r="Z212" t="str">
            <v>NA</v>
          </cell>
          <cell r="AA212" t="str">
            <v>NA</v>
          </cell>
          <cell r="AB212" t="str">
            <v>NA</v>
          </cell>
        </row>
        <row r="213">
          <cell r="A213" t="str">
            <v>Marlierea reitzii</v>
          </cell>
          <cell r="B213" t="str">
            <v>Myrtaceae</v>
          </cell>
          <cell r="D213" t="str">
            <v>black</v>
          </cell>
          <cell r="E213" t="str">
            <v>NO</v>
          </cell>
          <cell r="F213" t="str">
            <v>NA</v>
          </cell>
          <cell r="G213" t="str">
            <v>NA</v>
          </cell>
          <cell r="H213" t="str">
            <v>NA</v>
          </cell>
          <cell r="I213" t="str">
            <v>NA</v>
          </cell>
          <cell r="J213" t="str">
            <v>NA</v>
          </cell>
          <cell r="K213" t="str">
            <v>NA</v>
          </cell>
          <cell r="L213" t="str">
            <v>NA</v>
          </cell>
          <cell r="M213" t="str">
            <v>NA</v>
          </cell>
          <cell r="N213" t="str">
            <v>NA</v>
          </cell>
          <cell r="O213" t="str">
            <v>NA</v>
          </cell>
          <cell r="P213" t="str">
            <v>NA</v>
          </cell>
          <cell r="Q213" t="str">
            <v>NA</v>
          </cell>
          <cell r="R213" t="str">
            <v>NA</v>
          </cell>
          <cell r="S213" t="str">
            <v>NA</v>
          </cell>
          <cell r="T213" t="str">
            <v>NA</v>
          </cell>
          <cell r="U213" t="str">
            <v>NA</v>
          </cell>
          <cell r="V213" t="str">
            <v>NA</v>
          </cell>
          <cell r="W213" t="str">
            <v>NA</v>
          </cell>
          <cell r="X213" t="str">
            <v>NA</v>
          </cell>
          <cell r="Y213" t="str">
            <v>NA</v>
          </cell>
          <cell r="Z213" t="str">
            <v>NA</v>
          </cell>
          <cell r="AA213" t="str">
            <v>NA</v>
          </cell>
          <cell r="AB213" t="str">
            <v>NA</v>
          </cell>
        </row>
        <row r="214">
          <cell r="A214" t="str">
            <v>Marlierea tomentosa</v>
          </cell>
          <cell r="B214" t="str">
            <v>Myrtaceae</v>
          </cell>
          <cell r="D214" t="str">
            <v>black</v>
          </cell>
          <cell r="E214" t="str">
            <v>NO</v>
          </cell>
          <cell r="F214" t="str">
            <v>NA</v>
          </cell>
          <cell r="G214" t="str">
            <v>NA</v>
          </cell>
          <cell r="H214" t="str">
            <v>NA</v>
          </cell>
          <cell r="I214" t="str">
            <v>NA</v>
          </cell>
          <cell r="J214" t="str">
            <v>NA</v>
          </cell>
          <cell r="K214" t="str">
            <v>NA</v>
          </cell>
          <cell r="L214" t="str">
            <v>NA</v>
          </cell>
          <cell r="M214" t="str">
            <v>NA</v>
          </cell>
          <cell r="N214" t="str">
            <v>NA</v>
          </cell>
          <cell r="O214" t="str">
            <v>NA</v>
          </cell>
          <cell r="P214" t="str">
            <v>NA</v>
          </cell>
          <cell r="Q214" t="str">
            <v>NA</v>
          </cell>
          <cell r="R214" t="str">
            <v>NA</v>
          </cell>
          <cell r="S214" t="str">
            <v>NA</v>
          </cell>
          <cell r="T214" t="str">
            <v>NA</v>
          </cell>
          <cell r="U214" t="str">
            <v>NA</v>
          </cell>
          <cell r="V214" t="str">
            <v>NA</v>
          </cell>
          <cell r="W214" t="str">
            <v>NA</v>
          </cell>
          <cell r="X214" t="str">
            <v>NA</v>
          </cell>
          <cell r="Y214" t="str">
            <v>NA</v>
          </cell>
          <cell r="Z214" t="str">
            <v>NA</v>
          </cell>
          <cell r="AA214" t="str">
            <v>NA</v>
          </cell>
          <cell r="AB214" t="str">
            <v>NA</v>
          </cell>
        </row>
        <row r="215">
          <cell r="A215" t="str">
            <v>Maytenus aquifolia</v>
          </cell>
          <cell r="B215" t="str">
            <v>Celastraceae</v>
          </cell>
          <cell r="D215" t="str">
            <v>white</v>
          </cell>
          <cell r="E215" t="str">
            <v>NO</v>
          </cell>
          <cell r="F215" t="str">
            <v>NA</v>
          </cell>
          <cell r="G215" t="str">
            <v>NA</v>
          </cell>
          <cell r="H215" t="str">
            <v>NA</v>
          </cell>
          <cell r="I215" t="str">
            <v>NA</v>
          </cell>
          <cell r="J215" t="str">
            <v>NA</v>
          </cell>
          <cell r="K215" t="str">
            <v>NA</v>
          </cell>
          <cell r="L215" t="str">
            <v>NA</v>
          </cell>
          <cell r="M215" t="str">
            <v>NA</v>
          </cell>
          <cell r="N215" t="str">
            <v>NA</v>
          </cell>
          <cell r="O215" t="str">
            <v>NA</v>
          </cell>
          <cell r="P215" t="str">
            <v>NA</v>
          </cell>
          <cell r="Q215" t="str">
            <v>NA</v>
          </cell>
          <cell r="R215" t="str">
            <v>NA</v>
          </cell>
          <cell r="S215" t="str">
            <v>NA</v>
          </cell>
          <cell r="T215" t="str">
            <v>NA</v>
          </cell>
          <cell r="U215" t="str">
            <v>NA</v>
          </cell>
          <cell r="V215" t="str">
            <v>NA</v>
          </cell>
          <cell r="W215" t="str">
            <v>NA</v>
          </cell>
          <cell r="X215" t="str">
            <v>NA</v>
          </cell>
          <cell r="Y215" t="str">
            <v>NA</v>
          </cell>
          <cell r="Z215" t="str">
            <v>NA</v>
          </cell>
          <cell r="AA215" t="str">
            <v>NA</v>
          </cell>
          <cell r="AB215" t="str">
            <v>NA</v>
          </cell>
        </row>
        <row r="216">
          <cell r="A216" t="str">
            <v>Maytenus brasiliensis</v>
          </cell>
          <cell r="B216" t="str">
            <v>Celastraceae</v>
          </cell>
          <cell r="D216" t="str">
            <v>white</v>
          </cell>
          <cell r="E216" t="str">
            <v>NO</v>
          </cell>
          <cell r="F216" t="str">
            <v>NA</v>
          </cell>
          <cell r="G216" t="str">
            <v>NA</v>
          </cell>
          <cell r="H216" t="str">
            <v>NA</v>
          </cell>
          <cell r="I216" t="str">
            <v>NA</v>
          </cell>
          <cell r="J216" t="str">
            <v>NA</v>
          </cell>
          <cell r="K216" t="str">
            <v>NA</v>
          </cell>
          <cell r="L216" t="str">
            <v>NA</v>
          </cell>
          <cell r="M216" t="str">
            <v>NA</v>
          </cell>
          <cell r="N216" t="str">
            <v>NA</v>
          </cell>
          <cell r="O216" t="str">
            <v>NA</v>
          </cell>
          <cell r="P216" t="str">
            <v>NA</v>
          </cell>
          <cell r="Q216" t="str">
            <v>NA</v>
          </cell>
          <cell r="R216" t="str">
            <v>NA</v>
          </cell>
          <cell r="S216" t="str">
            <v>NA</v>
          </cell>
          <cell r="T216" t="str">
            <v>NA</v>
          </cell>
          <cell r="U216" t="str">
            <v>NA</v>
          </cell>
          <cell r="V216" t="str">
            <v>NA</v>
          </cell>
          <cell r="W216" t="str">
            <v>NA</v>
          </cell>
          <cell r="X216" t="str">
            <v>NA</v>
          </cell>
          <cell r="Y216" t="str">
            <v>NA</v>
          </cell>
          <cell r="Z216" t="str">
            <v>NA</v>
          </cell>
          <cell r="AA216" t="str">
            <v>NA</v>
          </cell>
          <cell r="AB216" t="str">
            <v>NA</v>
          </cell>
        </row>
        <row r="217">
          <cell r="A217" t="str">
            <v>Maytenus gonoclada</v>
          </cell>
          <cell r="B217" t="str">
            <v>Celastraceae</v>
          </cell>
          <cell r="D217" t="str">
            <v>white</v>
          </cell>
          <cell r="E217" t="str">
            <v>NO</v>
          </cell>
          <cell r="F217" t="str">
            <v>NA</v>
          </cell>
          <cell r="G217" t="str">
            <v>NA</v>
          </cell>
          <cell r="H217" t="str">
            <v>NA</v>
          </cell>
          <cell r="I217" t="str">
            <v>NA</v>
          </cell>
          <cell r="J217" t="str">
            <v>NA</v>
          </cell>
          <cell r="K217" t="str">
            <v>NA</v>
          </cell>
          <cell r="L217" t="str">
            <v>NA</v>
          </cell>
          <cell r="M217" t="str">
            <v>NA</v>
          </cell>
          <cell r="N217" t="str">
            <v>NA</v>
          </cell>
          <cell r="O217" t="str">
            <v>NA</v>
          </cell>
          <cell r="P217" t="str">
            <v>NA</v>
          </cell>
          <cell r="Q217" t="str">
            <v>NA</v>
          </cell>
          <cell r="R217" t="str">
            <v>NA</v>
          </cell>
          <cell r="S217" t="str">
            <v>NA</v>
          </cell>
          <cell r="T217" t="str">
            <v>NA</v>
          </cell>
          <cell r="U217" t="str">
            <v>NA</v>
          </cell>
          <cell r="V217" t="str">
            <v>NA</v>
          </cell>
          <cell r="W217" t="str">
            <v>NA</v>
          </cell>
          <cell r="X217" t="str">
            <v>NA</v>
          </cell>
          <cell r="Y217" t="str">
            <v>NA</v>
          </cell>
          <cell r="Z217" t="str">
            <v>NA</v>
          </cell>
          <cell r="AA217" t="str">
            <v>NA</v>
          </cell>
          <cell r="AB217" t="str">
            <v>NA</v>
          </cell>
        </row>
        <row r="218">
          <cell r="A218" t="str">
            <v>Maytenus littoralis</v>
          </cell>
          <cell r="B218" t="str">
            <v>Celastraceae</v>
          </cell>
          <cell r="D218" t="str">
            <v>white</v>
          </cell>
          <cell r="E218" t="str">
            <v>NO</v>
          </cell>
          <cell r="F218" t="str">
            <v>NA</v>
          </cell>
          <cell r="G218" t="str">
            <v>NA</v>
          </cell>
          <cell r="H218" t="str">
            <v>NA</v>
          </cell>
          <cell r="I218" t="str">
            <v>NA</v>
          </cell>
          <cell r="J218" t="str">
            <v>NA</v>
          </cell>
          <cell r="K218" t="str">
            <v>NA</v>
          </cell>
          <cell r="L218" t="str">
            <v>NA</v>
          </cell>
          <cell r="M218" t="str">
            <v>NA</v>
          </cell>
          <cell r="N218" t="str">
            <v>NA</v>
          </cell>
          <cell r="O218" t="str">
            <v>NA</v>
          </cell>
          <cell r="P218" t="str">
            <v>NA</v>
          </cell>
          <cell r="Q218" t="str">
            <v>NA</v>
          </cell>
          <cell r="R218" t="str">
            <v>NA</v>
          </cell>
          <cell r="S218" t="str">
            <v>NA</v>
          </cell>
          <cell r="T218" t="str">
            <v>NA</v>
          </cell>
          <cell r="U218" t="str">
            <v>NA</v>
          </cell>
          <cell r="V218" t="str">
            <v>NA</v>
          </cell>
          <cell r="W218" t="str">
            <v>NA</v>
          </cell>
          <cell r="X218" t="str">
            <v>NA</v>
          </cell>
          <cell r="Y218" t="str">
            <v>NA</v>
          </cell>
          <cell r="Z218" t="str">
            <v>NA</v>
          </cell>
          <cell r="AA218" t="str">
            <v>NA</v>
          </cell>
          <cell r="AB218" t="str">
            <v>NA</v>
          </cell>
        </row>
        <row r="219">
          <cell r="A219" t="str">
            <v>Meliosma sellowii</v>
          </cell>
          <cell r="B219" t="str">
            <v>Sabiaceae</v>
          </cell>
          <cell r="D219" t="str">
            <v>green</v>
          </cell>
          <cell r="E219" t="str">
            <v>NO</v>
          </cell>
          <cell r="F219" t="str">
            <v>NA</v>
          </cell>
          <cell r="G219" t="str">
            <v>NA</v>
          </cell>
          <cell r="H219" t="str">
            <v>NA</v>
          </cell>
          <cell r="I219" t="str">
            <v>NA</v>
          </cell>
          <cell r="J219" t="str">
            <v>NA</v>
          </cell>
          <cell r="K219" t="str">
            <v>NA</v>
          </cell>
          <cell r="L219" t="str">
            <v>NA</v>
          </cell>
          <cell r="M219" t="str">
            <v>NA</v>
          </cell>
          <cell r="N219" t="str">
            <v>NA</v>
          </cell>
          <cell r="O219" t="str">
            <v>NA</v>
          </cell>
          <cell r="P219" t="str">
            <v>NA</v>
          </cell>
          <cell r="Q219" t="str">
            <v>NA</v>
          </cell>
          <cell r="R219" t="str">
            <v>NA</v>
          </cell>
          <cell r="S219" t="str">
            <v>NA</v>
          </cell>
          <cell r="T219" t="str">
            <v>NA</v>
          </cell>
          <cell r="U219" t="str">
            <v>NA</v>
          </cell>
          <cell r="V219" t="str">
            <v>NA</v>
          </cell>
          <cell r="W219" t="str">
            <v>NA</v>
          </cell>
          <cell r="X219" t="str">
            <v>NA</v>
          </cell>
          <cell r="Y219" t="str">
            <v>NA</v>
          </cell>
          <cell r="Z219" t="str">
            <v>NA</v>
          </cell>
          <cell r="AA219" t="str">
            <v>NA</v>
          </cell>
          <cell r="AB219" t="str">
            <v>NA</v>
          </cell>
        </row>
        <row r="220">
          <cell r="A220" t="str">
            <v>Miconia budlejoides</v>
          </cell>
          <cell r="B220" t="str">
            <v>Melastomataceae</v>
          </cell>
          <cell r="D220" t="str">
            <v>black</v>
          </cell>
          <cell r="E220" t="str">
            <v>NO</v>
          </cell>
          <cell r="F220" t="str">
            <v>NA</v>
          </cell>
          <cell r="G220" t="str">
            <v>NA</v>
          </cell>
          <cell r="H220" t="str">
            <v>NA</v>
          </cell>
          <cell r="I220" t="str">
            <v>NA</v>
          </cell>
          <cell r="J220" t="str">
            <v>NA</v>
          </cell>
          <cell r="K220" t="str">
            <v>NA</v>
          </cell>
          <cell r="L220" t="str">
            <v>NA</v>
          </cell>
          <cell r="M220" t="str">
            <v>NA</v>
          </cell>
          <cell r="N220" t="str">
            <v>NA</v>
          </cell>
          <cell r="O220" t="str">
            <v>NA</v>
          </cell>
          <cell r="P220" t="str">
            <v>NA</v>
          </cell>
          <cell r="Q220" t="str">
            <v>NA</v>
          </cell>
          <cell r="R220" t="str">
            <v>NA</v>
          </cell>
          <cell r="S220" t="str">
            <v>NA</v>
          </cell>
          <cell r="T220" t="str">
            <v>NA</v>
          </cell>
          <cell r="U220" t="str">
            <v>NA</v>
          </cell>
          <cell r="V220" t="str">
            <v>NA</v>
          </cell>
          <cell r="W220" t="str">
            <v>NA</v>
          </cell>
          <cell r="X220" t="str">
            <v>NA</v>
          </cell>
          <cell r="Y220" t="str">
            <v>NA</v>
          </cell>
          <cell r="Z220" t="str">
            <v>NA</v>
          </cell>
          <cell r="AA220" t="str">
            <v>NA</v>
          </cell>
          <cell r="AB220" t="str">
            <v>NA</v>
          </cell>
        </row>
        <row r="221">
          <cell r="A221" t="str">
            <v>Miconia budlejoides</v>
          </cell>
          <cell r="B221" t="str">
            <v>Melastomataceae</v>
          </cell>
          <cell r="D221" t="str">
            <v>black</v>
          </cell>
          <cell r="E221" t="str">
            <v>NO</v>
          </cell>
          <cell r="F221" t="str">
            <v>NA</v>
          </cell>
          <cell r="G221" t="str">
            <v>NA</v>
          </cell>
          <cell r="H221" t="str">
            <v>NA</v>
          </cell>
          <cell r="I221" t="str">
            <v>NA</v>
          </cell>
          <cell r="J221" t="str">
            <v>NA</v>
          </cell>
          <cell r="K221" t="str">
            <v>NA</v>
          </cell>
          <cell r="L221" t="str">
            <v>NA</v>
          </cell>
          <cell r="M221" t="str">
            <v>NA</v>
          </cell>
          <cell r="N221" t="str">
            <v>NA</v>
          </cell>
          <cell r="O221" t="str">
            <v>NA</v>
          </cell>
          <cell r="P221" t="str">
            <v>NA</v>
          </cell>
          <cell r="Q221" t="str">
            <v>NA</v>
          </cell>
          <cell r="R221" t="str">
            <v>NA</v>
          </cell>
          <cell r="S221" t="str">
            <v>NA</v>
          </cell>
          <cell r="T221" t="str">
            <v>NA</v>
          </cell>
          <cell r="U221" t="str">
            <v>NA</v>
          </cell>
          <cell r="V221" t="str">
            <v>NA</v>
          </cell>
          <cell r="W221" t="str">
            <v>NA</v>
          </cell>
          <cell r="X221" t="str">
            <v>NA</v>
          </cell>
          <cell r="Y221" t="str">
            <v>NA</v>
          </cell>
          <cell r="Z221" t="str">
            <v>NA</v>
          </cell>
          <cell r="AA221" t="str">
            <v>NA</v>
          </cell>
          <cell r="AB221" t="str">
            <v>NA</v>
          </cell>
        </row>
        <row r="222">
          <cell r="A222" t="str">
            <v>Miconia cabucu</v>
          </cell>
          <cell r="B222" t="str">
            <v>Melastomataceae</v>
          </cell>
          <cell r="D222" t="str">
            <v>black</v>
          </cell>
          <cell r="E222" t="str">
            <v>NO</v>
          </cell>
          <cell r="F222" t="str">
            <v>NA</v>
          </cell>
          <cell r="G222" t="str">
            <v>NA</v>
          </cell>
          <cell r="H222" t="str">
            <v>NA</v>
          </cell>
          <cell r="I222" t="str">
            <v>NA</v>
          </cell>
          <cell r="J222" t="str">
            <v>NA</v>
          </cell>
          <cell r="K222" t="str">
            <v>NA</v>
          </cell>
          <cell r="L222" t="str">
            <v>NA</v>
          </cell>
          <cell r="M222" t="str">
            <v>NA</v>
          </cell>
          <cell r="N222" t="str">
            <v>NA</v>
          </cell>
          <cell r="O222" t="str">
            <v>NA</v>
          </cell>
          <cell r="P222" t="str">
            <v>NA</v>
          </cell>
          <cell r="Q222" t="str">
            <v>NA</v>
          </cell>
          <cell r="R222" t="str">
            <v>NA</v>
          </cell>
          <cell r="S222" t="str">
            <v>NA</v>
          </cell>
          <cell r="T222" t="str">
            <v>NA</v>
          </cell>
          <cell r="U222" t="str">
            <v>NA</v>
          </cell>
          <cell r="V222" t="str">
            <v>NA</v>
          </cell>
          <cell r="W222" t="str">
            <v>NA</v>
          </cell>
          <cell r="X222" t="str">
            <v>NA</v>
          </cell>
          <cell r="Y222" t="str">
            <v>NA</v>
          </cell>
          <cell r="Z222" t="str">
            <v>NA</v>
          </cell>
          <cell r="AA222" t="str">
            <v>NA</v>
          </cell>
          <cell r="AB222" t="str">
            <v>NA</v>
          </cell>
        </row>
        <row r="223">
          <cell r="A223" t="str">
            <v>Miconia cubatanensis</v>
          </cell>
          <cell r="B223" t="str">
            <v>Melastomataceae</v>
          </cell>
          <cell r="D223" t="str">
            <v>black</v>
          </cell>
          <cell r="E223" t="str">
            <v>NO</v>
          </cell>
          <cell r="F223" t="str">
            <v>NA</v>
          </cell>
          <cell r="G223" t="str">
            <v>NA</v>
          </cell>
          <cell r="H223" t="str">
            <v>NA</v>
          </cell>
          <cell r="I223" t="str">
            <v>NA</v>
          </cell>
          <cell r="J223" t="str">
            <v>NA</v>
          </cell>
          <cell r="K223" t="str">
            <v>NA</v>
          </cell>
          <cell r="L223" t="str">
            <v>NA</v>
          </cell>
          <cell r="M223" t="str">
            <v>NA</v>
          </cell>
          <cell r="N223" t="str">
            <v>NA</v>
          </cell>
          <cell r="O223" t="str">
            <v>NA</v>
          </cell>
          <cell r="P223" t="str">
            <v>NA</v>
          </cell>
          <cell r="Q223" t="str">
            <v>NA</v>
          </cell>
          <cell r="R223" t="str">
            <v>NA</v>
          </cell>
          <cell r="S223" t="str">
            <v>NA</v>
          </cell>
          <cell r="T223" t="str">
            <v>NA</v>
          </cell>
          <cell r="U223" t="str">
            <v>NA</v>
          </cell>
          <cell r="V223" t="str">
            <v>NA</v>
          </cell>
          <cell r="W223" t="str">
            <v>NA</v>
          </cell>
          <cell r="X223" t="str">
            <v>NA</v>
          </cell>
          <cell r="Y223" t="str">
            <v>NA</v>
          </cell>
          <cell r="Z223" t="str">
            <v>NA</v>
          </cell>
          <cell r="AA223" t="str">
            <v>NA</v>
          </cell>
          <cell r="AB223" t="str">
            <v>NA</v>
          </cell>
        </row>
        <row r="224">
          <cell r="A224" t="str">
            <v>Miconia discolor</v>
          </cell>
          <cell r="B224" t="str">
            <v>Melastomataceae</v>
          </cell>
          <cell r="D224" t="str">
            <v>black</v>
          </cell>
          <cell r="E224" t="str">
            <v>NO</v>
          </cell>
          <cell r="F224" t="str">
            <v>NA</v>
          </cell>
          <cell r="G224" t="str">
            <v>NA</v>
          </cell>
          <cell r="H224" t="str">
            <v>NA</v>
          </cell>
          <cell r="I224" t="str">
            <v>NA</v>
          </cell>
          <cell r="J224" t="str">
            <v>NA</v>
          </cell>
          <cell r="K224" t="str">
            <v>NA</v>
          </cell>
          <cell r="L224" t="str">
            <v>NA</v>
          </cell>
          <cell r="M224" t="str">
            <v>NA</v>
          </cell>
          <cell r="N224" t="str">
            <v>NA</v>
          </cell>
          <cell r="O224" t="str">
            <v>NA</v>
          </cell>
          <cell r="P224" t="str">
            <v>NA</v>
          </cell>
          <cell r="Q224" t="str">
            <v>NA</v>
          </cell>
          <cell r="R224" t="str">
            <v>NA</v>
          </cell>
          <cell r="S224" t="str">
            <v>NA</v>
          </cell>
          <cell r="T224" t="str">
            <v>NA</v>
          </cell>
          <cell r="U224" t="str">
            <v>NA</v>
          </cell>
          <cell r="V224" t="str">
            <v>NA</v>
          </cell>
          <cell r="W224" t="str">
            <v>NA</v>
          </cell>
          <cell r="X224" t="str">
            <v>NA</v>
          </cell>
          <cell r="Y224" t="str">
            <v>NA</v>
          </cell>
          <cell r="Z224" t="str">
            <v>NA</v>
          </cell>
          <cell r="AA224" t="str">
            <v>NA</v>
          </cell>
          <cell r="AB224" t="str">
            <v>NA</v>
          </cell>
        </row>
        <row r="225">
          <cell r="A225" t="str">
            <v>Miconia elegans</v>
          </cell>
          <cell r="B225" t="str">
            <v>Melastomataceae</v>
          </cell>
          <cell r="D225" t="str">
            <v>black</v>
          </cell>
          <cell r="E225" t="str">
            <v>NO</v>
          </cell>
          <cell r="F225" t="str">
            <v>NA</v>
          </cell>
          <cell r="G225" t="str">
            <v>NA</v>
          </cell>
          <cell r="H225" t="str">
            <v>NA</v>
          </cell>
          <cell r="I225" t="str">
            <v>NA</v>
          </cell>
          <cell r="J225" t="str">
            <v>NA</v>
          </cell>
          <cell r="K225" t="str">
            <v>NA</v>
          </cell>
          <cell r="L225" t="str">
            <v>NA</v>
          </cell>
          <cell r="M225" t="str">
            <v>NA</v>
          </cell>
          <cell r="N225" t="str">
            <v>NA</v>
          </cell>
          <cell r="O225" t="str">
            <v>NA</v>
          </cell>
          <cell r="P225" t="str">
            <v>NA</v>
          </cell>
          <cell r="Q225" t="str">
            <v>NA</v>
          </cell>
          <cell r="R225" t="str">
            <v>NA</v>
          </cell>
          <cell r="S225" t="str">
            <v>NA</v>
          </cell>
          <cell r="T225" t="str">
            <v>NA</v>
          </cell>
          <cell r="U225" t="str">
            <v>NA</v>
          </cell>
          <cell r="V225" t="str">
            <v>NA</v>
          </cell>
          <cell r="W225" t="str">
            <v>NA</v>
          </cell>
          <cell r="X225" t="str">
            <v>NA</v>
          </cell>
          <cell r="Y225" t="str">
            <v>NA</v>
          </cell>
          <cell r="Z225" t="str">
            <v>NA</v>
          </cell>
          <cell r="AA225" t="str">
            <v>NA</v>
          </cell>
          <cell r="AB225" t="str">
            <v>NA</v>
          </cell>
        </row>
        <row r="226">
          <cell r="A226" t="str">
            <v>Miconia inconspicua</v>
          </cell>
          <cell r="B226" t="str">
            <v>Melastomataceae</v>
          </cell>
          <cell r="D226" t="str">
            <v>black</v>
          </cell>
          <cell r="E226" t="str">
            <v>NO</v>
          </cell>
          <cell r="F226" t="str">
            <v>NA</v>
          </cell>
          <cell r="G226" t="str">
            <v>NA</v>
          </cell>
          <cell r="H226" t="str">
            <v>NA</v>
          </cell>
          <cell r="I226" t="str">
            <v>NA</v>
          </cell>
          <cell r="J226" t="str">
            <v>NA</v>
          </cell>
          <cell r="K226" t="str">
            <v>NA</v>
          </cell>
          <cell r="L226" t="str">
            <v>NA</v>
          </cell>
          <cell r="M226" t="str">
            <v>NA</v>
          </cell>
          <cell r="N226" t="str">
            <v>NA</v>
          </cell>
          <cell r="O226" t="str">
            <v>NA</v>
          </cell>
          <cell r="P226" t="str">
            <v>NA</v>
          </cell>
          <cell r="Q226" t="str">
            <v>NA</v>
          </cell>
          <cell r="R226" t="str">
            <v>NA</v>
          </cell>
          <cell r="S226" t="str">
            <v>NA</v>
          </cell>
          <cell r="T226" t="str">
            <v>NA</v>
          </cell>
          <cell r="U226" t="str">
            <v>NA</v>
          </cell>
          <cell r="V226" t="str">
            <v>NA</v>
          </cell>
          <cell r="W226" t="str">
            <v>NA</v>
          </cell>
          <cell r="X226" t="str">
            <v>NA</v>
          </cell>
          <cell r="Y226" t="str">
            <v>NA</v>
          </cell>
          <cell r="Z226" t="str">
            <v>NA</v>
          </cell>
          <cell r="AA226" t="str">
            <v>NA</v>
          </cell>
          <cell r="AB226" t="str">
            <v>NA</v>
          </cell>
        </row>
        <row r="227">
          <cell r="A227" t="str">
            <v>Miconia latecrenata</v>
          </cell>
          <cell r="B227" t="str">
            <v>Melastomataceae</v>
          </cell>
          <cell r="D227" t="str">
            <v>black</v>
          </cell>
          <cell r="E227" t="str">
            <v>NO</v>
          </cell>
          <cell r="F227" t="str">
            <v>NA</v>
          </cell>
          <cell r="G227" t="str">
            <v>NA</v>
          </cell>
          <cell r="H227" t="str">
            <v>NA</v>
          </cell>
          <cell r="I227" t="str">
            <v>NA</v>
          </cell>
          <cell r="J227" t="str">
            <v>NA</v>
          </cell>
          <cell r="K227" t="str">
            <v>NA</v>
          </cell>
          <cell r="L227" t="str">
            <v>NA</v>
          </cell>
          <cell r="M227" t="str">
            <v>NA</v>
          </cell>
          <cell r="N227" t="str">
            <v>NA</v>
          </cell>
          <cell r="O227" t="str">
            <v>NA</v>
          </cell>
          <cell r="P227" t="str">
            <v>NA</v>
          </cell>
          <cell r="Q227" t="str">
            <v>NA</v>
          </cell>
          <cell r="R227" t="str">
            <v>NA</v>
          </cell>
          <cell r="S227" t="str">
            <v>NA</v>
          </cell>
          <cell r="T227" t="str">
            <v>NA</v>
          </cell>
          <cell r="U227" t="str">
            <v>NA</v>
          </cell>
          <cell r="V227" t="str">
            <v>NA</v>
          </cell>
          <cell r="W227" t="str">
            <v>NA</v>
          </cell>
          <cell r="X227" t="str">
            <v>NA</v>
          </cell>
          <cell r="Y227" t="str">
            <v>NA</v>
          </cell>
          <cell r="Z227" t="str">
            <v>NA</v>
          </cell>
          <cell r="AA227" t="str">
            <v>NA</v>
          </cell>
          <cell r="AB227" t="str">
            <v>NA</v>
          </cell>
        </row>
        <row r="228">
          <cell r="A228" t="str">
            <v>Miconia racemifera</v>
          </cell>
          <cell r="B228" t="str">
            <v>Melastomataceae</v>
          </cell>
          <cell r="D228" t="str">
            <v>black</v>
          </cell>
          <cell r="E228" t="str">
            <v>NO</v>
          </cell>
          <cell r="F228" t="str">
            <v>NA</v>
          </cell>
          <cell r="G228" t="str">
            <v>NA</v>
          </cell>
          <cell r="H228" t="str">
            <v>NA</v>
          </cell>
          <cell r="I228" t="str">
            <v>NA</v>
          </cell>
          <cell r="J228" t="str">
            <v>NA</v>
          </cell>
          <cell r="K228" t="str">
            <v>NA</v>
          </cell>
          <cell r="L228" t="str">
            <v>NA</v>
          </cell>
          <cell r="M228" t="str">
            <v>NA</v>
          </cell>
          <cell r="N228" t="str">
            <v>NA</v>
          </cell>
          <cell r="O228" t="str">
            <v>NA</v>
          </cell>
          <cell r="P228" t="str">
            <v>NA</v>
          </cell>
          <cell r="Q228" t="str">
            <v>NA</v>
          </cell>
          <cell r="R228" t="str">
            <v>NA</v>
          </cell>
          <cell r="S228" t="str">
            <v>NA</v>
          </cell>
          <cell r="T228" t="str">
            <v>NA</v>
          </cell>
          <cell r="U228" t="str">
            <v>NA</v>
          </cell>
          <cell r="V228" t="str">
            <v>NA</v>
          </cell>
          <cell r="W228" t="str">
            <v>NA</v>
          </cell>
          <cell r="X228" t="str">
            <v>NA</v>
          </cell>
          <cell r="Y228" t="str">
            <v>NA</v>
          </cell>
          <cell r="Z228" t="str">
            <v>NA</v>
          </cell>
          <cell r="AA228" t="str">
            <v>NA</v>
          </cell>
          <cell r="AB228" t="str">
            <v>NA</v>
          </cell>
        </row>
        <row r="229">
          <cell r="A229" t="str">
            <v>Miconia theizans</v>
          </cell>
          <cell r="B229" t="str">
            <v>Melastomataceae</v>
          </cell>
          <cell r="D229" t="str">
            <v>black</v>
          </cell>
          <cell r="E229" t="str">
            <v>NO</v>
          </cell>
          <cell r="F229" t="str">
            <v>NA</v>
          </cell>
          <cell r="G229" t="str">
            <v>NA</v>
          </cell>
          <cell r="H229" t="str">
            <v>NA</v>
          </cell>
          <cell r="I229" t="str">
            <v>NA</v>
          </cell>
          <cell r="J229" t="str">
            <v>NA</v>
          </cell>
          <cell r="K229" t="str">
            <v>NA</v>
          </cell>
          <cell r="L229" t="str">
            <v>NA</v>
          </cell>
          <cell r="M229" t="str">
            <v>NA</v>
          </cell>
          <cell r="N229" t="str">
            <v>NA</v>
          </cell>
          <cell r="O229" t="str">
            <v>NA</v>
          </cell>
          <cell r="P229" t="str">
            <v>NA</v>
          </cell>
          <cell r="Q229" t="str">
            <v>NA</v>
          </cell>
          <cell r="R229" t="str">
            <v>NA</v>
          </cell>
          <cell r="S229" t="str">
            <v>NA</v>
          </cell>
          <cell r="T229" t="str">
            <v>NA</v>
          </cell>
          <cell r="U229" t="str">
            <v>NA</v>
          </cell>
          <cell r="V229" t="str">
            <v>NA</v>
          </cell>
          <cell r="W229" t="str">
            <v>NA</v>
          </cell>
          <cell r="X229" t="str">
            <v>NA</v>
          </cell>
          <cell r="Y229" t="str">
            <v>NA</v>
          </cell>
          <cell r="Z229" t="str">
            <v>NA</v>
          </cell>
          <cell r="AA229" t="str">
            <v>NA</v>
          </cell>
          <cell r="AB229" t="str">
            <v>NA</v>
          </cell>
        </row>
        <row r="230">
          <cell r="A230" t="str">
            <v>Miconia valtheri</v>
          </cell>
          <cell r="B230" t="str">
            <v>Melastomataceae</v>
          </cell>
          <cell r="D230" t="str">
            <v>black</v>
          </cell>
          <cell r="E230" t="str">
            <v>NO</v>
          </cell>
          <cell r="F230" t="str">
            <v>NA</v>
          </cell>
          <cell r="G230" t="str">
            <v>NA</v>
          </cell>
          <cell r="H230" t="str">
            <v>NA</v>
          </cell>
          <cell r="I230" t="str">
            <v>NA</v>
          </cell>
          <cell r="J230" t="str">
            <v>NA</v>
          </cell>
          <cell r="K230" t="str">
            <v>NA</v>
          </cell>
          <cell r="L230" t="str">
            <v>NA</v>
          </cell>
          <cell r="M230" t="str">
            <v>NA</v>
          </cell>
          <cell r="N230" t="str">
            <v>NA</v>
          </cell>
          <cell r="O230" t="str">
            <v>NA</v>
          </cell>
          <cell r="P230" t="str">
            <v>NA</v>
          </cell>
          <cell r="Q230" t="str">
            <v>NA</v>
          </cell>
          <cell r="R230" t="str">
            <v>NA</v>
          </cell>
          <cell r="S230" t="str">
            <v>NA</v>
          </cell>
          <cell r="T230" t="str">
            <v>NA</v>
          </cell>
          <cell r="U230" t="str">
            <v>NA</v>
          </cell>
          <cell r="V230" t="str">
            <v>NA</v>
          </cell>
          <cell r="W230" t="str">
            <v>NA</v>
          </cell>
          <cell r="X230" t="str">
            <v>NA</v>
          </cell>
          <cell r="Y230" t="str">
            <v>NA</v>
          </cell>
          <cell r="Z230" t="str">
            <v>NA</v>
          </cell>
          <cell r="AA230" t="str">
            <v>NA</v>
          </cell>
          <cell r="AB230" t="str">
            <v>NA</v>
          </cell>
        </row>
        <row r="231">
          <cell r="A231" t="str">
            <v>Mollinedia schottiana</v>
          </cell>
          <cell r="B231" t="str">
            <v>Monimiaceae</v>
          </cell>
          <cell r="D231" t="str">
            <v>black</v>
          </cell>
          <cell r="E231" t="str">
            <v>NO</v>
          </cell>
          <cell r="F231" t="str">
            <v>NA</v>
          </cell>
          <cell r="G231" t="str">
            <v>NA</v>
          </cell>
          <cell r="H231" t="str">
            <v>NA</v>
          </cell>
          <cell r="I231" t="str">
            <v>NA</v>
          </cell>
          <cell r="J231" t="str">
            <v>NA</v>
          </cell>
          <cell r="K231" t="str">
            <v>NA</v>
          </cell>
          <cell r="L231" t="str">
            <v>NA</v>
          </cell>
          <cell r="M231" t="str">
            <v>NA</v>
          </cell>
          <cell r="N231" t="str">
            <v>NA</v>
          </cell>
          <cell r="O231" t="str">
            <v>NA</v>
          </cell>
          <cell r="P231" t="str">
            <v>NA</v>
          </cell>
          <cell r="Q231" t="str">
            <v>NA</v>
          </cell>
          <cell r="R231" t="str">
            <v>NA</v>
          </cell>
          <cell r="S231" t="str">
            <v>NA</v>
          </cell>
          <cell r="T231" t="str">
            <v>NA</v>
          </cell>
          <cell r="U231" t="str">
            <v>NA</v>
          </cell>
          <cell r="V231" t="str">
            <v>NA</v>
          </cell>
          <cell r="W231" t="str">
            <v>NA</v>
          </cell>
          <cell r="X231" t="str">
            <v>NA</v>
          </cell>
          <cell r="Y231" t="str">
            <v>NA</v>
          </cell>
          <cell r="Z231" t="str">
            <v>NA</v>
          </cell>
          <cell r="AA231" t="str">
            <v>NA</v>
          </cell>
          <cell r="AB231" t="str">
            <v>NA</v>
          </cell>
        </row>
        <row r="232">
          <cell r="A232" t="str">
            <v>Mollinedia uleana</v>
          </cell>
          <cell r="B232" t="str">
            <v>Monimiaceae</v>
          </cell>
          <cell r="D232" t="str">
            <v>black</v>
          </cell>
          <cell r="E232" t="str">
            <v>NO</v>
          </cell>
          <cell r="F232" t="str">
            <v>NA</v>
          </cell>
          <cell r="G232" t="str">
            <v>NA</v>
          </cell>
          <cell r="H232" t="str">
            <v>NA</v>
          </cell>
          <cell r="I232" t="str">
            <v>NA</v>
          </cell>
          <cell r="J232" t="str">
            <v>NA</v>
          </cell>
          <cell r="K232" t="str">
            <v>NA</v>
          </cell>
          <cell r="L232" t="str">
            <v>NA</v>
          </cell>
          <cell r="M232" t="str">
            <v>NA</v>
          </cell>
          <cell r="N232" t="str">
            <v>NA</v>
          </cell>
          <cell r="O232" t="str">
            <v>NA</v>
          </cell>
          <cell r="P232" t="str">
            <v>NA</v>
          </cell>
          <cell r="Q232" t="str">
            <v>NA</v>
          </cell>
          <cell r="R232" t="str">
            <v>NA</v>
          </cell>
          <cell r="S232" t="str">
            <v>NA</v>
          </cell>
          <cell r="T232" t="str">
            <v>NA</v>
          </cell>
          <cell r="U232" t="str">
            <v>NA</v>
          </cell>
          <cell r="V232" t="str">
            <v>NA</v>
          </cell>
          <cell r="W232" t="str">
            <v>NA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</row>
        <row r="233">
          <cell r="A233" t="str">
            <v>Morus nigra</v>
          </cell>
          <cell r="B233" t="str">
            <v>Moraceae</v>
          </cell>
          <cell r="D233" t="str">
            <v>black</v>
          </cell>
          <cell r="E233" t="str">
            <v>NO</v>
          </cell>
          <cell r="F233" t="str">
            <v>NA</v>
          </cell>
          <cell r="G233" t="str">
            <v>NA</v>
          </cell>
          <cell r="H233" t="str">
            <v>NA</v>
          </cell>
          <cell r="I233" t="str">
            <v>NA</v>
          </cell>
          <cell r="J233" t="str">
            <v>NA</v>
          </cell>
          <cell r="K233" t="str">
            <v>NA</v>
          </cell>
          <cell r="L233" t="str">
            <v>NA</v>
          </cell>
          <cell r="M233" t="str">
            <v>NA</v>
          </cell>
          <cell r="N233" t="str">
            <v>NA</v>
          </cell>
          <cell r="O233" t="str">
            <v>NA</v>
          </cell>
          <cell r="P233" t="str">
            <v>NA</v>
          </cell>
          <cell r="Q233" t="str">
            <v>NA</v>
          </cell>
          <cell r="R233" t="str">
            <v>NA</v>
          </cell>
          <cell r="S233" t="str">
            <v>NA</v>
          </cell>
          <cell r="T233" t="str">
            <v>NA</v>
          </cell>
          <cell r="U233" t="str">
            <v>NA</v>
          </cell>
          <cell r="V233" t="str">
            <v>NA</v>
          </cell>
          <cell r="W233" t="str">
            <v>NA</v>
          </cell>
          <cell r="X233" t="str">
            <v>NA</v>
          </cell>
          <cell r="Y233" t="str">
            <v>NA</v>
          </cell>
          <cell r="Z233" t="str">
            <v>NA</v>
          </cell>
          <cell r="AA233" t="str">
            <v>NA</v>
          </cell>
          <cell r="AB233" t="str">
            <v>NA</v>
          </cell>
        </row>
        <row r="234">
          <cell r="A234" t="str">
            <v>Muntingia calabura</v>
          </cell>
          <cell r="B234" t="str">
            <v>Muntingiaceae</v>
          </cell>
          <cell r="D234" t="str">
            <v>black</v>
          </cell>
          <cell r="E234" t="str">
            <v>NO</v>
          </cell>
          <cell r="F234" t="str">
            <v>NA</v>
          </cell>
          <cell r="G234" t="str">
            <v>NA</v>
          </cell>
          <cell r="H234" t="str">
            <v>NA</v>
          </cell>
          <cell r="I234" t="str">
            <v>NA</v>
          </cell>
          <cell r="J234" t="str">
            <v>NA</v>
          </cell>
          <cell r="K234" t="str">
            <v>NA</v>
          </cell>
          <cell r="L234" t="str">
            <v>NA</v>
          </cell>
          <cell r="M234" t="str">
            <v>NA</v>
          </cell>
          <cell r="N234" t="str">
            <v>NA</v>
          </cell>
          <cell r="O234" t="str">
            <v>NA</v>
          </cell>
          <cell r="P234" t="str">
            <v>NA</v>
          </cell>
          <cell r="Q234" t="str">
            <v>NA</v>
          </cell>
          <cell r="R234" t="str">
            <v>NA</v>
          </cell>
          <cell r="S234" t="str">
            <v>NA</v>
          </cell>
          <cell r="T234" t="str">
            <v>NA</v>
          </cell>
          <cell r="U234" t="str">
            <v>NA</v>
          </cell>
          <cell r="V234" t="str">
            <v>NA</v>
          </cell>
          <cell r="W234" t="str">
            <v>NA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</row>
        <row r="235">
          <cell r="A235" t="str">
            <v>Murraya paniculata</v>
          </cell>
          <cell r="B235" t="str">
            <v>Rutaceae</v>
          </cell>
          <cell r="D235" t="str">
            <v>black</v>
          </cell>
          <cell r="E235" t="str">
            <v>NO</v>
          </cell>
          <cell r="F235" t="str">
            <v>NA</v>
          </cell>
          <cell r="G235" t="str">
            <v>NA</v>
          </cell>
          <cell r="H235" t="str">
            <v>NA</v>
          </cell>
          <cell r="I235" t="str">
            <v>NA</v>
          </cell>
          <cell r="J235" t="str">
            <v>NA</v>
          </cell>
          <cell r="K235" t="str">
            <v>NA</v>
          </cell>
          <cell r="L235" t="str">
            <v>NA</v>
          </cell>
          <cell r="M235" t="str">
            <v>NA</v>
          </cell>
          <cell r="N235" t="str">
            <v>NA</v>
          </cell>
          <cell r="O235" t="str">
            <v>NA</v>
          </cell>
          <cell r="P235" t="str">
            <v>NA</v>
          </cell>
          <cell r="Q235" t="str">
            <v>NA</v>
          </cell>
          <cell r="R235" t="str">
            <v>NA</v>
          </cell>
          <cell r="S235" t="str">
            <v>NA</v>
          </cell>
          <cell r="T235" t="str">
            <v>NA</v>
          </cell>
          <cell r="U235" t="str">
            <v>NA</v>
          </cell>
          <cell r="V235" t="str">
            <v>NA</v>
          </cell>
          <cell r="W235" t="str">
            <v>NA</v>
          </cell>
          <cell r="X235" t="str">
            <v>NA</v>
          </cell>
          <cell r="Y235" t="str">
            <v>NA</v>
          </cell>
          <cell r="Z235" t="str">
            <v>NA</v>
          </cell>
          <cell r="AA235" t="str">
            <v>NA</v>
          </cell>
          <cell r="AB235" t="str">
            <v>NA</v>
          </cell>
        </row>
        <row r="236">
          <cell r="A236" t="str">
            <v>Musa paradisiaca</v>
          </cell>
          <cell r="B236" t="str">
            <v>Musaceae</v>
          </cell>
          <cell r="D236" t="str">
            <v>black</v>
          </cell>
          <cell r="E236" t="str">
            <v>NO</v>
          </cell>
          <cell r="F236" t="str">
            <v>NA</v>
          </cell>
          <cell r="G236" t="str">
            <v>NA</v>
          </cell>
          <cell r="H236" t="str">
            <v>NA</v>
          </cell>
          <cell r="I236" t="str">
            <v>NA</v>
          </cell>
          <cell r="J236" t="str">
            <v>NA</v>
          </cell>
          <cell r="K236" t="str">
            <v>NA</v>
          </cell>
          <cell r="L236" t="str">
            <v>NA</v>
          </cell>
          <cell r="M236" t="str">
            <v>NA</v>
          </cell>
          <cell r="N236" t="str">
            <v>NA</v>
          </cell>
          <cell r="O236" t="str">
            <v>NA</v>
          </cell>
          <cell r="P236" t="str">
            <v>NA</v>
          </cell>
          <cell r="Q236" t="str">
            <v>NA</v>
          </cell>
          <cell r="R236" t="str">
            <v>NA</v>
          </cell>
          <cell r="S236" t="str">
            <v>NA</v>
          </cell>
          <cell r="T236" t="str">
            <v>NA</v>
          </cell>
          <cell r="U236" t="str">
            <v>NA</v>
          </cell>
          <cell r="V236" t="str">
            <v>NA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A236" t="str">
            <v>NA</v>
          </cell>
          <cell r="AB236" t="str">
            <v>NA</v>
          </cell>
        </row>
        <row r="237">
          <cell r="A237" t="str">
            <v>Myrcia anacardiifolia</v>
          </cell>
          <cell r="B237" t="str">
            <v>Myrtaceae</v>
          </cell>
          <cell r="D237" t="str">
            <v>black</v>
          </cell>
          <cell r="E237" t="str">
            <v>NO</v>
          </cell>
          <cell r="F237" t="str">
            <v>NA</v>
          </cell>
          <cell r="G237" t="str">
            <v>NA</v>
          </cell>
          <cell r="H237" t="str">
            <v>NA</v>
          </cell>
          <cell r="I237" t="str">
            <v>NA</v>
          </cell>
          <cell r="J237" t="str">
            <v>NA</v>
          </cell>
          <cell r="K237" t="str">
            <v>NA</v>
          </cell>
          <cell r="L237" t="str">
            <v>NA</v>
          </cell>
          <cell r="M237" t="str">
            <v>NA</v>
          </cell>
          <cell r="N237" t="str">
            <v>NA</v>
          </cell>
          <cell r="O237" t="str">
            <v>NA</v>
          </cell>
          <cell r="P237" t="str">
            <v>NA</v>
          </cell>
          <cell r="Q237" t="str">
            <v>NA</v>
          </cell>
          <cell r="R237" t="str">
            <v>NA</v>
          </cell>
          <cell r="S237" t="str">
            <v>NA</v>
          </cell>
          <cell r="T237" t="str">
            <v>NA</v>
          </cell>
          <cell r="U237" t="str">
            <v>NA</v>
          </cell>
          <cell r="V237" t="str">
            <v>NA</v>
          </cell>
          <cell r="W237" t="str">
            <v>NA</v>
          </cell>
          <cell r="X237" t="str">
            <v>NA</v>
          </cell>
          <cell r="Y237" t="str">
            <v>NA</v>
          </cell>
          <cell r="Z237" t="str">
            <v>NA</v>
          </cell>
          <cell r="AA237" t="str">
            <v>NA</v>
          </cell>
          <cell r="AB237" t="str">
            <v>NA</v>
          </cell>
        </row>
        <row r="238">
          <cell r="A238" t="str">
            <v>Myrcia brasiliensis</v>
          </cell>
          <cell r="B238" t="str">
            <v>Myrtaceae</v>
          </cell>
          <cell r="D238" t="str">
            <v>black</v>
          </cell>
          <cell r="E238" t="str">
            <v>NO</v>
          </cell>
          <cell r="F238" t="str">
            <v>NA</v>
          </cell>
          <cell r="G238" t="str">
            <v>NA</v>
          </cell>
          <cell r="H238" t="str">
            <v>NA</v>
          </cell>
          <cell r="I238" t="str">
            <v>NA</v>
          </cell>
          <cell r="J238" t="str">
            <v>NA</v>
          </cell>
          <cell r="K238" t="str">
            <v>NA</v>
          </cell>
          <cell r="L238" t="str">
            <v>NA</v>
          </cell>
          <cell r="M238" t="str">
            <v>NA</v>
          </cell>
          <cell r="N238" t="str">
            <v>NA</v>
          </cell>
          <cell r="O238" t="str">
            <v>NA</v>
          </cell>
          <cell r="P238" t="str">
            <v>NA</v>
          </cell>
          <cell r="Q238" t="str">
            <v>NA</v>
          </cell>
          <cell r="R238" t="str">
            <v>NA</v>
          </cell>
          <cell r="S238" t="str">
            <v>NA</v>
          </cell>
          <cell r="T238" t="str">
            <v>NA</v>
          </cell>
          <cell r="U238" t="str">
            <v>NA</v>
          </cell>
          <cell r="V238" t="str">
            <v>NA</v>
          </cell>
          <cell r="W238" t="str">
            <v>NA</v>
          </cell>
          <cell r="X238" t="str">
            <v>NA</v>
          </cell>
          <cell r="Y238" t="str">
            <v>NA</v>
          </cell>
          <cell r="Z238" t="str">
            <v>NA</v>
          </cell>
          <cell r="AA238" t="str">
            <v>NA</v>
          </cell>
          <cell r="AB238" t="str">
            <v>NA</v>
          </cell>
        </row>
        <row r="239">
          <cell r="A239" t="str">
            <v>Myrcia ferruginea</v>
          </cell>
          <cell r="B239" t="str">
            <v>Myrtaceae</v>
          </cell>
          <cell r="D239" t="str">
            <v>black</v>
          </cell>
          <cell r="E239" t="str">
            <v>NO</v>
          </cell>
          <cell r="F239" t="str">
            <v>NA</v>
          </cell>
          <cell r="G239" t="str">
            <v>NA</v>
          </cell>
          <cell r="H239" t="str">
            <v>NA</v>
          </cell>
          <cell r="I239" t="str">
            <v>NA</v>
          </cell>
          <cell r="J239" t="str">
            <v>NA</v>
          </cell>
          <cell r="K239" t="str">
            <v>NA</v>
          </cell>
          <cell r="L239" t="str">
            <v>NA</v>
          </cell>
          <cell r="M239" t="str">
            <v>NA</v>
          </cell>
          <cell r="N239" t="str">
            <v>NA</v>
          </cell>
          <cell r="O239" t="str">
            <v>NA</v>
          </cell>
          <cell r="P239" t="str">
            <v>NA</v>
          </cell>
          <cell r="Q239" t="str">
            <v>NA</v>
          </cell>
          <cell r="R239" t="str">
            <v>NA</v>
          </cell>
          <cell r="S239" t="str">
            <v>NA</v>
          </cell>
          <cell r="T239" t="str">
            <v>NA</v>
          </cell>
          <cell r="U239" t="str">
            <v>NA</v>
          </cell>
          <cell r="V239" t="str">
            <v>NA</v>
          </cell>
          <cell r="W239" t="str">
            <v>NA</v>
          </cell>
          <cell r="X239" t="str">
            <v>NA</v>
          </cell>
          <cell r="Y239" t="str">
            <v>NA</v>
          </cell>
          <cell r="Z239" t="str">
            <v>NA</v>
          </cell>
          <cell r="AA239" t="str">
            <v>NA</v>
          </cell>
          <cell r="AB239" t="str">
            <v>NA</v>
          </cell>
        </row>
        <row r="240">
          <cell r="A240" t="str">
            <v>Myrcia hebepetala</v>
          </cell>
          <cell r="B240" t="str">
            <v>Myrtaceae</v>
          </cell>
          <cell r="D240" t="str">
            <v>black</v>
          </cell>
          <cell r="E240" t="str">
            <v>NO</v>
          </cell>
          <cell r="F240" t="str">
            <v>NA</v>
          </cell>
          <cell r="G240" t="str">
            <v>NA</v>
          </cell>
          <cell r="H240" t="str">
            <v>NA</v>
          </cell>
          <cell r="I240" t="str">
            <v>NA</v>
          </cell>
          <cell r="J240" t="str">
            <v>NA</v>
          </cell>
          <cell r="K240" t="str">
            <v>NA</v>
          </cell>
          <cell r="L240" t="str">
            <v>NA</v>
          </cell>
          <cell r="M240" t="str">
            <v>NA</v>
          </cell>
          <cell r="N240" t="str">
            <v>NA</v>
          </cell>
          <cell r="O240" t="str">
            <v>NA</v>
          </cell>
          <cell r="P240" t="str">
            <v>NA</v>
          </cell>
          <cell r="Q240" t="str">
            <v>NA</v>
          </cell>
          <cell r="R240" t="str">
            <v>NA</v>
          </cell>
          <cell r="S240" t="str">
            <v>NA</v>
          </cell>
          <cell r="T240" t="str">
            <v>NA</v>
          </cell>
          <cell r="U240" t="str">
            <v>NA</v>
          </cell>
          <cell r="V240" t="str">
            <v>NA</v>
          </cell>
          <cell r="W240" t="str">
            <v>NA</v>
          </cell>
          <cell r="X240" t="str">
            <v>NA</v>
          </cell>
          <cell r="Y240" t="str">
            <v>NA</v>
          </cell>
          <cell r="Z240" t="str">
            <v>NA</v>
          </cell>
          <cell r="AA240" t="str">
            <v>NA</v>
          </cell>
          <cell r="AB240" t="str">
            <v>NA</v>
          </cell>
        </row>
        <row r="241">
          <cell r="A241" t="str">
            <v>Myrcia ilheosensis</v>
          </cell>
          <cell r="B241" t="str">
            <v>Myrtaceae</v>
          </cell>
          <cell r="D241" t="str">
            <v>black</v>
          </cell>
          <cell r="E241" t="str">
            <v>NO</v>
          </cell>
          <cell r="F241" t="str">
            <v>NA</v>
          </cell>
          <cell r="G241" t="str">
            <v>NA</v>
          </cell>
          <cell r="H241" t="str">
            <v>NA</v>
          </cell>
          <cell r="I241" t="str">
            <v>NA</v>
          </cell>
          <cell r="J241" t="str">
            <v>NA</v>
          </cell>
          <cell r="K241" t="str">
            <v>NA</v>
          </cell>
          <cell r="L241" t="str">
            <v>NA</v>
          </cell>
          <cell r="M241" t="str">
            <v>NA</v>
          </cell>
          <cell r="N241" t="str">
            <v>NA</v>
          </cell>
          <cell r="O241" t="str">
            <v>NA</v>
          </cell>
          <cell r="P241" t="str">
            <v>NA</v>
          </cell>
          <cell r="Q241" t="str">
            <v>NA</v>
          </cell>
          <cell r="R241" t="str">
            <v>NA</v>
          </cell>
          <cell r="S241" t="str">
            <v>NA</v>
          </cell>
          <cell r="T241" t="str">
            <v>NA</v>
          </cell>
          <cell r="U241" t="str">
            <v>NA</v>
          </cell>
          <cell r="V241" t="str">
            <v>NA</v>
          </cell>
          <cell r="W241" t="str">
            <v>NA</v>
          </cell>
          <cell r="X241" t="str">
            <v>NA</v>
          </cell>
          <cell r="Y241" t="str">
            <v>NA</v>
          </cell>
          <cell r="Z241" t="str">
            <v>NA</v>
          </cell>
          <cell r="AA241" t="str">
            <v>NA</v>
          </cell>
          <cell r="AB241" t="str">
            <v>NA</v>
          </cell>
        </row>
        <row r="242">
          <cell r="A242" t="str">
            <v>Myrcia oblongata</v>
          </cell>
          <cell r="B242" t="str">
            <v>Myrtaceae</v>
          </cell>
          <cell r="D242" t="str">
            <v>black</v>
          </cell>
          <cell r="E242" t="str">
            <v>NO</v>
          </cell>
          <cell r="F242" t="str">
            <v>NA</v>
          </cell>
          <cell r="G242" t="str">
            <v>NA</v>
          </cell>
          <cell r="H242" t="str">
            <v>NA</v>
          </cell>
          <cell r="I242" t="str">
            <v>NA</v>
          </cell>
          <cell r="J242" t="str">
            <v>NA</v>
          </cell>
          <cell r="K242" t="str">
            <v>NA</v>
          </cell>
          <cell r="L242" t="str">
            <v>NA</v>
          </cell>
          <cell r="M242" t="str">
            <v>NA</v>
          </cell>
          <cell r="N242" t="str">
            <v>NA</v>
          </cell>
          <cell r="O242" t="str">
            <v>NA</v>
          </cell>
          <cell r="P242" t="str">
            <v>NA</v>
          </cell>
          <cell r="Q242" t="str">
            <v>NA</v>
          </cell>
          <cell r="R242" t="str">
            <v>NA</v>
          </cell>
          <cell r="S242" t="str">
            <v>NA</v>
          </cell>
          <cell r="T242" t="str">
            <v>NA</v>
          </cell>
          <cell r="U242" t="str">
            <v>NA</v>
          </cell>
          <cell r="V242" t="str">
            <v>NA</v>
          </cell>
          <cell r="W242" t="str">
            <v>NA</v>
          </cell>
          <cell r="X242" t="str">
            <v>NA</v>
          </cell>
          <cell r="Y242" t="str">
            <v>NA</v>
          </cell>
          <cell r="Z242" t="str">
            <v>NA</v>
          </cell>
          <cell r="AA242" t="str">
            <v>NA</v>
          </cell>
          <cell r="AB242" t="str">
            <v>NA</v>
          </cell>
        </row>
        <row r="243">
          <cell r="A243" t="str">
            <v>Myrcia palustris</v>
          </cell>
          <cell r="B243" t="str">
            <v>Myrtaceae</v>
          </cell>
          <cell r="D243" t="str">
            <v>NA</v>
          </cell>
          <cell r="E243" t="str">
            <v>NO</v>
          </cell>
          <cell r="F243" t="str">
            <v>NA</v>
          </cell>
          <cell r="G243" t="str">
            <v>NA</v>
          </cell>
          <cell r="H243" t="str">
            <v>NA</v>
          </cell>
          <cell r="I243" t="str">
            <v>NA</v>
          </cell>
          <cell r="J243" t="str">
            <v>NA</v>
          </cell>
          <cell r="K243" t="str">
            <v>NA</v>
          </cell>
          <cell r="L243" t="str">
            <v>NA</v>
          </cell>
          <cell r="M243" t="str">
            <v>NA</v>
          </cell>
          <cell r="N243" t="str">
            <v>NA</v>
          </cell>
          <cell r="O243" t="str">
            <v>NA</v>
          </cell>
          <cell r="P243" t="str">
            <v>NA</v>
          </cell>
          <cell r="Q243" t="str">
            <v>NA</v>
          </cell>
          <cell r="R243" t="str">
            <v>NA</v>
          </cell>
          <cell r="S243" t="str">
            <v>NA</v>
          </cell>
          <cell r="T243" t="str">
            <v>NA</v>
          </cell>
          <cell r="U243" t="str">
            <v>NA</v>
          </cell>
          <cell r="V243" t="str">
            <v>NA</v>
          </cell>
          <cell r="W243" t="str">
            <v>NA</v>
          </cell>
          <cell r="X243" t="str">
            <v>NA</v>
          </cell>
          <cell r="Y243" t="str">
            <v>NA</v>
          </cell>
          <cell r="Z243" t="str">
            <v>NA</v>
          </cell>
          <cell r="AA243" t="str">
            <v>NA</v>
          </cell>
          <cell r="AB243" t="str">
            <v>NA</v>
          </cell>
        </row>
        <row r="244">
          <cell r="A244" t="str">
            <v>Myrcia pulchra</v>
          </cell>
          <cell r="B244" t="str">
            <v>Myrtaceae</v>
          </cell>
          <cell r="D244" t="str">
            <v>black</v>
          </cell>
          <cell r="E244" t="str">
            <v>NO</v>
          </cell>
          <cell r="F244" t="str">
            <v>NA</v>
          </cell>
          <cell r="G244" t="str">
            <v>NA</v>
          </cell>
          <cell r="H244" t="str">
            <v>NA</v>
          </cell>
          <cell r="I244" t="str">
            <v>NA</v>
          </cell>
          <cell r="J244" t="str">
            <v>NA</v>
          </cell>
          <cell r="K244" t="str">
            <v>NA</v>
          </cell>
          <cell r="L244" t="str">
            <v>NA</v>
          </cell>
          <cell r="M244" t="str">
            <v>NA</v>
          </cell>
          <cell r="N244" t="str">
            <v>NA</v>
          </cell>
          <cell r="O244" t="str">
            <v>NA</v>
          </cell>
          <cell r="P244" t="str">
            <v>NA</v>
          </cell>
          <cell r="Q244" t="str">
            <v>NA</v>
          </cell>
          <cell r="R244" t="str">
            <v>NA</v>
          </cell>
          <cell r="S244" t="str">
            <v>NA</v>
          </cell>
          <cell r="T244" t="str">
            <v>NA</v>
          </cell>
          <cell r="U244" t="str">
            <v>NA</v>
          </cell>
          <cell r="V244" t="str">
            <v>NA</v>
          </cell>
          <cell r="W244" t="str">
            <v>NA</v>
          </cell>
          <cell r="X244" t="str">
            <v>NA</v>
          </cell>
          <cell r="Y244" t="str">
            <v>NA</v>
          </cell>
          <cell r="Z244" t="str">
            <v>NA</v>
          </cell>
          <cell r="AA244" t="str">
            <v>NA</v>
          </cell>
          <cell r="AB244" t="str">
            <v>NA</v>
          </cell>
        </row>
        <row r="245">
          <cell r="A245" t="str">
            <v>Myrcia spectabilis</v>
          </cell>
          <cell r="B245" t="str">
            <v>Myrtaceae</v>
          </cell>
          <cell r="D245" t="str">
            <v>black</v>
          </cell>
          <cell r="E245" t="str">
            <v>NO</v>
          </cell>
          <cell r="F245" t="str">
            <v>NA</v>
          </cell>
          <cell r="G245" t="str">
            <v>NA</v>
          </cell>
          <cell r="H245" t="str">
            <v>NA</v>
          </cell>
          <cell r="I245" t="str">
            <v>NA</v>
          </cell>
          <cell r="J245" t="str">
            <v>NA</v>
          </cell>
          <cell r="K245" t="str">
            <v>NA</v>
          </cell>
          <cell r="L245" t="str">
            <v>NA</v>
          </cell>
          <cell r="M245" t="str">
            <v>NA</v>
          </cell>
          <cell r="N245" t="str">
            <v>NA</v>
          </cell>
          <cell r="O245" t="str">
            <v>NA</v>
          </cell>
          <cell r="P245" t="str">
            <v>NA</v>
          </cell>
          <cell r="Q245" t="str">
            <v>NA</v>
          </cell>
          <cell r="R245" t="str">
            <v>NA</v>
          </cell>
          <cell r="S245" t="str">
            <v>NA</v>
          </cell>
          <cell r="T245" t="str">
            <v>NA</v>
          </cell>
          <cell r="U245" t="str">
            <v>NA</v>
          </cell>
          <cell r="V245" t="str">
            <v>NA</v>
          </cell>
          <cell r="W245" t="str">
            <v>NA</v>
          </cell>
          <cell r="X245" t="str">
            <v>NA</v>
          </cell>
          <cell r="Y245" t="str">
            <v>NA</v>
          </cell>
          <cell r="Z245" t="str">
            <v>NA</v>
          </cell>
          <cell r="AA245" t="str">
            <v>NA</v>
          </cell>
          <cell r="AB245" t="str">
            <v>NA</v>
          </cell>
        </row>
        <row r="246">
          <cell r="A246" t="str">
            <v>Myrcia splendens</v>
          </cell>
          <cell r="B246" t="str">
            <v>Myrtaceae</v>
          </cell>
          <cell r="D246" t="str">
            <v>black</v>
          </cell>
          <cell r="E246" t="str">
            <v>NO</v>
          </cell>
          <cell r="F246" t="str">
            <v>NA</v>
          </cell>
          <cell r="G246" t="str">
            <v>NA</v>
          </cell>
          <cell r="H246" t="str">
            <v>NA</v>
          </cell>
          <cell r="I246" t="str">
            <v>NA</v>
          </cell>
          <cell r="J246" t="str">
            <v>NA</v>
          </cell>
          <cell r="K246" t="str">
            <v>NA</v>
          </cell>
          <cell r="L246" t="str">
            <v>NA</v>
          </cell>
          <cell r="M246" t="str">
            <v>NA</v>
          </cell>
          <cell r="N246" t="str">
            <v>NA</v>
          </cell>
          <cell r="O246" t="str">
            <v>NA</v>
          </cell>
          <cell r="P246" t="str">
            <v>NA</v>
          </cell>
          <cell r="Q246" t="str">
            <v>NA</v>
          </cell>
          <cell r="R246" t="str">
            <v>NA</v>
          </cell>
          <cell r="S246" t="str">
            <v>NA</v>
          </cell>
          <cell r="T246" t="str">
            <v>NA</v>
          </cell>
          <cell r="U246" t="str">
            <v>NA</v>
          </cell>
          <cell r="V246" t="str">
            <v>NA</v>
          </cell>
          <cell r="W246" t="str">
            <v>NA</v>
          </cell>
          <cell r="X246" t="str">
            <v>NA</v>
          </cell>
          <cell r="Y246" t="str">
            <v>NA</v>
          </cell>
          <cell r="Z246" t="str">
            <v>NA</v>
          </cell>
          <cell r="AA246" t="str">
            <v>NA</v>
          </cell>
          <cell r="AB246" t="str">
            <v>NA</v>
          </cell>
        </row>
        <row r="247">
          <cell r="A247" t="str">
            <v>Myrciaria  glomerata</v>
          </cell>
          <cell r="B247" t="str">
            <v>Myrtaceae</v>
          </cell>
          <cell r="D247" t="str">
            <v>black</v>
          </cell>
          <cell r="E247" t="str">
            <v>NO</v>
          </cell>
          <cell r="F247" t="str">
            <v>NA</v>
          </cell>
          <cell r="G247" t="str">
            <v>NA</v>
          </cell>
          <cell r="H247" t="str">
            <v>NA</v>
          </cell>
          <cell r="I247" t="str">
            <v>NA</v>
          </cell>
          <cell r="J247" t="str">
            <v>NA</v>
          </cell>
          <cell r="K247" t="str">
            <v>NA</v>
          </cell>
          <cell r="L247" t="str">
            <v>NA</v>
          </cell>
          <cell r="M247" t="str">
            <v>NA</v>
          </cell>
          <cell r="N247" t="str">
            <v>NA</v>
          </cell>
          <cell r="O247" t="str">
            <v>NA</v>
          </cell>
          <cell r="P247" t="str">
            <v>NA</v>
          </cell>
          <cell r="Q247" t="str">
            <v>NA</v>
          </cell>
          <cell r="R247" t="str">
            <v>NA</v>
          </cell>
          <cell r="S247" t="str">
            <v>NA</v>
          </cell>
          <cell r="T247" t="str">
            <v>NA</v>
          </cell>
          <cell r="U247" t="str">
            <v>NA</v>
          </cell>
          <cell r="V247" t="str">
            <v>NA</v>
          </cell>
          <cell r="W247" t="str">
            <v>NA</v>
          </cell>
          <cell r="X247" t="str">
            <v>NA</v>
          </cell>
          <cell r="Y247" t="str">
            <v>NA</v>
          </cell>
          <cell r="Z247" t="str">
            <v>NA</v>
          </cell>
          <cell r="AA247" t="str">
            <v>NA</v>
          </cell>
          <cell r="AB247" t="str">
            <v>NA</v>
          </cell>
        </row>
        <row r="248">
          <cell r="A248" t="str">
            <v>Myrciaria cuspidata</v>
          </cell>
          <cell r="B248" t="str">
            <v>Myrtaceae</v>
          </cell>
          <cell r="D248" t="str">
            <v>black</v>
          </cell>
          <cell r="E248" t="str">
            <v>NO</v>
          </cell>
          <cell r="F248" t="str">
            <v>NA</v>
          </cell>
          <cell r="G248" t="str">
            <v>NA</v>
          </cell>
          <cell r="H248" t="str">
            <v>NA</v>
          </cell>
          <cell r="I248" t="str">
            <v>NA</v>
          </cell>
          <cell r="J248" t="str">
            <v>NA</v>
          </cell>
          <cell r="K248" t="str">
            <v>NA</v>
          </cell>
          <cell r="L248" t="str">
            <v>NA</v>
          </cell>
          <cell r="M248" t="str">
            <v>NA</v>
          </cell>
          <cell r="N248" t="str">
            <v>NA</v>
          </cell>
          <cell r="O248" t="str">
            <v>NA</v>
          </cell>
          <cell r="P248" t="str">
            <v>NA</v>
          </cell>
          <cell r="Q248" t="str">
            <v>NA</v>
          </cell>
          <cell r="R248" t="str">
            <v>NA</v>
          </cell>
          <cell r="S248" t="str">
            <v>NA</v>
          </cell>
          <cell r="T248" t="str">
            <v>NA</v>
          </cell>
          <cell r="U248" t="str">
            <v>NA</v>
          </cell>
          <cell r="V248" t="str">
            <v>NA</v>
          </cell>
          <cell r="W248" t="str">
            <v>NA</v>
          </cell>
          <cell r="X248" t="str">
            <v>NA</v>
          </cell>
          <cell r="Y248" t="str">
            <v>NA</v>
          </cell>
          <cell r="Z248" t="str">
            <v>NA</v>
          </cell>
          <cell r="AA248" t="str">
            <v>NA</v>
          </cell>
          <cell r="AB248" t="str">
            <v>NA</v>
          </cell>
        </row>
        <row r="249">
          <cell r="A249" t="str">
            <v>Myriopus paniculatus</v>
          </cell>
          <cell r="B249" t="str">
            <v>Boraginaceae</v>
          </cell>
          <cell r="D249" t="str">
            <v>black</v>
          </cell>
          <cell r="E249" t="str">
            <v>NO</v>
          </cell>
          <cell r="F249" t="str">
            <v>NA</v>
          </cell>
          <cell r="G249" t="str">
            <v>NA</v>
          </cell>
          <cell r="H249" t="str">
            <v>NA</v>
          </cell>
          <cell r="I249" t="str">
            <v>NA</v>
          </cell>
          <cell r="J249" t="str">
            <v>NA</v>
          </cell>
          <cell r="K249" t="str">
            <v>NA</v>
          </cell>
          <cell r="L249" t="str">
            <v>NA</v>
          </cell>
          <cell r="M249" t="str">
            <v>NA</v>
          </cell>
          <cell r="N249" t="str">
            <v>NA</v>
          </cell>
          <cell r="O249" t="str">
            <v>NA</v>
          </cell>
          <cell r="P249" t="str">
            <v>NA</v>
          </cell>
          <cell r="Q249" t="str">
            <v>NA</v>
          </cell>
          <cell r="R249" t="str">
            <v>NA</v>
          </cell>
          <cell r="S249" t="str">
            <v>NA</v>
          </cell>
          <cell r="T249" t="str">
            <v>NA</v>
          </cell>
          <cell r="U249" t="str">
            <v>NA</v>
          </cell>
          <cell r="V249" t="str">
            <v>NA</v>
          </cell>
          <cell r="W249" t="str">
            <v>NA</v>
          </cell>
          <cell r="X249" t="str">
            <v>NA</v>
          </cell>
          <cell r="Y249" t="str">
            <v>NA</v>
          </cell>
          <cell r="Z249" t="str">
            <v>NA</v>
          </cell>
          <cell r="AA249" t="str">
            <v>NA</v>
          </cell>
          <cell r="AB249" t="str">
            <v>NA</v>
          </cell>
        </row>
        <row r="250">
          <cell r="A250" t="str">
            <v>Myrsine lancifolia</v>
          </cell>
          <cell r="B250" t="str">
            <v>Primulaceae</v>
          </cell>
          <cell r="D250" t="str">
            <v>black</v>
          </cell>
          <cell r="E250" t="str">
            <v>NO</v>
          </cell>
          <cell r="F250" t="str">
            <v>NA</v>
          </cell>
          <cell r="G250" t="str">
            <v>NA</v>
          </cell>
          <cell r="H250" t="str">
            <v>NA</v>
          </cell>
          <cell r="I250" t="str">
            <v>NA</v>
          </cell>
          <cell r="J250" t="str">
            <v>NA</v>
          </cell>
          <cell r="K250" t="str">
            <v>NA</v>
          </cell>
          <cell r="L250" t="str">
            <v>NA</v>
          </cell>
          <cell r="M250" t="str">
            <v>NA</v>
          </cell>
          <cell r="N250" t="str">
            <v>NA</v>
          </cell>
          <cell r="O250" t="str">
            <v>NA</v>
          </cell>
          <cell r="P250" t="str">
            <v>NA</v>
          </cell>
          <cell r="Q250" t="str">
            <v>NA</v>
          </cell>
          <cell r="R250" t="str">
            <v>NA</v>
          </cell>
          <cell r="S250" t="str">
            <v>NA</v>
          </cell>
          <cell r="T250" t="str">
            <v>NA</v>
          </cell>
          <cell r="U250" t="str">
            <v>NA</v>
          </cell>
          <cell r="V250" t="str">
            <v>NA</v>
          </cell>
          <cell r="W250" t="str">
            <v>NA</v>
          </cell>
          <cell r="X250" t="str">
            <v>NA</v>
          </cell>
          <cell r="Y250" t="str">
            <v>NA</v>
          </cell>
          <cell r="Z250" t="str">
            <v>NA</v>
          </cell>
          <cell r="AA250" t="str">
            <v>NA</v>
          </cell>
          <cell r="AB250" t="str">
            <v>NA</v>
          </cell>
        </row>
        <row r="251">
          <cell r="A251" t="str">
            <v>Myrsine venosa</v>
          </cell>
          <cell r="B251" t="str">
            <v>Primulaceae</v>
          </cell>
          <cell r="D251" t="str">
            <v>black</v>
          </cell>
          <cell r="E251" t="str">
            <v>NO</v>
          </cell>
          <cell r="F251" t="str">
            <v>NA</v>
          </cell>
          <cell r="G251" t="str">
            <v>NA</v>
          </cell>
          <cell r="H251" t="str">
            <v>NA</v>
          </cell>
          <cell r="I251" t="str">
            <v>NA</v>
          </cell>
          <cell r="J251" t="str">
            <v>NA</v>
          </cell>
          <cell r="K251" t="str">
            <v>NA</v>
          </cell>
          <cell r="L251" t="str">
            <v>NA</v>
          </cell>
          <cell r="M251" t="str">
            <v>NA</v>
          </cell>
          <cell r="N251" t="str">
            <v>NA</v>
          </cell>
          <cell r="O251" t="str">
            <v>NA</v>
          </cell>
          <cell r="P251" t="str">
            <v>NA</v>
          </cell>
          <cell r="Q251" t="str">
            <v>NA</v>
          </cell>
          <cell r="R251" t="str">
            <v>NA</v>
          </cell>
          <cell r="S251" t="str">
            <v>NA</v>
          </cell>
          <cell r="T251" t="str">
            <v>NA</v>
          </cell>
          <cell r="U251" t="str">
            <v>NA</v>
          </cell>
          <cell r="V251" t="str">
            <v>NA</v>
          </cell>
          <cell r="W251" t="str">
            <v>NA</v>
          </cell>
          <cell r="X251" t="str">
            <v>NA</v>
          </cell>
          <cell r="Y251" t="str">
            <v>NA</v>
          </cell>
          <cell r="Z251" t="str">
            <v>NA</v>
          </cell>
          <cell r="AA251" t="str">
            <v>NA</v>
          </cell>
          <cell r="AB251" t="str">
            <v>NA</v>
          </cell>
        </row>
        <row r="252">
          <cell r="A252" t="str">
            <v>Nectandra cuspidata</v>
          </cell>
          <cell r="B252" t="str">
            <v>Lauraceae</v>
          </cell>
          <cell r="D252" t="str">
            <v>black</v>
          </cell>
          <cell r="E252" t="str">
            <v>NO</v>
          </cell>
          <cell r="F252" t="str">
            <v>NA</v>
          </cell>
          <cell r="G252" t="str">
            <v>NA</v>
          </cell>
          <cell r="H252" t="str">
            <v>NA</v>
          </cell>
          <cell r="I252" t="str">
            <v>NA</v>
          </cell>
          <cell r="J252" t="str">
            <v>NA</v>
          </cell>
          <cell r="K252" t="str">
            <v>NA</v>
          </cell>
          <cell r="L252" t="str">
            <v>NA</v>
          </cell>
          <cell r="M252" t="str">
            <v>NA</v>
          </cell>
          <cell r="N252" t="str">
            <v>NA</v>
          </cell>
          <cell r="O252" t="str">
            <v>NA</v>
          </cell>
          <cell r="P252" t="str">
            <v>NA</v>
          </cell>
          <cell r="Q252" t="str">
            <v>NA</v>
          </cell>
          <cell r="R252" t="str">
            <v>NA</v>
          </cell>
          <cell r="S252" t="str">
            <v>NA</v>
          </cell>
          <cell r="T252" t="str">
            <v>NA</v>
          </cell>
          <cell r="U252" t="str">
            <v>NA</v>
          </cell>
          <cell r="V252" t="str">
            <v>NA</v>
          </cell>
          <cell r="W252" t="str">
            <v>NA</v>
          </cell>
          <cell r="X252" t="str">
            <v>NA</v>
          </cell>
          <cell r="Y252" t="str">
            <v>NA</v>
          </cell>
          <cell r="Z252" t="str">
            <v>NA</v>
          </cell>
          <cell r="AA252" t="str">
            <v>NA</v>
          </cell>
          <cell r="AB252" t="str">
            <v>NA</v>
          </cell>
        </row>
        <row r="253">
          <cell r="A253" t="str">
            <v>Nectandra grandiflora</v>
          </cell>
          <cell r="B253" t="str">
            <v>Lauraceae</v>
          </cell>
          <cell r="D253" t="str">
            <v>black</v>
          </cell>
          <cell r="E253" t="str">
            <v>NO</v>
          </cell>
          <cell r="F253" t="str">
            <v>NA</v>
          </cell>
          <cell r="G253" t="str">
            <v>NA</v>
          </cell>
          <cell r="H253" t="str">
            <v>NA</v>
          </cell>
          <cell r="I253" t="str">
            <v>NA</v>
          </cell>
          <cell r="J253" t="str">
            <v>NA</v>
          </cell>
          <cell r="K253" t="str">
            <v>NA</v>
          </cell>
          <cell r="L253" t="str">
            <v>NA</v>
          </cell>
          <cell r="M253" t="str">
            <v>NA</v>
          </cell>
          <cell r="N253" t="str">
            <v>NA</v>
          </cell>
          <cell r="O253" t="str">
            <v>NA</v>
          </cell>
          <cell r="P253" t="str">
            <v>NA</v>
          </cell>
          <cell r="Q253" t="str">
            <v>NA</v>
          </cell>
          <cell r="R253" t="str">
            <v>NA</v>
          </cell>
          <cell r="S253" t="str">
            <v>NA</v>
          </cell>
          <cell r="T253" t="str">
            <v>NA</v>
          </cell>
          <cell r="U253" t="str">
            <v>NA</v>
          </cell>
          <cell r="V253" t="str">
            <v>NA</v>
          </cell>
          <cell r="W253" t="str">
            <v>NA</v>
          </cell>
          <cell r="X253" t="str">
            <v>NA</v>
          </cell>
          <cell r="Y253" t="str">
            <v>NA</v>
          </cell>
          <cell r="Z253" t="str">
            <v>NA</v>
          </cell>
          <cell r="AA253" t="str">
            <v>NA</v>
          </cell>
          <cell r="AB253" t="str">
            <v>NA</v>
          </cell>
        </row>
        <row r="254">
          <cell r="A254" t="str">
            <v>Nectandra membranacea</v>
          </cell>
          <cell r="B254" t="str">
            <v>Lauraceae</v>
          </cell>
          <cell r="D254" t="str">
            <v>black</v>
          </cell>
          <cell r="E254" t="str">
            <v>NO</v>
          </cell>
          <cell r="F254" t="str">
            <v>NA</v>
          </cell>
          <cell r="G254" t="str">
            <v>NA</v>
          </cell>
          <cell r="H254" t="str">
            <v>NA</v>
          </cell>
          <cell r="I254" t="str">
            <v>NA</v>
          </cell>
          <cell r="J254" t="str">
            <v>NA</v>
          </cell>
          <cell r="K254" t="str">
            <v>NA</v>
          </cell>
          <cell r="L254" t="str">
            <v>NA</v>
          </cell>
          <cell r="M254" t="str">
            <v>NA</v>
          </cell>
          <cell r="N254" t="str">
            <v>NA</v>
          </cell>
          <cell r="O254" t="str">
            <v>NA</v>
          </cell>
          <cell r="P254" t="str">
            <v>NA</v>
          </cell>
          <cell r="Q254" t="str">
            <v>NA</v>
          </cell>
          <cell r="R254" t="str">
            <v>NA</v>
          </cell>
          <cell r="S254" t="str">
            <v>NA</v>
          </cell>
          <cell r="T254" t="str">
            <v>NA</v>
          </cell>
          <cell r="U254" t="str">
            <v>NA</v>
          </cell>
          <cell r="V254" t="str">
            <v>NA</v>
          </cell>
          <cell r="W254" t="str">
            <v>NA</v>
          </cell>
          <cell r="X254" t="str">
            <v>NA</v>
          </cell>
          <cell r="Y254" t="str">
            <v>NA</v>
          </cell>
          <cell r="Z254" t="str">
            <v>NA</v>
          </cell>
          <cell r="AA254" t="str">
            <v>NA</v>
          </cell>
          <cell r="AB254" t="str">
            <v>NA</v>
          </cell>
        </row>
        <row r="255">
          <cell r="A255" t="str">
            <v>Nectandra reticulata</v>
          </cell>
          <cell r="B255" t="str">
            <v>Lauraceae</v>
          </cell>
          <cell r="D255" t="str">
            <v>black</v>
          </cell>
          <cell r="E255" t="str">
            <v>NO</v>
          </cell>
          <cell r="F255" t="str">
            <v>NA</v>
          </cell>
          <cell r="G255" t="str">
            <v>NA</v>
          </cell>
          <cell r="H255" t="str">
            <v>NA</v>
          </cell>
          <cell r="I255" t="str">
            <v>NA</v>
          </cell>
          <cell r="J255" t="str">
            <v>NA</v>
          </cell>
          <cell r="K255" t="str">
            <v>NA</v>
          </cell>
          <cell r="L255" t="str">
            <v>NA</v>
          </cell>
          <cell r="M255" t="str">
            <v>NA</v>
          </cell>
          <cell r="N255" t="str">
            <v>NA</v>
          </cell>
          <cell r="O255" t="str">
            <v>NA</v>
          </cell>
          <cell r="P255" t="str">
            <v>NA</v>
          </cell>
          <cell r="Q255" t="str">
            <v>NA</v>
          </cell>
          <cell r="R255" t="str">
            <v>NA</v>
          </cell>
          <cell r="S255" t="str">
            <v>NA</v>
          </cell>
          <cell r="T255" t="str">
            <v>NA</v>
          </cell>
          <cell r="U255" t="str">
            <v>NA</v>
          </cell>
          <cell r="V255" t="str">
            <v>NA</v>
          </cell>
          <cell r="W255" t="str">
            <v>NA</v>
          </cell>
          <cell r="X255" t="str">
            <v>NA</v>
          </cell>
          <cell r="Y255" t="str">
            <v>NA</v>
          </cell>
          <cell r="Z255" t="str">
            <v>NA</v>
          </cell>
          <cell r="AA255" t="str">
            <v>NA</v>
          </cell>
          <cell r="AB255" t="str">
            <v>NA</v>
          </cell>
        </row>
        <row r="256">
          <cell r="A256" t="str">
            <v>Neomitranthes glomerata</v>
          </cell>
          <cell r="B256" t="str">
            <v>Myrtaceae</v>
          </cell>
          <cell r="D256" t="str">
            <v>black</v>
          </cell>
          <cell r="E256" t="str">
            <v>NO</v>
          </cell>
          <cell r="F256" t="str">
            <v>NA</v>
          </cell>
          <cell r="G256" t="str">
            <v>NA</v>
          </cell>
          <cell r="H256" t="str">
            <v>NA</v>
          </cell>
          <cell r="I256" t="str">
            <v>NA</v>
          </cell>
          <cell r="J256" t="str">
            <v>NA</v>
          </cell>
          <cell r="K256" t="str">
            <v>NA</v>
          </cell>
          <cell r="L256" t="str">
            <v>NA</v>
          </cell>
          <cell r="M256" t="str">
            <v>NA</v>
          </cell>
          <cell r="N256" t="str">
            <v>NA</v>
          </cell>
          <cell r="O256" t="str">
            <v>NA</v>
          </cell>
          <cell r="P256" t="str">
            <v>NA</v>
          </cell>
          <cell r="Q256" t="str">
            <v>NA</v>
          </cell>
          <cell r="R256" t="str">
            <v>NA</v>
          </cell>
          <cell r="S256" t="str">
            <v>NA</v>
          </cell>
          <cell r="T256" t="str">
            <v>NA</v>
          </cell>
          <cell r="U256" t="str">
            <v>NA</v>
          </cell>
          <cell r="V256" t="str">
            <v>NA</v>
          </cell>
          <cell r="W256" t="str">
            <v>NA</v>
          </cell>
          <cell r="X256" t="str">
            <v>NA</v>
          </cell>
          <cell r="Y256" t="str">
            <v>NA</v>
          </cell>
          <cell r="Z256" t="str">
            <v>NA</v>
          </cell>
          <cell r="AA256" t="str">
            <v>NA</v>
          </cell>
          <cell r="AB256" t="str">
            <v>NA</v>
          </cell>
        </row>
        <row r="257">
          <cell r="A257" t="str">
            <v>Ocotea bicolor</v>
          </cell>
          <cell r="B257" t="str">
            <v>Lauraceae</v>
          </cell>
          <cell r="D257" t="str">
            <v>black</v>
          </cell>
          <cell r="E257" t="str">
            <v>NO</v>
          </cell>
          <cell r="F257" t="str">
            <v>NA</v>
          </cell>
          <cell r="G257" t="str">
            <v>NA</v>
          </cell>
          <cell r="H257" t="str">
            <v>NA</v>
          </cell>
          <cell r="I257" t="str">
            <v>NA</v>
          </cell>
          <cell r="J257" t="str">
            <v>NA</v>
          </cell>
          <cell r="K257" t="str">
            <v>NA</v>
          </cell>
          <cell r="L257" t="str">
            <v>NA</v>
          </cell>
          <cell r="M257" t="str">
            <v>NA</v>
          </cell>
          <cell r="N257" t="str">
            <v>NA</v>
          </cell>
          <cell r="O257" t="str">
            <v>NA</v>
          </cell>
          <cell r="P257" t="str">
            <v>NA</v>
          </cell>
          <cell r="Q257" t="str">
            <v>NA</v>
          </cell>
          <cell r="R257" t="str">
            <v>NA</v>
          </cell>
          <cell r="S257" t="str">
            <v>NA</v>
          </cell>
          <cell r="T257" t="str">
            <v>NA</v>
          </cell>
          <cell r="U257" t="str">
            <v>NA</v>
          </cell>
          <cell r="V257" t="str">
            <v>NA</v>
          </cell>
          <cell r="W257" t="str">
            <v>NA</v>
          </cell>
          <cell r="X257" t="str">
            <v>NA</v>
          </cell>
          <cell r="Y257" t="str">
            <v>NA</v>
          </cell>
          <cell r="Z257" t="str">
            <v>NA</v>
          </cell>
          <cell r="AA257" t="str">
            <v>NA</v>
          </cell>
          <cell r="AB257" t="str">
            <v>NA</v>
          </cell>
        </row>
        <row r="258">
          <cell r="A258" t="str">
            <v>Ocotea catharinensis</v>
          </cell>
          <cell r="B258" t="str">
            <v>Lauraceae</v>
          </cell>
          <cell r="D258" t="str">
            <v>NA</v>
          </cell>
          <cell r="E258" t="str">
            <v>NO</v>
          </cell>
          <cell r="F258" t="str">
            <v>NA</v>
          </cell>
          <cell r="G258" t="str">
            <v>NA</v>
          </cell>
          <cell r="H258" t="str">
            <v>NA</v>
          </cell>
          <cell r="I258" t="str">
            <v>NA</v>
          </cell>
          <cell r="J258" t="str">
            <v>NA</v>
          </cell>
          <cell r="K258" t="str">
            <v>NA</v>
          </cell>
          <cell r="L258" t="str">
            <v>NA</v>
          </cell>
          <cell r="M258" t="str">
            <v>NA</v>
          </cell>
          <cell r="N258" t="str">
            <v>NA</v>
          </cell>
          <cell r="O258" t="str">
            <v>NA</v>
          </cell>
          <cell r="P258" t="str">
            <v>NA</v>
          </cell>
          <cell r="Q258" t="str">
            <v>NA</v>
          </cell>
          <cell r="R258" t="str">
            <v>NA</v>
          </cell>
          <cell r="S258" t="str">
            <v>NA</v>
          </cell>
          <cell r="T258" t="str">
            <v>NA</v>
          </cell>
          <cell r="U258" t="str">
            <v>NA</v>
          </cell>
          <cell r="V258" t="str">
            <v>NA</v>
          </cell>
          <cell r="W258" t="str">
            <v>NA</v>
          </cell>
          <cell r="X258" t="str">
            <v>NA</v>
          </cell>
          <cell r="Y258" t="str">
            <v>NA</v>
          </cell>
          <cell r="Z258" t="str">
            <v>NA</v>
          </cell>
          <cell r="AA258" t="str">
            <v>NA</v>
          </cell>
          <cell r="AB258" t="str">
            <v>NA</v>
          </cell>
        </row>
        <row r="259">
          <cell r="A259" t="str">
            <v>Ocotea odorifera</v>
          </cell>
          <cell r="B259" t="str">
            <v>Lauraceae</v>
          </cell>
          <cell r="D259" t="str">
            <v>black</v>
          </cell>
          <cell r="E259" t="str">
            <v>NO</v>
          </cell>
          <cell r="F259" t="str">
            <v>NA</v>
          </cell>
          <cell r="G259" t="str">
            <v>NA</v>
          </cell>
          <cell r="H259" t="str">
            <v>NA</v>
          </cell>
          <cell r="I259" t="str">
            <v>NA</v>
          </cell>
          <cell r="J259" t="str">
            <v>NA</v>
          </cell>
          <cell r="K259" t="str">
            <v>NA</v>
          </cell>
          <cell r="L259" t="str">
            <v>NA</v>
          </cell>
          <cell r="M259" t="str">
            <v>NA</v>
          </cell>
          <cell r="N259" t="str">
            <v>NA</v>
          </cell>
          <cell r="O259" t="str">
            <v>NA</v>
          </cell>
          <cell r="P259" t="str">
            <v>NA</v>
          </cell>
          <cell r="Q259" t="str">
            <v>NA</v>
          </cell>
          <cell r="R259" t="str">
            <v>NA</v>
          </cell>
          <cell r="S259" t="str">
            <v>NA</v>
          </cell>
          <cell r="T259" t="str">
            <v>NA</v>
          </cell>
          <cell r="U259" t="str">
            <v>NA</v>
          </cell>
          <cell r="V259" t="str">
            <v>NA</v>
          </cell>
          <cell r="W259" t="str">
            <v>NA</v>
          </cell>
          <cell r="X259" t="str">
            <v>NA</v>
          </cell>
          <cell r="Y259" t="str">
            <v>NA</v>
          </cell>
          <cell r="Z259" t="str">
            <v>NA</v>
          </cell>
          <cell r="AA259" t="str">
            <v>NA</v>
          </cell>
          <cell r="AB259" t="str">
            <v>NA</v>
          </cell>
        </row>
        <row r="260">
          <cell r="A260" t="str">
            <v>Ocotea puberula</v>
          </cell>
          <cell r="B260" t="str">
            <v>Lauraceae</v>
          </cell>
          <cell r="D260" t="str">
            <v>black</v>
          </cell>
          <cell r="E260" t="str">
            <v>NO</v>
          </cell>
          <cell r="F260" t="str">
            <v>NA</v>
          </cell>
          <cell r="G260" t="str">
            <v>NA</v>
          </cell>
          <cell r="H260" t="str">
            <v>NA</v>
          </cell>
          <cell r="I260" t="str">
            <v>NA</v>
          </cell>
          <cell r="J260" t="str">
            <v>NA</v>
          </cell>
          <cell r="K260" t="str">
            <v>NA</v>
          </cell>
          <cell r="L260" t="str">
            <v>NA</v>
          </cell>
          <cell r="M260" t="str">
            <v>NA</v>
          </cell>
          <cell r="N260" t="str">
            <v>NA</v>
          </cell>
          <cell r="O260" t="str">
            <v>NA</v>
          </cell>
          <cell r="P260" t="str">
            <v>NA</v>
          </cell>
          <cell r="Q260" t="str">
            <v>NA</v>
          </cell>
          <cell r="R260" t="str">
            <v>NA</v>
          </cell>
          <cell r="S260" t="str">
            <v>NA</v>
          </cell>
          <cell r="T260" t="str">
            <v>NA</v>
          </cell>
          <cell r="U260" t="str">
            <v>NA</v>
          </cell>
          <cell r="V260" t="str">
            <v>NA</v>
          </cell>
          <cell r="W260" t="str">
            <v>NA</v>
          </cell>
          <cell r="X260" t="str">
            <v>NA</v>
          </cell>
          <cell r="Y260" t="str">
            <v>NA</v>
          </cell>
          <cell r="Z260" t="str">
            <v>NA</v>
          </cell>
          <cell r="AA260" t="str">
            <v>NA</v>
          </cell>
          <cell r="AB260" t="str">
            <v>NA</v>
          </cell>
        </row>
        <row r="261">
          <cell r="A261" t="str">
            <v>Ocotea spixiana</v>
          </cell>
          <cell r="B261" t="str">
            <v>Lauraceae</v>
          </cell>
          <cell r="D261" t="str">
            <v>black</v>
          </cell>
          <cell r="E261" t="str">
            <v>NO</v>
          </cell>
          <cell r="F261" t="str">
            <v>NA</v>
          </cell>
          <cell r="G261" t="str">
            <v>NA</v>
          </cell>
          <cell r="H261" t="str">
            <v>NA</v>
          </cell>
          <cell r="I261" t="str">
            <v>NA</v>
          </cell>
          <cell r="J261" t="str">
            <v>NA</v>
          </cell>
          <cell r="K261" t="str">
            <v>NA</v>
          </cell>
          <cell r="L261" t="str">
            <v>NA</v>
          </cell>
          <cell r="M261" t="str">
            <v>NA</v>
          </cell>
          <cell r="N261" t="str">
            <v>NA</v>
          </cell>
          <cell r="O261" t="str">
            <v>NA</v>
          </cell>
          <cell r="P261" t="str">
            <v>NA</v>
          </cell>
          <cell r="Q261" t="str">
            <v>NA</v>
          </cell>
          <cell r="R261" t="str">
            <v>NA</v>
          </cell>
          <cell r="S261" t="str">
            <v>NA</v>
          </cell>
          <cell r="T261" t="str">
            <v>NA</v>
          </cell>
          <cell r="U261" t="str">
            <v>NA</v>
          </cell>
          <cell r="V261" t="str">
            <v>NA</v>
          </cell>
          <cell r="W261" t="str">
            <v>NA</v>
          </cell>
          <cell r="X261" t="str">
            <v>NA</v>
          </cell>
          <cell r="Y261" t="str">
            <v>NA</v>
          </cell>
          <cell r="Z261" t="str">
            <v>NA</v>
          </cell>
          <cell r="AA261" t="str">
            <v>NA</v>
          </cell>
          <cell r="AB261" t="str">
            <v>NA</v>
          </cell>
        </row>
        <row r="262">
          <cell r="A262" t="str">
            <v>Ocotea spixiana</v>
          </cell>
          <cell r="B262" t="str">
            <v>Lauraceae</v>
          </cell>
          <cell r="D262" t="str">
            <v>black</v>
          </cell>
          <cell r="E262" t="str">
            <v>NO</v>
          </cell>
          <cell r="F262" t="str">
            <v>NA</v>
          </cell>
          <cell r="G262" t="str">
            <v>NA</v>
          </cell>
          <cell r="H262" t="str">
            <v>NA</v>
          </cell>
          <cell r="I262" t="str">
            <v>NA</v>
          </cell>
          <cell r="J262" t="str">
            <v>NA</v>
          </cell>
          <cell r="K262" t="str">
            <v>NA</v>
          </cell>
          <cell r="L262" t="str">
            <v>NA</v>
          </cell>
          <cell r="M262" t="str">
            <v>NA</v>
          </cell>
          <cell r="N262" t="str">
            <v>NA</v>
          </cell>
          <cell r="O262" t="str">
            <v>NA</v>
          </cell>
          <cell r="P262" t="str">
            <v>NA</v>
          </cell>
          <cell r="Q262" t="str">
            <v>NA</v>
          </cell>
          <cell r="R262" t="str">
            <v>NA</v>
          </cell>
          <cell r="S262" t="str">
            <v>NA</v>
          </cell>
          <cell r="T262" t="str">
            <v>NA</v>
          </cell>
          <cell r="U262" t="str">
            <v>NA</v>
          </cell>
          <cell r="V262" t="str">
            <v>NA</v>
          </cell>
          <cell r="W262" t="str">
            <v>NA</v>
          </cell>
          <cell r="X262" t="str">
            <v>NA</v>
          </cell>
          <cell r="Y262" t="str">
            <v>NA</v>
          </cell>
          <cell r="Z262" t="str">
            <v>NA</v>
          </cell>
          <cell r="AA262" t="str">
            <v>NA</v>
          </cell>
          <cell r="AB262" t="str">
            <v>NA</v>
          </cell>
        </row>
        <row r="263">
          <cell r="A263" t="str">
            <v>Ocotea teleiandra</v>
          </cell>
          <cell r="B263" t="str">
            <v>Lauraceae</v>
          </cell>
          <cell r="D263" t="str">
            <v>black</v>
          </cell>
          <cell r="E263" t="str">
            <v>NO</v>
          </cell>
          <cell r="F263" t="str">
            <v>NA</v>
          </cell>
          <cell r="G263" t="str">
            <v>NA</v>
          </cell>
          <cell r="H263" t="str">
            <v>NA</v>
          </cell>
          <cell r="I263" t="str">
            <v>NA</v>
          </cell>
          <cell r="J263" t="str">
            <v>NA</v>
          </cell>
          <cell r="K263" t="str">
            <v>NA</v>
          </cell>
          <cell r="L263" t="str">
            <v>NA</v>
          </cell>
          <cell r="M263" t="str">
            <v>NA</v>
          </cell>
          <cell r="N263" t="str">
            <v>NA</v>
          </cell>
          <cell r="O263" t="str">
            <v>NA</v>
          </cell>
          <cell r="P263" t="str">
            <v>NA</v>
          </cell>
          <cell r="Q263" t="str">
            <v>NA</v>
          </cell>
          <cell r="R263" t="str">
            <v>NA</v>
          </cell>
          <cell r="S263" t="str">
            <v>NA</v>
          </cell>
          <cell r="T263" t="str">
            <v>NA</v>
          </cell>
          <cell r="U263" t="str">
            <v>NA</v>
          </cell>
          <cell r="V263" t="str">
            <v>NA</v>
          </cell>
          <cell r="W263" t="str">
            <v>NA</v>
          </cell>
          <cell r="X263" t="str">
            <v>NA</v>
          </cell>
          <cell r="Y263" t="str">
            <v>NA</v>
          </cell>
          <cell r="Z263" t="str">
            <v>NA</v>
          </cell>
          <cell r="AA263" t="str">
            <v>NA</v>
          </cell>
          <cell r="AB263" t="str">
            <v>NA</v>
          </cell>
        </row>
        <row r="264">
          <cell r="A264" t="str">
            <v>Ossaea amygdaloides</v>
          </cell>
          <cell r="B264" t="str">
            <v>Melastomataceae</v>
          </cell>
          <cell r="D264" t="str">
            <v>black</v>
          </cell>
          <cell r="E264" t="str">
            <v>NO</v>
          </cell>
          <cell r="F264" t="str">
            <v>NA</v>
          </cell>
          <cell r="G264" t="str">
            <v>NA</v>
          </cell>
          <cell r="H264" t="str">
            <v>NA</v>
          </cell>
          <cell r="I264" t="str">
            <v>NA</v>
          </cell>
          <cell r="J264" t="str">
            <v>NA</v>
          </cell>
          <cell r="K264" t="str">
            <v>NA</v>
          </cell>
          <cell r="L264" t="str">
            <v>NA</v>
          </cell>
          <cell r="M264" t="str">
            <v>NA</v>
          </cell>
          <cell r="N264" t="str">
            <v>NA</v>
          </cell>
          <cell r="O264" t="str">
            <v>NA</v>
          </cell>
          <cell r="P264" t="str">
            <v>NA</v>
          </cell>
          <cell r="Q264" t="str">
            <v>NA</v>
          </cell>
          <cell r="R264" t="str">
            <v>NA</v>
          </cell>
          <cell r="S264" t="str">
            <v>NA</v>
          </cell>
          <cell r="T264" t="str">
            <v>NA</v>
          </cell>
          <cell r="U264" t="str">
            <v>NA</v>
          </cell>
          <cell r="V264" t="str">
            <v>NA</v>
          </cell>
          <cell r="W264" t="str">
            <v>NA</v>
          </cell>
          <cell r="X264" t="str">
            <v>NA</v>
          </cell>
          <cell r="Y264" t="str">
            <v>NA</v>
          </cell>
          <cell r="Z264" t="str">
            <v>NA</v>
          </cell>
          <cell r="AA264" t="str">
            <v>NA</v>
          </cell>
          <cell r="AB264" t="str">
            <v>NA</v>
          </cell>
        </row>
        <row r="265">
          <cell r="A265" t="str">
            <v>Ouratea vaccinioides</v>
          </cell>
          <cell r="B265" t="str">
            <v>Ochnaceae</v>
          </cell>
          <cell r="D265" t="str">
            <v>black</v>
          </cell>
          <cell r="E265" t="str">
            <v>NO</v>
          </cell>
          <cell r="F265" t="str">
            <v>NA</v>
          </cell>
          <cell r="G265" t="str">
            <v>NA</v>
          </cell>
          <cell r="H265" t="str">
            <v>NA</v>
          </cell>
          <cell r="I265" t="str">
            <v>NA</v>
          </cell>
          <cell r="J265" t="str">
            <v>NA</v>
          </cell>
          <cell r="K265" t="str">
            <v>NA</v>
          </cell>
          <cell r="L265" t="str">
            <v>NA</v>
          </cell>
          <cell r="M265" t="str">
            <v>NA</v>
          </cell>
          <cell r="N265" t="str">
            <v>NA</v>
          </cell>
          <cell r="O265" t="str">
            <v>NA</v>
          </cell>
          <cell r="P265" t="str">
            <v>NA</v>
          </cell>
          <cell r="Q265" t="str">
            <v>NA</v>
          </cell>
          <cell r="R265" t="str">
            <v>NA</v>
          </cell>
          <cell r="S265" t="str">
            <v>NA</v>
          </cell>
          <cell r="T265" t="str">
            <v>NA</v>
          </cell>
          <cell r="U265" t="str">
            <v>NA</v>
          </cell>
          <cell r="V265" t="str">
            <v>NA</v>
          </cell>
          <cell r="W265" t="str">
            <v>NA</v>
          </cell>
          <cell r="X265" t="str">
            <v>NA</v>
          </cell>
          <cell r="Y265" t="str">
            <v>NA</v>
          </cell>
          <cell r="Z265" t="str">
            <v>NA</v>
          </cell>
          <cell r="AA265" t="str">
            <v>NA</v>
          </cell>
          <cell r="AB265" t="str">
            <v>NA</v>
          </cell>
        </row>
        <row r="266">
          <cell r="A266" t="str">
            <v>Paullinia uloptera</v>
          </cell>
          <cell r="B266" t="str">
            <v>Sapindaceae</v>
          </cell>
          <cell r="D266" t="str">
            <v>multicolor</v>
          </cell>
          <cell r="E266" t="str">
            <v>NO</v>
          </cell>
          <cell r="F266" t="str">
            <v>NA</v>
          </cell>
          <cell r="G266" t="str">
            <v>NA</v>
          </cell>
          <cell r="H266" t="str">
            <v>NA</v>
          </cell>
          <cell r="I266" t="str">
            <v>NA</v>
          </cell>
          <cell r="J266" t="str">
            <v>NA</v>
          </cell>
          <cell r="K266" t="str">
            <v>NA</v>
          </cell>
          <cell r="L266" t="str">
            <v>NA</v>
          </cell>
          <cell r="M266" t="str">
            <v>NA</v>
          </cell>
          <cell r="N266" t="str">
            <v>NA</v>
          </cell>
          <cell r="O266" t="str">
            <v>NA</v>
          </cell>
          <cell r="P266" t="str">
            <v>NA</v>
          </cell>
          <cell r="Q266" t="str">
            <v>NA</v>
          </cell>
          <cell r="R266" t="str">
            <v>NA</v>
          </cell>
          <cell r="S266" t="str">
            <v>NA</v>
          </cell>
          <cell r="T266" t="str">
            <v>NA</v>
          </cell>
          <cell r="U266" t="str">
            <v>NA</v>
          </cell>
          <cell r="V266" t="str">
            <v>NA</v>
          </cell>
          <cell r="W266" t="str">
            <v>NA</v>
          </cell>
          <cell r="X266" t="str">
            <v>NA</v>
          </cell>
          <cell r="Y266" t="str">
            <v>NA</v>
          </cell>
          <cell r="Z266" t="str">
            <v>NA</v>
          </cell>
          <cell r="AA266" t="str">
            <v>NA</v>
          </cell>
          <cell r="AB266" t="str">
            <v>NA</v>
          </cell>
        </row>
        <row r="267">
          <cell r="A267" t="str">
            <v>Persea alba</v>
          </cell>
          <cell r="B267" t="str">
            <v>Lauraceae</v>
          </cell>
          <cell r="D267" t="str">
            <v>black</v>
          </cell>
          <cell r="E267" t="str">
            <v>NO</v>
          </cell>
          <cell r="F267" t="str">
            <v>NA</v>
          </cell>
          <cell r="G267" t="str">
            <v>NA</v>
          </cell>
          <cell r="H267" t="str">
            <v>NA</v>
          </cell>
          <cell r="I267" t="str">
            <v>NA</v>
          </cell>
          <cell r="J267" t="str">
            <v>NA</v>
          </cell>
          <cell r="K267" t="str">
            <v>NA</v>
          </cell>
          <cell r="L267" t="str">
            <v>NA</v>
          </cell>
          <cell r="M267" t="str">
            <v>NA</v>
          </cell>
          <cell r="N267" t="str">
            <v>NA</v>
          </cell>
          <cell r="O267" t="str">
            <v>NA</v>
          </cell>
          <cell r="P267" t="str">
            <v>NA</v>
          </cell>
          <cell r="Q267" t="str">
            <v>NA</v>
          </cell>
          <cell r="R267" t="str">
            <v>NA</v>
          </cell>
          <cell r="S267" t="str">
            <v>NA</v>
          </cell>
          <cell r="T267" t="str">
            <v>NA</v>
          </cell>
          <cell r="U267" t="str">
            <v>NA</v>
          </cell>
          <cell r="V267" t="str">
            <v>NA</v>
          </cell>
          <cell r="W267" t="str">
            <v>NA</v>
          </cell>
          <cell r="X267" t="str">
            <v>NA</v>
          </cell>
          <cell r="Y267" t="str">
            <v>NA</v>
          </cell>
          <cell r="Z267" t="str">
            <v>NA</v>
          </cell>
          <cell r="AA267" t="str">
            <v>NA</v>
          </cell>
          <cell r="AB267" t="str">
            <v>NA</v>
          </cell>
        </row>
        <row r="268">
          <cell r="A268" t="str">
            <v>Persea willdenovii</v>
          </cell>
          <cell r="B268" t="str">
            <v>Lauraceae</v>
          </cell>
          <cell r="D268" t="str">
            <v>black</v>
          </cell>
          <cell r="E268" t="str">
            <v>NO</v>
          </cell>
          <cell r="F268" t="str">
            <v>NA</v>
          </cell>
          <cell r="G268" t="str">
            <v>NA</v>
          </cell>
          <cell r="H268" t="str">
            <v>NA</v>
          </cell>
          <cell r="I268" t="str">
            <v>NA</v>
          </cell>
          <cell r="J268" t="str">
            <v>NA</v>
          </cell>
          <cell r="K268" t="str">
            <v>NA</v>
          </cell>
          <cell r="L268" t="str">
            <v>NA</v>
          </cell>
          <cell r="M268" t="str">
            <v>NA</v>
          </cell>
          <cell r="N268" t="str">
            <v>NA</v>
          </cell>
          <cell r="O268" t="str">
            <v>NA</v>
          </cell>
          <cell r="P268" t="str">
            <v>NA</v>
          </cell>
          <cell r="Q268" t="str">
            <v>NA</v>
          </cell>
          <cell r="R268" t="str">
            <v>NA</v>
          </cell>
          <cell r="S268" t="str">
            <v>NA</v>
          </cell>
          <cell r="T268" t="str">
            <v>NA</v>
          </cell>
          <cell r="U268" t="str">
            <v>NA</v>
          </cell>
          <cell r="V268" t="str">
            <v>NA</v>
          </cell>
          <cell r="W268" t="str">
            <v>NA</v>
          </cell>
          <cell r="X268" t="str">
            <v>NA</v>
          </cell>
          <cell r="Y268" t="str">
            <v>NA</v>
          </cell>
          <cell r="Z268" t="str">
            <v>NA</v>
          </cell>
          <cell r="AA268" t="str">
            <v>NA</v>
          </cell>
          <cell r="AB268" t="str">
            <v>NA</v>
          </cell>
        </row>
        <row r="269">
          <cell r="A269" t="str">
            <v>Philodendron appendiculatum</v>
          </cell>
          <cell r="B269" t="str">
            <v>Araceae</v>
          </cell>
          <cell r="D269" t="str">
            <v>white</v>
          </cell>
          <cell r="E269" t="str">
            <v>NO</v>
          </cell>
          <cell r="F269" t="str">
            <v>NA</v>
          </cell>
          <cell r="G269" t="str">
            <v>NA</v>
          </cell>
          <cell r="H269" t="str">
            <v>NA</v>
          </cell>
          <cell r="I269" t="str">
            <v>NA</v>
          </cell>
          <cell r="J269" t="str">
            <v>NA</v>
          </cell>
          <cell r="K269" t="str">
            <v>NA</v>
          </cell>
          <cell r="L269" t="str">
            <v>NA</v>
          </cell>
          <cell r="M269" t="str">
            <v>NA</v>
          </cell>
          <cell r="N269" t="str">
            <v>NA</v>
          </cell>
          <cell r="O269" t="str">
            <v>NA</v>
          </cell>
          <cell r="P269" t="str">
            <v>NA</v>
          </cell>
          <cell r="Q269" t="str">
            <v>NA</v>
          </cell>
          <cell r="R269" t="str">
            <v>NA</v>
          </cell>
          <cell r="S269" t="str">
            <v>NA</v>
          </cell>
          <cell r="T269" t="str">
            <v>NA</v>
          </cell>
          <cell r="U269" t="str">
            <v>NA</v>
          </cell>
          <cell r="V269" t="str">
            <v>NA</v>
          </cell>
          <cell r="W269" t="str">
            <v>NA</v>
          </cell>
          <cell r="X269" t="str">
            <v>NA</v>
          </cell>
          <cell r="Y269" t="str">
            <v>NA</v>
          </cell>
          <cell r="Z269" t="str">
            <v>NA</v>
          </cell>
          <cell r="AA269" t="str">
            <v>NA</v>
          </cell>
          <cell r="AB269" t="str">
            <v>NA</v>
          </cell>
        </row>
        <row r="270">
          <cell r="A270" t="str">
            <v>Phoenix sylvestris</v>
          </cell>
          <cell r="B270" t="str">
            <v>Arecaceae</v>
          </cell>
          <cell r="D270" t="str">
            <v>black</v>
          </cell>
          <cell r="E270" t="str">
            <v>NO</v>
          </cell>
          <cell r="F270" t="str">
            <v>NA</v>
          </cell>
          <cell r="G270" t="str">
            <v>NA</v>
          </cell>
          <cell r="H270" t="str">
            <v>NA</v>
          </cell>
          <cell r="I270" t="str">
            <v>NA</v>
          </cell>
          <cell r="J270" t="str">
            <v>NA</v>
          </cell>
          <cell r="K270" t="str">
            <v>NA</v>
          </cell>
          <cell r="L270" t="str">
            <v>NA</v>
          </cell>
          <cell r="M270" t="str">
            <v>NA</v>
          </cell>
          <cell r="N270" t="str">
            <v>NA</v>
          </cell>
          <cell r="O270" t="str">
            <v>NA</v>
          </cell>
          <cell r="P270" t="str">
            <v>NA</v>
          </cell>
          <cell r="Q270" t="str">
            <v>NA</v>
          </cell>
          <cell r="R270" t="str">
            <v>NA</v>
          </cell>
          <cell r="S270" t="str">
            <v>NA</v>
          </cell>
          <cell r="T270" t="str">
            <v>NA</v>
          </cell>
          <cell r="U270" t="str">
            <v>NA</v>
          </cell>
          <cell r="V270" t="str">
            <v>NA</v>
          </cell>
          <cell r="W270" t="str">
            <v>NA</v>
          </cell>
          <cell r="X270" t="str">
            <v>NA</v>
          </cell>
          <cell r="Y270" t="str">
            <v>NA</v>
          </cell>
          <cell r="Z270" t="str">
            <v>NA</v>
          </cell>
          <cell r="AA270" t="str">
            <v>NA</v>
          </cell>
          <cell r="AB270" t="str">
            <v>NA</v>
          </cell>
        </row>
        <row r="271">
          <cell r="A271" t="str">
            <v>Phoradendron quadrangulare</v>
          </cell>
          <cell r="B271" t="str">
            <v>Santalaceae</v>
          </cell>
          <cell r="D271" t="str">
            <v>yellow</v>
          </cell>
          <cell r="E271" t="str">
            <v>NO</v>
          </cell>
          <cell r="F271" t="str">
            <v>NA</v>
          </cell>
          <cell r="G271" t="str">
            <v>NA</v>
          </cell>
          <cell r="H271" t="str">
            <v>NA</v>
          </cell>
          <cell r="I271" t="str">
            <v>NA</v>
          </cell>
          <cell r="J271" t="str">
            <v>NA</v>
          </cell>
          <cell r="K271" t="str">
            <v>NA</v>
          </cell>
          <cell r="L271" t="str">
            <v>NA</v>
          </cell>
          <cell r="M271" t="str">
            <v>NA</v>
          </cell>
          <cell r="N271" t="str">
            <v>NA</v>
          </cell>
          <cell r="O271" t="str">
            <v>NA</v>
          </cell>
          <cell r="P271" t="str">
            <v>NA</v>
          </cell>
          <cell r="Q271" t="str">
            <v>NA</v>
          </cell>
          <cell r="R271" t="str">
            <v>NA</v>
          </cell>
          <cell r="S271" t="str">
            <v>NA</v>
          </cell>
          <cell r="T271" t="str">
            <v>NA</v>
          </cell>
          <cell r="U271" t="str">
            <v>NA</v>
          </cell>
          <cell r="V271" t="str">
            <v>NA</v>
          </cell>
          <cell r="W271" t="str">
            <v>NA</v>
          </cell>
          <cell r="X271" t="str">
            <v>NA</v>
          </cell>
          <cell r="Y271" t="str">
            <v>NA</v>
          </cell>
          <cell r="Z271" t="str">
            <v>NA</v>
          </cell>
          <cell r="AA271" t="str">
            <v>NA</v>
          </cell>
          <cell r="AB271" t="str">
            <v>NA</v>
          </cell>
        </row>
        <row r="272">
          <cell r="A272" t="str">
            <v>Piper aduncum</v>
          </cell>
          <cell r="B272" t="str">
            <v>Piperaceae</v>
          </cell>
          <cell r="D272" t="str">
            <v>green</v>
          </cell>
          <cell r="E272" t="str">
            <v>NO</v>
          </cell>
          <cell r="F272" t="str">
            <v>NA</v>
          </cell>
          <cell r="G272" t="str">
            <v>NA</v>
          </cell>
          <cell r="H272" t="str">
            <v>NA</v>
          </cell>
          <cell r="I272" t="str">
            <v>NA</v>
          </cell>
          <cell r="J272" t="str">
            <v>NA</v>
          </cell>
          <cell r="K272" t="str">
            <v>NA</v>
          </cell>
          <cell r="L272" t="str">
            <v>NA</v>
          </cell>
          <cell r="M272" t="str">
            <v>NA</v>
          </cell>
          <cell r="N272" t="str">
            <v>NA</v>
          </cell>
          <cell r="O272" t="str">
            <v>NA</v>
          </cell>
          <cell r="P272" t="str">
            <v>NA</v>
          </cell>
          <cell r="Q272" t="str">
            <v>NA</v>
          </cell>
          <cell r="R272" t="str">
            <v>NA</v>
          </cell>
          <cell r="S272" t="str">
            <v>NA</v>
          </cell>
          <cell r="T272" t="str">
            <v>NA</v>
          </cell>
          <cell r="U272" t="str">
            <v>NA</v>
          </cell>
          <cell r="V272" t="str">
            <v>NA</v>
          </cell>
          <cell r="W272" t="str">
            <v>NA</v>
          </cell>
          <cell r="X272" t="str">
            <v>NA</v>
          </cell>
          <cell r="Y272" t="str">
            <v>NA</v>
          </cell>
          <cell r="Z272" t="str">
            <v>NA</v>
          </cell>
          <cell r="AA272" t="str">
            <v>NA</v>
          </cell>
          <cell r="AB272" t="str">
            <v>NA</v>
          </cell>
        </row>
        <row r="273">
          <cell r="A273" t="str">
            <v>Piper corintoanum</v>
          </cell>
          <cell r="B273" t="str">
            <v>Piperaceae</v>
          </cell>
          <cell r="D273" t="str">
            <v>green</v>
          </cell>
          <cell r="E273" t="str">
            <v>NO</v>
          </cell>
          <cell r="F273" t="str">
            <v>NA</v>
          </cell>
          <cell r="G273" t="str">
            <v>NA</v>
          </cell>
          <cell r="H273" t="str">
            <v>NA</v>
          </cell>
          <cell r="I273" t="str">
            <v>NA</v>
          </cell>
          <cell r="J273" t="str">
            <v>NA</v>
          </cell>
          <cell r="K273" t="str">
            <v>NA</v>
          </cell>
          <cell r="L273" t="str">
            <v>NA</v>
          </cell>
          <cell r="M273" t="str">
            <v>NA</v>
          </cell>
          <cell r="N273" t="str">
            <v>NA</v>
          </cell>
          <cell r="O273" t="str">
            <v>NA</v>
          </cell>
          <cell r="P273" t="str">
            <v>NA</v>
          </cell>
          <cell r="Q273" t="str">
            <v>NA</v>
          </cell>
          <cell r="R273" t="str">
            <v>NA</v>
          </cell>
          <cell r="S273" t="str">
            <v>NA</v>
          </cell>
          <cell r="T273" t="str">
            <v>NA</v>
          </cell>
          <cell r="U273" t="str">
            <v>NA</v>
          </cell>
          <cell r="V273" t="str">
            <v>NA</v>
          </cell>
          <cell r="W273" t="str">
            <v>NA</v>
          </cell>
          <cell r="X273" t="str">
            <v>NA</v>
          </cell>
          <cell r="Y273" t="str">
            <v>NA</v>
          </cell>
          <cell r="Z273" t="str">
            <v>NA</v>
          </cell>
          <cell r="AA273" t="str">
            <v>NA</v>
          </cell>
          <cell r="AB273" t="str">
            <v>NA</v>
          </cell>
        </row>
        <row r="274">
          <cell r="A274" t="str">
            <v>Podocarpus sellowii</v>
          </cell>
          <cell r="B274" t="str">
            <v>Podocarpaceae</v>
          </cell>
          <cell r="D274" t="str">
            <v>NA</v>
          </cell>
          <cell r="E274" t="str">
            <v>NO</v>
          </cell>
          <cell r="F274" t="str">
            <v>NA</v>
          </cell>
          <cell r="G274" t="str">
            <v>NA</v>
          </cell>
          <cell r="H274" t="str">
            <v>NA</v>
          </cell>
          <cell r="I274" t="str">
            <v>NA</v>
          </cell>
          <cell r="J274" t="str">
            <v>NA</v>
          </cell>
          <cell r="K274" t="str">
            <v>NA</v>
          </cell>
          <cell r="L274" t="str">
            <v>NA</v>
          </cell>
          <cell r="M274" t="str">
            <v>NA</v>
          </cell>
          <cell r="N274" t="str">
            <v>NA</v>
          </cell>
          <cell r="O274" t="str">
            <v>NA</v>
          </cell>
          <cell r="P274" t="str">
            <v>NA</v>
          </cell>
          <cell r="Q274" t="str">
            <v>NA</v>
          </cell>
          <cell r="R274" t="str">
            <v>NA</v>
          </cell>
          <cell r="S274" t="str">
            <v>NA</v>
          </cell>
          <cell r="T274" t="str">
            <v>NA</v>
          </cell>
          <cell r="U274" t="str">
            <v>NA</v>
          </cell>
          <cell r="V274" t="str">
            <v>NA</v>
          </cell>
          <cell r="W274" t="str">
            <v>NA</v>
          </cell>
          <cell r="X274" t="str">
            <v>NA</v>
          </cell>
          <cell r="Y274" t="str">
            <v>NA</v>
          </cell>
          <cell r="Z274" t="str">
            <v>NA</v>
          </cell>
          <cell r="AA274" t="str">
            <v>NA</v>
          </cell>
          <cell r="AB274" t="str">
            <v>NA</v>
          </cell>
        </row>
        <row r="275">
          <cell r="A275" t="str">
            <v>Pourouma guianensis</v>
          </cell>
          <cell r="B275" t="str">
            <v>Urticaceae</v>
          </cell>
          <cell r="D275" t="str">
            <v>black</v>
          </cell>
          <cell r="E275" t="str">
            <v>NO</v>
          </cell>
          <cell r="F275" t="str">
            <v>NA</v>
          </cell>
          <cell r="G275" t="str">
            <v>NA</v>
          </cell>
          <cell r="H275" t="str">
            <v>NA</v>
          </cell>
          <cell r="I275" t="str">
            <v>NA</v>
          </cell>
          <cell r="J275" t="str">
            <v>NA</v>
          </cell>
          <cell r="K275" t="str">
            <v>NA</v>
          </cell>
          <cell r="L275" t="str">
            <v>NA</v>
          </cell>
          <cell r="M275" t="str">
            <v>NA</v>
          </cell>
          <cell r="N275" t="str">
            <v>NA</v>
          </cell>
          <cell r="O275" t="str">
            <v>NA</v>
          </cell>
          <cell r="P275" t="str">
            <v>NA</v>
          </cell>
          <cell r="Q275" t="str">
            <v>NA</v>
          </cell>
          <cell r="R275" t="str">
            <v>NA</v>
          </cell>
          <cell r="S275" t="str">
            <v>NA</v>
          </cell>
          <cell r="T275" t="str">
            <v>NA</v>
          </cell>
          <cell r="U275" t="str">
            <v>NA</v>
          </cell>
          <cell r="V275" t="str">
            <v>NA</v>
          </cell>
          <cell r="W275" t="str">
            <v>NA</v>
          </cell>
          <cell r="X275" t="str">
            <v>NA</v>
          </cell>
          <cell r="Y275" t="str">
            <v>NA</v>
          </cell>
          <cell r="Z275" t="str">
            <v>NA</v>
          </cell>
          <cell r="AA275" t="str">
            <v>NA</v>
          </cell>
          <cell r="AB275" t="str">
            <v>NA</v>
          </cell>
        </row>
        <row r="276">
          <cell r="A276" t="str">
            <v>Protium spruceanum</v>
          </cell>
          <cell r="B276" t="str">
            <v>Burseraceae</v>
          </cell>
          <cell r="D276" t="str">
            <v>multicolor</v>
          </cell>
          <cell r="E276" t="str">
            <v>NO</v>
          </cell>
          <cell r="F276" t="str">
            <v>NA</v>
          </cell>
          <cell r="G276" t="str">
            <v>NA</v>
          </cell>
          <cell r="H276" t="str">
            <v>NA</v>
          </cell>
          <cell r="I276" t="str">
            <v>NA</v>
          </cell>
          <cell r="J276" t="str">
            <v>NA</v>
          </cell>
          <cell r="K276" t="str">
            <v>NA</v>
          </cell>
          <cell r="L276" t="str">
            <v>NA</v>
          </cell>
          <cell r="M276" t="str">
            <v>NA</v>
          </cell>
          <cell r="N276" t="str">
            <v>NA</v>
          </cell>
          <cell r="O276" t="str">
            <v>NA</v>
          </cell>
          <cell r="P276" t="str">
            <v>NA</v>
          </cell>
          <cell r="Q276" t="str">
            <v>NA</v>
          </cell>
          <cell r="R276" t="str">
            <v>NA</v>
          </cell>
          <cell r="S276" t="str">
            <v>NA</v>
          </cell>
          <cell r="T276" t="str">
            <v>NA</v>
          </cell>
          <cell r="U276" t="str">
            <v>NA</v>
          </cell>
          <cell r="V276" t="str">
            <v>NA</v>
          </cell>
          <cell r="W276" t="str">
            <v>NA</v>
          </cell>
          <cell r="X276" t="str">
            <v>NA</v>
          </cell>
          <cell r="Y276" t="str">
            <v>NA</v>
          </cell>
          <cell r="Z276" t="str">
            <v>NA</v>
          </cell>
          <cell r="AA276" t="str">
            <v>NA</v>
          </cell>
          <cell r="AB276" t="str">
            <v>NA</v>
          </cell>
        </row>
        <row r="277">
          <cell r="A277" t="str">
            <v>Protium widgrenii</v>
          </cell>
          <cell r="B277" t="str">
            <v>Burseraceae</v>
          </cell>
          <cell r="D277" t="str">
            <v>multicolor</v>
          </cell>
          <cell r="E277" t="str">
            <v>NO</v>
          </cell>
          <cell r="F277" t="str">
            <v>NA</v>
          </cell>
          <cell r="G277" t="str">
            <v>NA</v>
          </cell>
          <cell r="H277" t="str">
            <v>NA</v>
          </cell>
          <cell r="I277" t="str">
            <v>NA</v>
          </cell>
          <cell r="J277" t="str">
            <v>NA</v>
          </cell>
          <cell r="K277" t="str">
            <v>NA</v>
          </cell>
          <cell r="L277" t="str">
            <v>NA</v>
          </cell>
          <cell r="M277" t="str">
            <v>NA</v>
          </cell>
          <cell r="N277" t="str">
            <v>NA</v>
          </cell>
          <cell r="O277" t="str">
            <v>NA</v>
          </cell>
          <cell r="P277" t="str">
            <v>NA</v>
          </cell>
          <cell r="Q277" t="str">
            <v>NA</v>
          </cell>
          <cell r="R277" t="str">
            <v>NA</v>
          </cell>
          <cell r="S277" t="str">
            <v>NA</v>
          </cell>
          <cell r="T277" t="str">
            <v>NA</v>
          </cell>
          <cell r="U277" t="str">
            <v>NA</v>
          </cell>
          <cell r="V277" t="str">
            <v>NA</v>
          </cell>
          <cell r="W277" t="str">
            <v>NA</v>
          </cell>
          <cell r="X277" t="str">
            <v>NA</v>
          </cell>
          <cell r="Y277" t="str">
            <v>NA</v>
          </cell>
          <cell r="Z277" t="str">
            <v>NA</v>
          </cell>
          <cell r="AA277" t="str">
            <v>NA</v>
          </cell>
          <cell r="AB277" t="str">
            <v>NA</v>
          </cell>
        </row>
        <row r="278">
          <cell r="A278" t="str">
            <v>Prunus myrtifolia</v>
          </cell>
          <cell r="B278" t="str">
            <v>Rosaceae</v>
          </cell>
          <cell r="D278" t="str">
            <v>black</v>
          </cell>
          <cell r="E278" t="str">
            <v>NO</v>
          </cell>
          <cell r="F278" t="str">
            <v>NA</v>
          </cell>
          <cell r="G278" t="str">
            <v>NA</v>
          </cell>
          <cell r="H278" t="str">
            <v>NA</v>
          </cell>
          <cell r="I278" t="str">
            <v>NA</v>
          </cell>
          <cell r="J278" t="str">
            <v>NA</v>
          </cell>
          <cell r="K278" t="str">
            <v>NA</v>
          </cell>
          <cell r="L278" t="str">
            <v>NA</v>
          </cell>
          <cell r="M278" t="str">
            <v>NA</v>
          </cell>
          <cell r="N278" t="str">
            <v>NA</v>
          </cell>
          <cell r="O278" t="str">
            <v>NA</v>
          </cell>
          <cell r="P278" t="str">
            <v>NA</v>
          </cell>
          <cell r="Q278" t="str">
            <v>NA</v>
          </cell>
          <cell r="R278" t="str">
            <v>NA</v>
          </cell>
          <cell r="S278" t="str">
            <v>NA</v>
          </cell>
          <cell r="T278" t="str">
            <v>NA</v>
          </cell>
          <cell r="U278" t="str">
            <v>NA</v>
          </cell>
          <cell r="V278" t="str">
            <v>NA</v>
          </cell>
          <cell r="W278" t="str">
            <v>NA</v>
          </cell>
          <cell r="X278" t="str">
            <v>NA</v>
          </cell>
          <cell r="Y278" t="str">
            <v>NA</v>
          </cell>
          <cell r="Z278" t="str">
            <v>NA</v>
          </cell>
          <cell r="AA278" t="str">
            <v>NA</v>
          </cell>
          <cell r="AB278" t="str">
            <v>NA</v>
          </cell>
        </row>
        <row r="279">
          <cell r="A279" t="str">
            <v>Prunus persica</v>
          </cell>
          <cell r="B279" t="str">
            <v>Rosaceae</v>
          </cell>
          <cell r="D279" t="str">
            <v>black</v>
          </cell>
          <cell r="E279" t="str">
            <v>NO</v>
          </cell>
          <cell r="F279" t="str">
            <v>NA</v>
          </cell>
          <cell r="G279" t="str">
            <v>NA</v>
          </cell>
          <cell r="H279" t="str">
            <v>NA</v>
          </cell>
          <cell r="I279" t="str">
            <v>NA</v>
          </cell>
          <cell r="J279" t="str">
            <v>NA</v>
          </cell>
          <cell r="K279" t="str">
            <v>NA</v>
          </cell>
          <cell r="L279" t="str">
            <v>NA</v>
          </cell>
          <cell r="M279" t="str">
            <v>NA</v>
          </cell>
          <cell r="N279" t="str">
            <v>NA</v>
          </cell>
          <cell r="O279" t="str">
            <v>NA</v>
          </cell>
          <cell r="P279" t="str">
            <v>NA</v>
          </cell>
          <cell r="Q279" t="str">
            <v>NA</v>
          </cell>
          <cell r="R279" t="str">
            <v>NA</v>
          </cell>
          <cell r="S279" t="str">
            <v>NA</v>
          </cell>
          <cell r="T279" t="str">
            <v>NA</v>
          </cell>
          <cell r="U279" t="str">
            <v>NA</v>
          </cell>
          <cell r="V279" t="str">
            <v>NA</v>
          </cell>
          <cell r="W279" t="str">
            <v>NA</v>
          </cell>
          <cell r="X279" t="str">
            <v>NA</v>
          </cell>
          <cell r="Y279" t="str">
            <v>NA</v>
          </cell>
          <cell r="Z279" t="str">
            <v>NA</v>
          </cell>
          <cell r="AA279" t="str">
            <v>NA</v>
          </cell>
          <cell r="AB279" t="str">
            <v>NA</v>
          </cell>
        </row>
        <row r="280">
          <cell r="A280" t="str">
            <v>Psidium cattleianum</v>
          </cell>
          <cell r="B280" t="str">
            <v>Myrtaceae</v>
          </cell>
          <cell r="D280" t="str">
            <v>yellow</v>
          </cell>
          <cell r="E280" t="str">
            <v>NO</v>
          </cell>
          <cell r="F280" t="str">
            <v>NA</v>
          </cell>
          <cell r="G280" t="str">
            <v>NA</v>
          </cell>
          <cell r="H280" t="str">
            <v>NA</v>
          </cell>
          <cell r="I280" t="str">
            <v>NA</v>
          </cell>
          <cell r="J280" t="str">
            <v>NA</v>
          </cell>
          <cell r="K280" t="str">
            <v>NA</v>
          </cell>
          <cell r="L280" t="str">
            <v>NA</v>
          </cell>
          <cell r="M280" t="str">
            <v>NA</v>
          </cell>
          <cell r="N280" t="str">
            <v>NA</v>
          </cell>
          <cell r="O280" t="str">
            <v>NA</v>
          </cell>
          <cell r="P280" t="str">
            <v>NA</v>
          </cell>
          <cell r="Q280" t="str">
            <v>NA</v>
          </cell>
          <cell r="R280" t="str">
            <v>NA</v>
          </cell>
          <cell r="S280" t="str">
            <v>NA</v>
          </cell>
          <cell r="T280" t="str">
            <v>NA</v>
          </cell>
          <cell r="U280" t="str">
            <v>NA</v>
          </cell>
          <cell r="V280" t="str">
            <v>NA</v>
          </cell>
          <cell r="W280" t="str">
            <v>NA</v>
          </cell>
          <cell r="X280" t="str">
            <v>NA</v>
          </cell>
          <cell r="Y280" t="str">
            <v>NA</v>
          </cell>
          <cell r="Z280" t="str">
            <v>NA</v>
          </cell>
          <cell r="AA280" t="str">
            <v>NA</v>
          </cell>
          <cell r="AB280" t="str">
            <v>NA</v>
          </cell>
        </row>
        <row r="281">
          <cell r="A281" t="str">
            <v>Psychotria forsteronioides</v>
          </cell>
          <cell r="B281" t="str">
            <v>Rubiaceae</v>
          </cell>
          <cell r="D281" t="str">
            <v>black</v>
          </cell>
          <cell r="E281" t="str">
            <v>NO</v>
          </cell>
          <cell r="F281" t="str">
            <v>NA</v>
          </cell>
          <cell r="G281" t="str">
            <v>NA</v>
          </cell>
          <cell r="H281" t="str">
            <v>NA</v>
          </cell>
          <cell r="I281" t="str">
            <v>NA</v>
          </cell>
          <cell r="J281" t="str">
            <v>NA</v>
          </cell>
          <cell r="K281" t="str">
            <v>NA</v>
          </cell>
          <cell r="L281" t="str">
            <v>NA</v>
          </cell>
          <cell r="M281" t="str">
            <v>NA</v>
          </cell>
          <cell r="N281" t="str">
            <v>NA</v>
          </cell>
          <cell r="O281" t="str">
            <v>NA</v>
          </cell>
          <cell r="P281" t="str">
            <v>NA</v>
          </cell>
          <cell r="Q281" t="str">
            <v>NA</v>
          </cell>
          <cell r="R281" t="str">
            <v>NA</v>
          </cell>
          <cell r="S281" t="str">
            <v>NA</v>
          </cell>
          <cell r="T281" t="str">
            <v>NA</v>
          </cell>
          <cell r="U281" t="str">
            <v>NA</v>
          </cell>
          <cell r="V281" t="str">
            <v>NA</v>
          </cell>
          <cell r="W281" t="str">
            <v>NA</v>
          </cell>
          <cell r="X281" t="str">
            <v>NA</v>
          </cell>
          <cell r="Y281" t="str">
            <v>NA</v>
          </cell>
          <cell r="Z281" t="str">
            <v>NA</v>
          </cell>
          <cell r="AA281" t="str">
            <v>NA</v>
          </cell>
          <cell r="AB281" t="str">
            <v>NA</v>
          </cell>
        </row>
        <row r="282">
          <cell r="A282" t="str">
            <v>Psychotria gracilenta</v>
          </cell>
          <cell r="B282" t="str">
            <v>Rubiaceae</v>
          </cell>
          <cell r="D282" t="str">
            <v>black</v>
          </cell>
          <cell r="E282" t="str">
            <v>NO</v>
          </cell>
          <cell r="F282" t="str">
            <v>NA</v>
          </cell>
          <cell r="G282" t="str">
            <v>NA</v>
          </cell>
          <cell r="H282" t="str">
            <v>NA</v>
          </cell>
          <cell r="I282" t="str">
            <v>NA</v>
          </cell>
          <cell r="J282" t="str">
            <v>NA</v>
          </cell>
          <cell r="K282" t="str">
            <v>NA</v>
          </cell>
          <cell r="L282" t="str">
            <v>NA</v>
          </cell>
          <cell r="M282" t="str">
            <v>NA</v>
          </cell>
          <cell r="N282" t="str">
            <v>NA</v>
          </cell>
          <cell r="O282" t="str">
            <v>NA</v>
          </cell>
          <cell r="P282" t="str">
            <v>NA</v>
          </cell>
          <cell r="Q282" t="str">
            <v>NA</v>
          </cell>
          <cell r="R282" t="str">
            <v>NA</v>
          </cell>
          <cell r="S282" t="str">
            <v>NA</v>
          </cell>
          <cell r="T282" t="str">
            <v>NA</v>
          </cell>
          <cell r="U282" t="str">
            <v>NA</v>
          </cell>
          <cell r="V282" t="str">
            <v>NA</v>
          </cell>
          <cell r="W282" t="str">
            <v>NA</v>
          </cell>
          <cell r="X282" t="str">
            <v>NA</v>
          </cell>
          <cell r="Y282" t="str">
            <v>NA</v>
          </cell>
          <cell r="Z282" t="str">
            <v>NA</v>
          </cell>
          <cell r="AA282" t="str">
            <v>NA</v>
          </cell>
          <cell r="AB282" t="str">
            <v>NA</v>
          </cell>
        </row>
        <row r="283">
          <cell r="A283" t="str">
            <v>Psychotria leiocarpa</v>
          </cell>
          <cell r="B283" t="str">
            <v>Rubiaceae</v>
          </cell>
          <cell r="D283" t="str">
            <v>NA</v>
          </cell>
          <cell r="E283" t="str">
            <v>NO</v>
          </cell>
          <cell r="F283" t="str">
            <v>NA</v>
          </cell>
          <cell r="G283" t="str">
            <v>NA</v>
          </cell>
          <cell r="H283" t="str">
            <v>NA</v>
          </cell>
          <cell r="I283" t="str">
            <v>NA</v>
          </cell>
          <cell r="J283" t="str">
            <v>NA</v>
          </cell>
          <cell r="K283" t="str">
            <v>NA</v>
          </cell>
          <cell r="L283" t="str">
            <v>NA</v>
          </cell>
          <cell r="M283" t="str">
            <v>NA</v>
          </cell>
          <cell r="N283" t="str">
            <v>NA</v>
          </cell>
          <cell r="O283" t="str">
            <v>NA</v>
          </cell>
          <cell r="P283" t="str">
            <v>NA</v>
          </cell>
          <cell r="Q283" t="str">
            <v>NA</v>
          </cell>
          <cell r="R283" t="str">
            <v>NA</v>
          </cell>
          <cell r="S283" t="str">
            <v>NA</v>
          </cell>
          <cell r="T283" t="str">
            <v>NA</v>
          </cell>
          <cell r="U283" t="str">
            <v>NA</v>
          </cell>
          <cell r="V283" t="str">
            <v>NA</v>
          </cell>
          <cell r="W283" t="str">
            <v>NA</v>
          </cell>
          <cell r="X283" t="str">
            <v>NA</v>
          </cell>
          <cell r="Y283" t="str">
            <v>NA</v>
          </cell>
          <cell r="Z283" t="str">
            <v>NA</v>
          </cell>
          <cell r="AA283" t="str">
            <v>NA</v>
          </cell>
          <cell r="AB283" t="str">
            <v>NA</v>
          </cell>
        </row>
        <row r="284">
          <cell r="A284" t="str">
            <v>Psychotria mapourioides</v>
          </cell>
          <cell r="B284" t="str">
            <v>Rubiaceae</v>
          </cell>
          <cell r="D284" t="str">
            <v>red</v>
          </cell>
          <cell r="E284" t="str">
            <v>NO</v>
          </cell>
          <cell r="F284" t="str">
            <v>NA</v>
          </cell>
          <cell r="G284" t="str">
            <v>NA</v>
          </cell>
          <cell r="H284" t="str">
            <v>NA</v>
          </cell>
          <cell r="I284" t="str">
            <v>NA</v>
          </cell>
          <cell r="J284" t="str">
            <v>NA</v>
          </cell>
          <cell r="K284" t="str">
            <v>NA</v>
          </cell>
          <cell r="L284" t="str">
            <v>NA</v>
          </cell>
          <cell r="M284" t="str">
            <v>NA</v>
          </cell>
          <cell r="N284" t="str">
            <v>NA</v>
          </cell>
          <cell r="O284" t="str">
            <v>NA</v>
          </cell>
          <cell r="P284" t="str">
            <v>NA</v>
          </cell>
          <cell r="Q284" t="str">
            <v>NA</v>
          </cell>
          <cell r="R284" t="str">
            <v>NA</v>
          </cell>
          <cell r="S284" t="str">
            <v>NA</v>
          </cell>
          <cell r="T284" t="str">
            <v>NA</v>
          </cell>
          <cell r="U284" t="str">
            <v>NA</v>
          </cell>
          <cell r="V284" t="str">
            <v>NA</v>
          </cell>
          <cell r="W284" t="str">
            <v>NA</v>
          </cell>
          <cell r="X284" t="str">
            <v>NA</v>
          </cell>
          <cell r="Y284" t="str">
            <v>NA</v>
          </cell>
          <cell r="Z284" t="str">
            <v>NA</v>
          </cell>
          <cell r="AA284" t="str">
            <v>NA</v>
          </cell>
          <cell r="AB284" t="str">
            <v>NA</v>
          </cell>
        </row>
        <row r="285">
          <cell r="A285" t="str">
            <v>Psychotria nuda</v>
          </cell>
          <cell r="B285" t="str">
            <v>Rubiaceae</v>
          </cell>
          <cell r="D285" t="str">
            <v>blue</v>
          </cell>
          <cell r="E285" t="str">
            <v>NO</v>
          </cell>
          <cell r="F285" t="str">
            <v>NA</v>
          </cell>
          <cell r="G285" t="str">
            <v>NA</v>
          </cell>
          <cell r="H285" t="str">
            <v>NA</v>
          </cell>
          <cell r="I285" t="str">
            <v>NA</v>
          </cell>
          <cell r="J285" t="str">
            <v>NA</v>
          </cell>
          <cell r="K285" t="str">
            <v>NA</v>
          </cell>
          <cell r="L285" t="str">
            <v>NA</v>
          </cell>
          <cell r="M285" t="str">
            <v>NA</v>
          </cell>
          <cell r="N285" t="str">
            <v>NA</v>
          </cell>
          <cell r="O285" t="str">
            <v>NA</v>
          </cell>
          <cell r="P285" t="str">
            <v>NA</v>
          </cell>
          <cell r="Q285" t="str">
            <v>NA</v>
          </cell>
          <cell r="R285" t="str">
            <v>NA</v>
          </cell>
          <cell r="S285" t="str">
            <v>NA</v>
          </cell>
          <cell r="T285" t="str">
            <v>NA</v>
          </cell>
          <cell r="U285" t="str">
            <v>NA</v>
          </cell>
          <cell r="V285" t="str">
            <v>NA</v>
          </cell>
          <cell r="W285" t="str">
            <v>NA</v>
          </cell>
          <cell r="X285" t="str">
            <v>NA</v>
          </cell>
          <cell r="Y285" t="str">
            <v>NA</v>
          </cell>
          <cell r="Z285" t="str">
            <v>NA</v>
          </cell>
          <cell r="AA285" t="str">
            <v>NA</v>
          </cell>
          <cell r="AB285" t="str">
            <v>NA</v>
          </cell>
        </row>
        <row r="286">
          <cell r="A286" t="str">
            <v>Psychotria suterella</v>
          </cell>
          <cell r="B286" t="str">
            <v>Rubiaceae</v>
          </cell>
          <cell r="D286" t="str">
            <v>blue</v>
          </cell>
          <cell r="E286" t="str">
            <v>NO</v>
          </cell>
          <cell r="F286" t="str">
            <v>NA</v>
          </cell>
          <cell r="G286" t="str">
            <v>NA</v>
          </cell>
          <cell r="H286" t="str">
            <v>NA</v>
          </cell>
          <cell r="I286" t="str">
            <v>NA</v>
          </cell>
          <cell r="J286" t="str">
            <v>NA</v>
          </cell>
          <cell r="K286" t="str">
            <v>NA</v>
          </cell>
          <cell r="L286" t="str">
            <v>NA</v>
          </cell>
          <cell r="M286" t="str">
            <v>NA</v>
          </cell>
          <cell r="N286" t="str">
            <v>NA</v>
          </cell>
          <cell r="O286" t="str">
            <v>NA</v>
          </cell>
          <cell r="P286" t="str">
            <v>NA</v>
          </cell>
          <cell r="Q286" t="str">
            <v>NA</v>
          </cell>
          <cell r="R286" t="str">
            <v>NA</v>
          </cell>
          <cell r="S286" t="str">
            <v>NA</v>
          </cell>
          <cell r="T286" t="str">
            <v>NA</v>
          </cell>
          <cell r="U286" t="str">
            <v>NA</v>
          </cell>
          <cell r="V286" t="str">
            <v>NA</v>
          </cell>
          <cell r="W286" t="str">
            <v>NA</v>
          </cell>
          <cell r="X286" t="str">
            <v>NA</v>
          </cell>
          <cell r="Y286" t="str">
            <v>NA</v>
          </cell>
          <cell r="Z286" t="str">
            <v>NA</v>
          </cell>
          <cell r="AA286" t="str">
            <v>NA</v>
          </cell>
          <cell r="AB286" t="str">
            <v>NA</v>
          </cell>
        </row>
        <row r="287">
          <cell r="A287" t="str">
            <v>Psychotria vellosiana</v>
          </cell>
          <cell r="B287" t="str">
            <v>Rubiaceae</v>
          </cell>
          <cell r="D287" t="str">
            <v>NA</v>
          </cell>
          <cell r="E287" t="str">
            <v>NO</v>
          </cell>
          <cell r="F287" t="str">
            <v>NA</v>
          </cell>
          <cell r="G287" t="str">
            <v>NA</v>
          </cell>
          <cell r="H287" t="str">
            <v>NA</v>
          </cell>
          <cell r="I287" t="str">
            <v>NA</v>
          </cell>
          <cell r="J287" t="str">
            <v>NA</v>
          </cell>
          <cell r="K287" t="str">
            <v>NA</v>
          </cell>
          <cell r="L287" t="str">
            <v>NA</v>
          </cell>
          <cell r="M287" t="str">
            <v>NA</v>
          </cell>
          <cell r="N287" t="str">
            <v>NA</v>
          </cell>
          <cell r="O287" t="str">
            <v>NA</v>
          </cell>
          <cell r="P287" t="str">
            <v>NA</v>
          </cell>
          <cell r="Q287" t="str">
            <v>NA</v>
          </cell>
          <cell r="R287" t="str">
            <v>NA</v>
          </cell>
          <cell r="S287" t="str">
            <v>NA</v>
          </cell>
          <cell r="T287" t="str">
            <v>NA</v>
          </cell>
          <cell r="U287" t="str">
            <v>NA</v>
          </cell>
          <cell r="V287" t="str">
            <v>NA</v>
          </cell>
          <cell r="W287" t="str">
            <v>NA</v>
          </cell>
          <cell r="X287" t="str">
            <v>NA</v>
          </cell>
          <cell r="Y287" t="str">
            <v>NA</v>
          </cell>
          <cell r="Z287" t="str">
            <v>NA</v>
          </cell>
          <cell r="AA287" t="str">
            <v>NA</v>
          </cell>
          <cell r="AB287" t="str">
            <v>NA</v>
          </cell>
        </row>
        <row r="288">
          <cell r="A288" t="str">
            <v>Rhipsalis paradoxa</v>
          </cell>
          <cell r="B288" t="str">
            <v>Cactaceae</v>
          </cell>
          <cell r="D288" t="str">
            <v>yellow</v>
          </cell>
          <cell r="E288" t="str">
            <v>NO</v>
          </cell>
          <cell r="F288" t="str">
            <v>NA</v>
          </cell>
          <cell r="G288" t="str">
            <v>NA</v>
          </cell>
          <cell r="H288" t="str">
            <v>NA</v>
          </cell>
          <cell r="I288" t="str">
            <v>NA</v>
          </cell>
          <cell r="J288" t="str">
            <v>NA</v>
          </cell>
          <cell r="K288" t="str">
            <v>NA</v>
          </cell>
          <cell r="L288" t="str">
            <v>NA</v>
          </cell>
          <cell r="M288" t="str">
            <v>NA</v>
          </cell>
          <cell r="N288" t="str">
            <v>NA</v>
          </cell>
          <cell r="O288" t="str">
            <v>NA</v>
          </cell>
          <cell r="P288" t="str">
            <v>NA</v>
          </cell>
          <cell r="Q288" t="str">
            <v>NA</v>
          </cell>
          <cell r="R288" t="str">
            <v>NA</v>
          </cell>
          <cell r="S288" t="str">
            <v>NA</v>
          </cell>
          <cell r="T288" t="str">
            <v>NA</v>
          </cell>
          <cell r="U288" t="str">
            <v>NA</v>
          </cell>
          <cell r="V288" t="str">
            <v>NA</v>
          </cell>
          <cell r="W288" t="str">
            <v>NA</v>
          </cell>
          <cell r="X288" t="str">
            <v>NA</v>
          </cell>
          <cell r="Y288" t="str">
            <v>NA</v>
          </cell>
          <cell r="Z288" t="str">
            <v>NA</v>
          </cell>
          <cell r="AA288" t="str">
            <v>NA</v>
          </cell>
          <cell r="AB288" t="str">
            <v>NA</v>
          </cell>
        </row>
        <row r="289">
          <cell r="A289" t="str">
            <v>Rhipsalis teres</v>
          </cell>
          <cell r="B289" t="str">
            <v>Cactaceae</v>
          </cell>
          <cell r="D289" t="str">
            <v>yellow</v>
          </cell>
          <cell r="E289" t="str">
            <v>NO</v>
          </cell>
          <cell r="F289" t="str">
            <v>NA</v>
          </cell>
          <cell r="G289" t="str">
            <v>NA</v>
          </cell>
          <cell r="H289" t="str">
            <v>NA</v>
          </cell>
          <cell r="I289" t="str">
            <v>NA</v>
          </cell>
          <cell r="J289" t="str">
            <v>NA</v>
          </cell>
          <cell r="K289" t="str">
            <v>NA</v>
          </cell>
          <cell r="L289" t="str">
            <v>NA</v>
          </cell>
          <cell r="M289" t="str">
            <v>NA</v>
          </cell>
          <cell r="N289" t="str">
            <v>NA</v>
          </cell>
          <cell r="O289" t="str">
            <v>NA</v>
          </cell>
          <cell r="P289" t="str">
            <v>NA</v>
          </cell>
          <cell r="Q289" t="str">
            <v>NA</v>
          </cell>
          <cell r="R289" t="str">
            <v>NA</v>
          </cell>
          <cell r="S289" t="str">
            <v>NA</v>
          </cell>
          <cell r="T289" t="str">
            <v>NA</v>
          </cell>
          <cell r="U289" t="str">
            <v>NA</v>
          </cell>
          <cell r="V289" t="str">
            <v>NA</v>
          </cell>
          <cell r="W289" t="str">
            <v>NA</v>
          </cell>
          <cell r="X289" t="str">
            <v>NA</v>
          </cell>
          <cell r="Y289" t="str">
            <v>NA</v>
          </cell>
          <cell r="Z289" t="str">
            <v>NA</v>
          </cell>
          <cell r="AA289" t="str">
            <v>NA</v>
          </cell>
          <cell r="AB289" t="str">
            <v>NA</v>
          </cell>
        </row>
        <row r="290">
          <cell r="A290" t="str">
            <v>Roystonea oleraceae</v>
          </cell>
          <cell r="B290" t="str">
            <v>Arecaceae</v>
          </cell>
          <cell r="D290" t="str">
            <v>brown</v>
          </cell>
          <cell r="E290" t="str">
            <v>NO</v>
          </cell>
          <cell r="F290" t="str">
            <v>NA</v>
          </cell>
          <cell r="G290" t="str">
            <v>NA</v>
          </cell>
          <cell r="H290" t="str">
            <v>NA</v>
          </cell>
          <cell r="I290" t="str">
            <v>NA</v>
          </cell>
          <cell r="J290" t="str">
            <v>NA</v>
          </cell>
          <cell r="K290" t="str">
            <v>NA</v>
          </cell>
          <cell r="L290" t="str">
            <v>NA</v>
          </cell>
          <cell r="M290" t="str">
            <v>NA</v>
          </cell>
          <cell r="N290" t="str">
            <v>NA</v>
          </cell>
          <cell r="O290" t="str">
            <v>NA</v>
          </cell>
          <cell r="P290" t="str">
            <v>NA</v>
          </cell>
          <cell r="Q290" t="str">
            <v>NA</v>
          </cell>
          <cell r="R290" t="str">
            <v>NA</v>
          </cell>
          <cell r="S290" t="str">
            <v>NA</v>
          </cell>
          <cell r="T290" t="str">
            <v>NA</v>
          </cell>
          <cell r="U290" t="str">
            <v>NA</v>
          </cell>
          <cell r="V290" t="str">
            <v>NA</v>
          </cell>
          <cell r="W290" t="str">
            <v>NA</v>
          </cell>
          <cell r="X290" t="str">
            <v>NA</v>
          </cell>
          <cell r="Y290" t="str">
            <v>NA</v>
          </cell>
          <cell r="Z290" t="str">
            <v>NA</v>
          </cell>
          <cell r="AA290" t="str">
            <v>NA</v>
          </cell>
          <cell r="AB290" t="str">
            <v>NA</v>
          </cell>
        </row>
        <row r="291">
          <cell r="A291" t="str">
            <v>Rubus brasiliensis</v>
          </cell>
          <cell r="B291" t="str">
            <v>Rosaceae</v>
          </cell>
          <cell r="D291" t="str">
            <v>red</v>
          </cell>
          <cell r="E291" t="str">
            <v>NO</v>
          </cell>
          <cell r="F291" t="str">
            <v>NA</v>
          </cell>
          <cell r="G291" t="str">
            <v>NA</v>
          </cell>
          <cell r="H291" t="str">
            <v>NA</v>
          </cell>
          <cell r="I291" t="str">
            <v>NA</v>
          </cell>
          <cell r="J291" t="str">
            <v>NA</v>
          </cell>
          <cell r="K291" t="str">
            <v>NA</v>
          </cell>
          <cell r="L291" t="str">
            <v>NA</v>
          </cell>
          <cell r="M291" t="str">
            <v>NA</v>
          </cell>
          <cell r="N291" t="str">
            <v>NA</v>
          </cell>
          <cell r="O291" t="str">
            <v>NA</v>
          </cell>
          <cell r="P291" t="str">
            <v>NA</v>
          </cell>
          <cell r="Q291" t="str">
            <v>NA</v>
          </cell>
          <cell r="R291" t="str">
            <v>NA</v>
          </cell>
          <cell r="S291" t="str">
            <v>NA</v>
          </cell>
          <cell r="T291" t="str">
            <v>NA</v>
          </cell>
          <cell r="U291" t="str">
            <v>NA</v>
          </cell>
          <cell r="V291" t="str">
            <v>NA</v>
          </cell>
          <cell r="W291" t="str">
            <v>NA</v>
          </cell>
          <cell r="X291" t="str">
            <v>NA</v>
          </cell>
          <cell r="Y291" t="str">
            <v>NA</v>
          </cell>
          <cell r="Z291" t="str">
            <v>NA</v>
          </cell>
          <cell r="AA291" t="str">
            <v>NA</v>
          </cell>
          <cell r="AB291" t="str">
            <v>NA</v>
          </cell>
        </row>
        <row r="292">
          <cell r="A292" t="str">
            <v>Rubus rosifolius</v>
          </cell>
          <cell r="B292" t="str">
            <v>Rosaceae</v>
          </cell>
          <cell r="D292" t="str">
            <v>red</v>
          </cell>
          <cell r="E292" t="str">
            <v>NO</v>
          </cell>
          <cell r="F292" t="str">
            <v>NA</v>
          </cell>
          <cell r="G292" t="str">
            <v>NA</v>
          </cell>
          <cell r="H292" t="str">
            <v>NA</v>
          </cell>
          <cell r="I292" t="str">
            <v>NA</v>
          </cell>
          <cell r="J292" t="str">
            <v>NA</v>
          </cell>
          <cell r="K292" t="str">
            <v>NA</v>
          </cell>
          <cell r="L292" t="str">
            <v>NA</v>
          </cell>
          <cell r="M292" t="str">
            <v>NA</v>
          </cell>
          <cell r="N292" t="str">
            <v>NA</v>
          </cell>
          <cell r="O292" t="str">
            <v>NA</v>
          </cell>
          <cell r="P292" t="str">
            <v>NA</v>
          </cell>
          <cell r="Q292" t="str">
            <v>NA</v>
          </cell>
          <cell r="R292" t="str">
            <v>NA</v>
          </cell>
          <cell r="S292" t="str">
            <v>NA</v>
          </cell>
          <cell r="T292" t="str">
            <v>NA</v>
          </cell>
          <cell r="U292" t="str">
            <v>NA</v>
          </cell>
          <cell r="V292" t="str">
            <v>NA</v>
          </cell>
          <cell r="W292" t="str">
            <v>NA</v>
          </cell>
          <cell r="X292" t="str">
            <v>NA</v>
          </cell>
          <cell r="Y292" t="str">
            <v>NA</v>
          </cell>
          <cell r="Z292" t="str">
            <v>NA</v>
          </cell>
          <cell r="AA292" t="str">
            <v>NA</v>
          </cell>
          <cell r="AB292" t="str">
            <v>NA</v>
          </cell>
        </row>
        <row r="293">
          <cell r="A293" t="str">
            <v>Rubus urticifolius</v>
          </cell>
          <cell r="B293" t="str">
            <v>Rosaceae</v>
          </cell>
          <cell r="D293" t="str">
            <v>black</v>
          </cell>
          <cell r="E293" t="str">
            <v>NO</v>
          </cell>
          <cell r="F293" t="str">
            <v>NA</v>
          </cell>
          <cell r="G293" t="str">
            <v>NA</v>
          </cell>
          <cell r="H293" t="str">
            <v>NA</v>
          </cell>
          <cell r="I293" t="str">
            <v>NA</v>
          </cell>
          <cell r="J293" t="str">
            <v>NA</v>
          </cell>
          <cell r="K293" t="str">
            <v>NA</v>
          </cell>
          <cell r="L293" t="str">
            <v>NA</v>
          </cell>
          <cell r="M293" t="str">
            <v>NA</v>
          </cell>
          <cell r="N293" t="str">
            <v>NA</v>
          </cell>
          <cell r="O293" t="str">
            <v>NA</v>
          </cell>
          <cell r="P293" t="str">
            <v>NA</v>
          </cell>
          <cell r="Q293" t="str">
            <v>NA</v>
          </cell>
          <cell r="R293" t="str">
            <v>NA</v>
          </cell>
          <cell r="S293" t="str">
            <v>NA</v>
          </cell>
          <cell r="T293" t="str">
            <v>NA</v>
          </cell>
          <cell r="U293" t="str">
            <v>NA</v>
          </cell>
          <cell r="V293" t="str">
            <v>NA</v>
          </cell>
          <cell r="W293" t="str">
            <v>NA</v>
          </cell>
          <cell r="X293" t="str">
            <v>NA</v>
          </cell>
          <cell r="Y293" t="str">
            <v>NA</v>
          </cell>
          <cell r="Z293" t="str">
            <v>NA</v>
          </cell>
          <cell r="AA293" t="str">
            <v>NA</v>
          </cell>
          <cell r="AB293" t="str">
            <v>NA</v>
          </cell>
        </row>
        <row r="294">
          <cell r="A294" t="str">
            <v>Rudgea jasminoides</v>
          </cell>
          <cell r="B294" t="str">
            <v>Rubiaceae</v>
          </cell>
          <cell r="D294" t="str">
            <v>black</v>
          </cell>
          <cell r="E294" t="str">
            <v>NO</v>
          </cell>
          <cell r="F294" t="str">
            <v>NA</v>
          </cell>
          <cell r="G294" t="str">
            <v>NA</v>
          </cell>
          <cell r="H294" t="str">
            <v>NA</v>
          </cell>
          <cell r="I294" t="str">
            <v>NA</v>
          </cell>
          <cell r="J294" t="str">
            <v>NA</v>
          </cell>
          <cell r="K294" t="str">
            <v>NA</v>
          </cell>
          <cell r="L294" t="str">
            <v>NA</v>
          </cell>
          <cell r="M294" t="str">
            <v>NA</v>
          </cell>
          <cell r="N294" t="str">
            <v>NA</v>
          </cell>
          <cell r="O294" t="str">
            <v>NA</v>
          </cell>
          <cell r="P294" t="str">
            <v>NA</v>
          </cell>
          <cell r="Q294" t="str">
            <v>NA</v>
          </cell>
          <cell r="R294" t="str">
            <v>NA</v>
          </cell>
          <cell r="S294" t="str">
            <v>NA</v>
          </cell>
          <cell r="T294" t="str">
            <v>NA</v>
          </cell>
          <cell r="U294" t="str">
            <v>NA</v>
          </cell>
          <cell r="V294" t="str">
            <v>NA</v>
          </cell>
          <cell r="W294" t="str">
            <v>NA</v>
          </cell>
          <cell r="X294" t="str">
            <v>NA</v>
          </cell>
          <cell r="Y294" t="str">
            <v>NA</v>
          </cell>
          <cell r="Z294" t="str">
            <v>NA</v>
          </cell>
          <cell r="AA294" t="str">
            <v>NA</v>
          </cell>
          <cell r="AB294" t="str">
            <v>NA</v>
          </cell>
        </row>
        <row r="295">
          <cell r="A295" t="str">
            <v>Rudgea recurva</v>
          </cell>
          <cell r="B295" t="str">
            <v>Rubiaceae</v>
          </cell>
          <cell r="D295" t="str">
            <v>black</v>
          </cell>
          <cell r="E295" t="str">
            <v>NO</v>
          </cell>
          <cell r="F295" t="str">
            <v>NA</v>
          </cell>
          <cell r="G295" t="str">
            <v>NA</v>
          </cell>
          <cell r="H295" t="str">
            <v>NA</v>
          </cell>
          <cell r="I295" t="str">
            <v>NA</v>
          </cell>
          <cell r="J295" t="str">
            <v>NA</v>
          </cell>
          <cell r="K295" t="str">
            <v>NA</v>
          </cell>
          <cell r="L295" t="str">
            <v>NA</v>
          </cell>
          <cell r="M295" t="str">
            <v>NA</v>
          </cell>
          <cell r="N295" t="str">
            <v>NA</v>
          </cell>
          <cell r="O295" t="str">
            <v>NA</v>
          </cell>
          <cell r="P295" t="str">
            <v>NA</v>
          </cell>
          <cell r="Q295" t="str">
            <v>NA</v>
          </cell>
          <cell r="R295" t="str">
            <v>NA</v>
          </cell>
          <cell r="S295" t="str">
            <v>NA</v>
          </cell>
          <cell r="T295" t="str">
            <v>NA</v>
          </cell>
          <cell r="U295" t="str">
            <v>NA</v>
          </cell>
          <cell r="V295" t="str">
            <v>NA</v>
          </cell>
          <cell r="W295" t="str">
            <v>NA</v>
          </cell>
          <cell r="X295" t="str">
            <v>NA</v>
          </cell>
          <cell r="Y295" t="str">
            <v>NA</v>
          </cell>
          <cell r="Z295" t="str">
            <v>NA</v>
          </cell>
          <cell r="AA295" t="str">
            <v>NA</v>
          </cell>
          <cell r="AB295" t="str">
            <v>NA</v>
          </cell>
        </row>
        <row r="296">
          <cell r="A296" t="str">
            <v>Sapium glandulosum</v>
          </cell>
          <cell r="B296" t="str">
            <v>Euphorbiaceae</v>
          </cell>
          <cell r="D296" t="str">
            <v>red</v>
          </cell>
          <cell r="E296" t="str">
            <v>NO</v>
          </cell>
          <cell r="F296" t="str">
            <v>NA</v>
          </cell>
          <cell r="G296" t="str">
            <v>NA</v>
          </cell>
          <cell r="H296" t="str">
            <v>NA</v>
          </cell>
          <cell r="I296" t="str">
            <v>NA</v>
          </cell>
          <cell r="J296" t="str">
            <v>NA</v>
          </cell>
          <cell r="K296" t="str">
            <v>NA</v>
          </cell>
          <cell r="L296" t="str">
            <v>NA</v>
          </cell>
          <cell r="M296" t="str">
            <v>NA</v>
          </cell>
          <cell r="N296" t="str">
            <v>NA</v>
          </cell>
          <cell r="O296" t="str">
            <v>NA</v>
          </cell>
          <cell r="P296" t="str">
            <v>NA</v>
          </cell>
          <cell r="Q296" t="str">
            <v>NA</v>
          </cell>
          <cell r="R296" t="str">
            <v>NA</v>
          </cell>
          <cell r="S296" t="str">
            <v>NA</v>
          </cell>
          <cell r="T296" t="str">
            <v>NA</v>
          </cell>
          <cell r="U296" t="str">
            <v>NA</v>
          </cell>
          <cell r="V296" t="str">
            <v>NA</v>
          </cell>
          <cell r="W296" t="str">
            <v>NA</v>
          </cell>
          <cell r="X296" t="str">
            <v>NA</v>
          </cell>
          <cell r="Y296" t="str">
            <v>NA</v>
          </cell>
          <cell r="Z296" t="str">
            <v>NA</v>
          </cell>
          <cell r="AA296" t="str">
            <v>NA</v>
          </cell>
          <cell r="AB296" t="str">
            <v>NA</v>
          </cell>
        </row>
        <row r="297">
          <cell r="A297" t="str">
            <v>Schefflera actinophylla</v>
          </cell>
          <cell r="B297" t="str">
            <v>Araliaceae</v>
          </cell>
          <cell r="D297" t="str">
            <v>red</v>
          </cell>
          <cell r="E297" t="str">
            <v>NO</v>
          </cell>
          <cell r="F297" t="str">
            <v>NA</v>
          </cell>
          <cell r="G297" t="str">
            <v>NA</v>
          </cell>
          <cell r="H297" t="str">
            <v>NA</v>
          </cell>
          <cell r="I297" t="str">
            <v>NA</v>
          </cell>
          <cell r="J297" t="str">
            <v>NA</v>
          </cell>
          <cell r="K297" t="str">
            <v>NA</v>
          </cell>
          <cell r="L297" t="str">
            <v>NA</v>
          </cell>
          <cell r="M297" t="str">
            <v>NA</v>
          </cell>
          <cell r="N297" t="str">
            <v>NA</v>
          </cell>
          <cell r="O297" t="str">
            <v>NA</v>
          </cell>
          <cell r="P297" t="str">
            <v>NA</v>
          </cell>
          <cell r="Q297" t="str">
            <v>NA</v>
          </cell>
          <cell r="R297" t="str">
            <v>NA</v>
          </cell>
          <cell r="S297" t="str">
            <v>NA</v>
          </cell>
          <cell r="T297" t="str">
            <v>NA</v>
          </cell>
          <cell r="U297" t="str">
            <v>NA</v>
          </cell>
          <cell r="V297" t="str">
            <v>NA</v>
          </cell>
          <cell r="W297" t="str">
            <v>NA</v>
          </cell>
          <cell r="X297" t="str">
            <v>NA</v>
          </cell>
          <cell r="Y297" t="str">
            <v>NA</v>
          </cell>
          <cell r="Z297" t="str">
            <v>NA</v>
          </cell>
          <cell r="AA297" t="str">
            <v>NA</v>
          </cell>
          <cell r="AB297" t="str">
            <v>NA</v>
          </cell>
        </row>
        <row r="298">
          <cell r="A298" t="str">
            <v>Schefflera angustissima</v>
          </cell>
          <cell r="B298" t="str">
            <v>Araliaceae</v>
          </cell>
          <cell r="D298" t="str">
            <v>black</v>
          </cell>
          <cell r="E298" t="str">
            <v>NO</v>
          </cell>
          <cell r="F298" t="str">
            <v>NA</v>
          </cell>
          <cell r="G298" t="str">
            <v>NA</v>
          </cell>
          <cell r="H298" t="str">
            <v>NA</v>
          </cell>
          <cell r="I298" t="str">
            <v>NA</v>
          </cell>
          <cell r="J298" t="str">
            <v>NA</v>
          </cell>
          <cell r="K298" t="str">
            <v>NA</v>
          </cell>
          <cell r="L298" t="str">
            <v>NA</v>
          </cell>
          <cell r="M298" t="str">
            <v>NA</v>
          </cell>
          <cell r="N298" t="str">
            <v>NA</v>
          </cell>
          <cell r="O298" t="str">
            <v>NA</v>
          </cell>
          <cell r="P298" t="str">
            <v>NA</v>
          </cell>
          <cell r="Q298" t="str">
            <v>NA</v>
          </cell>
          <cell r="R298" t="str">
            <v>NA</v>
          </cell>
          <cell r="S298" t="str">
            <v>NA</v>
          </cell>
          <cell r="T298" t="str">
            <v>NA</v>
          </cell>
          <cell r="U298" t="str">
            <v>NA</v>
          </cell>
          <cell r="V298" t="str">
            <v>NA</v>
          </cell>
          <cell r="W298" t="str">
            <v>NA</v>
          </cell>
          <cell r="X298" t="str">
            <v>NA</v>
          </cell>
          <cell r="Y298" t="str">
            <v>NA</v>
          </cell>
          <cell r="Z298" t="str">
            <v>NA</v>
          </cell>
          <cell r="AA298" t="str">
            <v>NA</v>
          </cell>
          <cell r="AB298" t="str">
            <v>NA</v>
          </cell>
        </row>
        <row r="299">
          <cell r="A299" t="str">
            <v>Scutia buxifolia</v>
          </cell>
          <cell r="B299" t="str">
            <v>Rhamnaceae</v>
          </cell>
          <cell r="D299" t="str">
            <v>red</v>
          </cell>
          <cell r="E299" t="str">
            <v>NO</v>
          </cell>
          <cell r="F299" t="str">
            <v>NA</v>
          </cell>
          <cell r="G299" t="str">
            <v>NA</v>
          </cell>
          <cell r="H299" t="str">
            <v>NA</v>
          </cell>
          <cell r="I299" t="str">
            <v>NA</v>
          </cell>
          <cell r="J299" t="str">
            <v>NA</v>
          </cell>
          <cell r="K299" t="str">
            <v>NA</v>
          </cell>
          <cell r="L299" t="str">
            <v>NA</v>
          </cell>
          <cell r="M299" t="str">
            <v>NA</v>
          </cell>
          <cell r="N299" t="str">
            <v>NA</v>
          </cell>
          <cell r="O299" t="str">
            <v>NA</v>
          </cell>
          <cell r="P299" t="str">
            <v>NA</v>
          </cell>
          <cell r="Q299" t="str">
            <v>NA</v>
          </cell>
          <cell r="R299" t="str">
            <v>NA</v>
          </cell>
          <cell r="S299" t="str">
            <v>NA</v>
          </cell>
          <cell r="T299" t="str">
            <v>NA</v>
          </cell>
          <cell r="U299" t="str">
            <v>NA</v>
          </cell>
          <cell r="V299" t="str">
            <v>NA</v>
          </cell>
          <cell r="W299" t="str">
            <v>NA</v>
          </cell>
          <cell r="X299" t="str">
            <v>NA</v>
          </cell>
          <cell r="Y299" t="str">
            <v>NA</v>
          </cell>
          <cell r="Z299" t="str">
            <v>NA</v>
          </cell>
          <cell r="AA299" t="str">
            <v>NA</v>
          </cell>
          <cell r="AB299" t="str">
            <v>NA</v>
          </cell>
        </row>
        <row r="300">
          <cell r="A300" t="str">
            <v>Siphoneugena densiflora</v>
          </cell>
          <cell r="B300" t="str">
            <v>Myrtaceae</v>
          </cell>
          <cell r="D300" t="str">
            <v>black</v>
          </cell>
          <cell r="E300" t="str">
            <v>NO</v>
          </cell>
          <cell r="F300" t="str">
            <v>NA</v>
          </cell>
          <cell r="G300" t="str">
            <v>NA</v>
          </cell>
          <cell r="H300" t="str">
            <v>NA</v>
          </cell>
          <cell r="I300" t="str">
            <v>NA</v>
          </cell>
          <cell r="J300" t="str">
            <v>NA</v>
          </cell>
          <cell r="K300" t="str">
            <v>NA</v>
          </cell>
          <cell r="L300" t="str">
            <v>NA</v>
          </cell>
          <cell r="M300" t="str">
            <v>NA</v>
          </cell>
          <cell r="N300" t="str">
            <v>NA</v>
          </cell>
          <cell r="O300" t="str">
            <v>NA</v>
          </cell>
          <cell r="P300" t="str">
            <v>NA</v>
          </cell>
          <cell r="Q300" t="str">
            <v>NA</v>
          </cell>
          <cell r="R300" t="str">
            <v>NA</v>
          </cell>
          <cell r="S300" t="str">
            <v>NA</v>
          </cell>
          <cell r="T300" t="str">
            <v>NA</v>
          </cell>
          <cell r="U300" t="str">
            <v>NA</v>
          </cell>
          <cell r="V300" t="str">
            <v>NA</v>
          </cell>
          <cell r="W300" t="str">
            <v>NA</v>
          </cell>
          <cell r="X300" t="str">
            <v>NA</v>
          </cell>
          <cell r="Y300" t="str">
            <v>NA</v>
          </cell>
          <cell r="Z300" t="str">
            <v>NA</v>
          </cell>
          <cell r="AA300" t="str">
            <v>NA</v>
          </cell>
          <cell r="AB300" t="str">
            <v>NA</v>
          </cell>
        </row>
        <row r="301">
          <cell r="A301" t="str">
            <v>Sloanea hirsuta</v>
          </cell>
          <cell r="B301" t="str">
            <v>Elaeocarpaceae</v>
          </cell>
          <cell r="C301"/>
          <cell r="D301" t="str">
            <v>multicolor</v>
          </cell>
          <cell r="E301" t="str">
            <v>NO</v>
          </cell>
          <cell r="F301" t="str">
            <v>NA</v>
          </cell>
          <cell r="G301" t="str">
            <v>NA</v>
          </cell>
          <cell r="H301" t="str">
            <v>NA</v>
          </cell>
          <cell r="I301" t="str">
            <v>NA</v>
          </cell>
          <cell r="J301" t="str">
            <v>NA</v>
          </cell>
          <cell r="K301" t="str">
            <v>NA</v>
          </cell>
          <cell r="L301" t="str">
            <v>NA</v>
          </cell>
          <cell r="M301" t="str">
            <v>NA</v>
          </cell>
          <cell r="N301" t="str">
            <v>NA</v>
          </cell>
          <cell r="O301" t="str">
            <v>NA</v>
          </cell>
          <cell r="P301" t="str">
            <v>NA</v>
          </cell>
          <cell r="Q301" t="str">
            <v>NA</v>
          </cell>
          <cell r="R301" t="str">
            <v>NA</v>
          </cell>
          <cell r="S301" t="str">
            <v>NA</v>
          </cell>
          <cell r="T301" t="str">
            <v>NA</v>
          </cell>
          <cell r="U301" t="str">
            <v>NA</v>
          </cell>
          <cell r="V301" t="str">
            <v>NA</v>
          </cell>
          <cell r="W301" t="str">
            <v>NA</v>
          </cell>
          <cell r="X301" t="str">
            <v>NA</v>
          </cell>
          <cell r="Y301" t="str">
            <v>NA</v>
          </cell>
          <cell r="Z301" t="str">
            <v>NA</v>
          </cell>
          <cell r="AA301" t="str">
            <v>NA</v>
          </cell>
          <cell r="AB301" t="str">
            <v>NA</v>
          </cell>
        </row>
        <row r="302">
          <cell r="A302" t="str">
            <v>Solanum bullatum</v>
          </cell>
          <cell r="B302" t="str">
            <v>Solanaceae</v>
          </cell>
          <cell r="D302" t="str">
            <v>green</v>
          </cell>
          <cell r="E302" t="str">
            <v>NO</v>
          </cell>
          <cell r="F302" t="str">
            <v>NA</v>
          </cell>
          <cell r="G302" t="str">
            <v>NA</v>
          </cell>
          <cell r="H302" t="str">
            <v>NA</v>
          </cell>
          <cell r="I302" t="str">
            <v>NA</v>
          </cell>
          <cell r="J302" t="str">
            <v>NA</v>
          </cell>
          <cell r="K302" t="str">
            <v>NA</v>
          </cell>
          <cell r="L302" t="str">
            <v>NA</v>
          </cell>
          <cell r="M302" t="str">
            <v>NA</v>
          </cell>
          <cell r="N302" t="str">
            <v>NA</v>
          </cell>
          <cell r="O302" t="str">
            <v>NA</v>
          </cell>
          <cell r="P302" t="str">
            <v>NA</v>
          </cell>
          <cell r="Q302" t="str">
            <v>NA</v>
          </cell>
          <cell r="R302" t="str">
            <v>NA</v>
          </cell>
          <cell r="S302" t="str">
            <v>NA</v>
          </cell>
          <cell r="T302" t="str">
            <v>NA</v>
          </cell>
          <cell r="U302" t="str">
            <v>NA</v>
          </cell>
          <cell r="V302" t="str">
            <v>NA</v>
          </cell>
          <cell r="W302" t="str">
            <v>NA</v>
          </cell>
          <cell r="X302" t="str">
            <v>NA</v>
          </cell>
          <cell r="Y302" t="str">
            <v>NA</v>
          </cell>
          <cell r="Z302" t="str">
            <v>NA</v>
          </cell>
          <cell r="AA302" t="str">
            <v>NA</v>
          </cell>
          <cell r="AB302" t="str">
            <v>NA</v>
          </cell>
        </row>
        <row r="303">
          <cell r="A303" t="str">
            <v>Solanum inodorum</v>
          </cell>
          <cell r="B303" t="str">
            <v>Solanaceae</v>
          </cell>
          <cell r="D303" t="str">
            <v>green</v>
          </cell>
          <cell r="E303" t="str">
            <v>NO</v>
          </cell>
          <cell r="F303" t="str">
            <v>NA</v>
          </cell>
          <cell r="G303" t="str">
            <v>NA</v>
          </cell>
          <cell r="H303" t="str">
            <v>NA</v>
          </cell>
          <cell r="I303" t="str">
            <v>NA</v>
          </cell>
          <cell r="J303" t="str">
            <v>NA</v>
          </cell>
          <cell r="K303" t="str">
            <v>NA</v>
          </cell>
          <cell r="L303" t="str">
            <v>NA</v>
          </cell>
          <cell r="M303" t="str">
            <v>NA</v>
          </cell>
          <cell r="N303" t="str">
            <v>NA</v>
          </cell>
          <cell r="O303" t="str">
            <v>NA</v>
          </cell>
          <cell r="P303" t="str">
            <v>NA</v>
          </cell>
          <cell r="Q303" t="str">
            <v>NA</v>
          </cell>
          <cell r="R303" t="str">
            <v>NA</v>
          </cell>
          <cell r="S303" t="str">
            <v>NA</v>
          </cell>
          <cell r="T303" t="str">
            <v>NA</v>
          </cell>
          <cell r="U303" t="str">
            <v>NA</v>
          </cell>
          <cell r="V303" t="str">
            <v>NA</v>
          </cell>
          <cell r="W303" t="str">
            <v>NA</v>
          </cell>
          <cell r="X303" t="str">
            <v>NA</v>
          </cell>
          <cell r="Y303" t="str">
            <v>NA</v>
          </cell>
          <cell r="Z303" t="str">
            <v>NA</v>
          </cell>
          <cell r="AA303" t="str">
            <v>NA</v>
          </cell>
          <cell r="AB303" t="str">
            <v>NA</v>
          </cell>
        </row>
        <row r="304">
          <cell r="A304" t="str">
            <v>Solanum mauritianum</v>
          </cell>
          <cell r="B304" t="str">
            <v>Solanaceae</v>
          </cell>
          <cell r="C304"/>
          <cell r="D304" t="str">
            <v>green</v>
          </cell>
          <cell r="E304" t="str">
            <v>NO</v>
          </cell>
          <cell r="F304" t="str">
            <v>NA</v>
          </cell>
          <cell r="G304" t="str">
            <v>NA</v>
          </cell>
          <cell r="H304" t="str">
            <v>NA</v>
          </cell>
          <cell r="I304" t="str">
            <v>NA</v>
          </cell>
          <cell r="J304" t="str">
            <v>NA</v>
          </cell>
          <cell r="K304" t="str">
            <v>NA</v>
          </cell>
          <cell r="L304" t="str">
            <v>NA</v>
          </cell>
          <cell r="M304" t="str">
            <v>NA</v>
          </cell>
          <cell r="N304" t="str">
            <v>NA</v>
          </cell>
          <cell r="O304" t="str">
            <v>NA</v>
          </cell>
          <cell r="P304" t="str">
            <v>NA</v>
          </cell>
          <cell r="Q304" t="str">
            <v>NA</v>
          </cell>
          <cell r="R304" t="str">
            <v>NA</v>
          </cell>
          <cell r="S304" t="str">
            <v>NA</v>
          </cell>
          <cell r="T304" t="str">
            <v>NA</v>
          </cell>
          <cell r="U304" t="str">
            <v>NA</v>
          </cell>
          <cell r="V304" t="str">
            <v>NA</v>
          </cell>
          <cell r="W304" t="str">
            <v>NA</v>
          </cell>
          <cell r="X304" t="str">
            <v>NA</v>
          </cell>
          <cell r="Y304" t="str">
            <v>NA</v>
          </cell>
          <cell r="Z304" t="str">
            <v>NA</v>
          </cell>
          <cell r="AA304" t="str">
            <v>NA</v>
          </cell>
          <cell r="AB304" t="str">
            <v>NA</v>
          </cell>
        </row>
        <row r="305">
          <cell r="A305" t="str">
            <v>Solanum thomasiifolium</v>
          </cell>
          <cell r="B305" t="str">
            <v>Solanaceae</v>
          </cell>
          <cell r="D305" t="str">
            <v>green</v>
          </cell>
          <cell r="E305" t="str">
            <v>NO</v>
          </cell>
          <cell r="F305" t="str">
            <v>NA</v>
          </cell>
          <cell r="G305" t="str">
            <v>NA</v>
          </cell>
          <cell r="H305" t="str">
            <v>NA</v>
          </cell>
          <cell r="I305" t="str">
            <v>NA</v>
          </cell>
          <cell r="J305" t="str">
            <v>NA</v>
          </cell>
          <cell r="K305" t="str">
            <v>NA</v>
          </cell>
          <cell r="L305" t="str">
            <v>NA</v>
          </cell>
          <cell r="M305" t="str">
            <v>NA</v>
          </cell>
          <cell r="N305" t="str">
            <v>NA</v>
          </cell>
          <cell r="O305" t="str">
            <v>NA</v>
          </cell>
          <cell r="P305" t="str">
            <v>NA</v>
          </cell>
          <cell r="Q305" t="str">
            <v>NA</v>
          </cell>
          <cell r="R305" t="str">
            <v>NA</v>
          </cell>
          <cell r="S305" t="str">
            <v>NA</v>
          </cell>
          <cell r="T305" t="str">
            <v>NA</v>
          </cell>
          <cell r="U305" t="str">
            <v>NA</v>
          </cell>
          <cell r="V305" t="str">
            <v>NA</v>
          </cell>
          <cell r="W305" t="str">
            <v>NA</v>
          </cell>
          <cell r="X305" t="str">
            <v>NA</v>
          </cell>
          <cell r="Y305" t="str">
            <v>NA</v>
          </cell>
          <cell r="Z305" t="str">
            <v>NA</v>
          </cell>
          <cell r="AA305" t="str">
            <v>NA</v>
          </cell>
          <cell r="AB305" t="str">
            <v>NA</v>
          </cell>
        </row>
        <row r="306">
          <cell r="A306" t="str">
            <v>Solanum variabile</v>
          </cell>
          <cell r="B306" t="str">
            <v>Solanaceae</v>
          </cell>
          <cell r="D306" t="str">
            <v>green</v>
          </cell>
          <cell r="E306" t="str">
            <v>NO</v>
          </cell>
          <cell r="F306" t="str">
            <v>NA</v>
          </cell>
          <cell r="G306" t="str">
            <v>NA</v>
          </cell>
          <cell r="H306" t="str">
            <v>NA</v>
          </cell>
          <cell r="I306" t="str">
            <v>NA</v>
          </cell>
          <cell r="J306" t="str">
            <v>NA</v>
          </cell>
          <cell r="K306" t="str">
            <v>NA</v>
          </cell>
          <cell r="L306" t="str">
            <v>NA</v>
          </cell>
          <cell r="M306" t="str">
            <v>NA</v>
          </cell>
          <cell r="N306" t="str">
            <v>NA</v>
          </cell>
          <cell r="O306" t="str">
            <v>NA</v>
          </cell>
          <cell r="P306" t="str">
            <v>NA</v>
          </cell>
          <cell r="Q306" t="str">
            <v>NA</v>
          </cell>
          <cell r="R306" t="str">
            <v>NA</v>
          </cell>
          <cell r="S306" t="str">
            <v>NA</v>
          </cell>
          <cell r="T306" t="str">
            <v>NA</v>
          </cell>
          <cell r="U306" t="str">
            <v>NA</v>
          </cell>
          <cell r="V306" t="str">
            <v>NA</v>
          </cell>
          <cell r="W306" t="str">
            <v>NA</v>
          </cell>
          <cell r="X306" t="str">
            <v>NA</v>
          </cell>
          <cell r="Y306" t="str">
            <v>NA</v>
          </cell>
          <cell r="Z306" t="str">
            <v>NA</v>
          </cell>
          <cell r="AA306" t="str">
            <v>NA</v>
          </cell>
          <cell r="AB306" t="str">
            <v>NA</v>
          </cell>
        </row>
        <row r="307">
          <cell r="A307" t="str">
            <v>Syagrus romanzoffiana</v>
          </cell>
          <cell r="B307" t="str">
            <v>Arecaceae</v>
          </cell>
          <cell r="D307" t="str">
            <v>orange</v>
          </cell>
          <cell r="E307" t="str">
            <v>NO</v>
          </cell>
          <cell r="F307" t="str">
            <v>NA</v>
          </cell>
          <cell r="G307" t="str">
            <v>NA</v>
          </cell>
          <cell r="H307" t="str">
            <v>NA</v>
          </cell>
          <cell r="I307" t="str">
            <v>NA</v>
          </cell>
          <cell r="J307" t="str">
            <v>NA</v>
          </cell>
          <cell r="K307" t="str">
            <v>NA</v>
          </cell>
          <cell r="L307" t="str">
            <v>NA</v>
          </cell>
          <cell r="M307" t="str">
            <v>NA</v>
          </cell>
          <cell r="N307" t="str">
            <v>NA</v>
          </cell>
          <cell r="O307" t="str">
            <v>NA</v>
          </cell>
          <cell r="P307" t="str">
            <v>NA</v>
          </cell>
          <cell r="Q307" t="str">
            <v>NA</v>
          </cell>
          <cell r="R307" t="str">
            <v>NA</v>
          </cell>
          <cell r="S307" t="str">
            <v>NA</v>
          </cell>
          <cell r="T307" t="str">
            <v>NA</v>
          </cell>
          <cell r="U307" t="str">
            <v>NA</v>
          </cell>
          <cell r="V307" t="str">
            <v>NA</v>
          </cell>
          <cell r="W307" t="str">
            <v>NA</v>
          </cell>
          <cell r="X307" t="str">
            <v>NA</v>
          </cell>
          <cell r="Y307" t="str">
            <v>NA</v>
          </cell>
          <cell r="Z307" t="str">
            <v>NA</v>
          </cell>
          <cell r="AA307" t="str">
            <v>NA</v>
          </cell>
          <cell r="AB307" t="str">
            <v>NA</v>
          </cell>
        </row>
        <row r="308">
          <cell r="A308" t="str">
            <v>Symplocos glandulosomarginata</v>
          </cell>
          <cell r="B308" t="str">
            <v>Symplocaceae</v>
          </cell>
          <cell r="D308" t="str">
            <v>black</v>
          </cell>
          <cell r="E308" t="str">
            <v>NO</v>
          </cell>
          <cell r="F308" t="str">
            <v>NA</v>
          </cell>
          <cell r="G308" t="str">
            <v>NA</v>
          </cell>
          <cell r="H308" t="str">
            <v>NA</v>
          </cell>
          <cell r="I308" t="str">
            <v>NA</v>
          </cell>
          <cell r="J308" t="str">
            <v>NA</v>
          </cell>
          <cell r="K308" t="str">
            <v>NA</v>
          </cell>
          <cell r="L308" t="str">
            <v>NA</v>
          </cell>
          <cell r="M308" t="str">
            <v>NA</v>
          </cell>
          <cell r="N308" t="str">
            <v>NA</v>
          </cell>
          <cell r="O308" t="str">
            <v>NA</v>
          </cell>
          <cell r="P308" t="str">
            <v>NA</v>
          </cell>
          <cell r="Q308" t="str">
            <v>NA</v>
          </cell>
          <cell r="R308" t="str">
            <v>NA</v>
          </cell>
          <cell r="S308" t="str">
            <v>NA</v>
          </cell>
          <cell r="T308" t="str">
            <v>NA</v>
          </cell>
          <cell r="U308" t="str">
            <v>NA</v>
          </cell>
          <cell r="V308" t="str">
            <v>NA</v>
          </cell>
          <cell r="W308" t="str">
            <v>NA</v>
          </cell>
          <cell r="X308" t="str">
            <v>NA</v>
          </cell>
          <cell r="Y308" t="str">
            <v>NA</v>
          </cell>
          <cell r="Z308" t="str">
            <v>NA</v>
          </cell>
          <cell r="AA308" t="str">
            <v>NA</v>
          </cell>
          <cell r="AB308" t="str">
            <v>NA</v>
          </cell>
        </row>
        <row r="309">
          <cell r="A309" t="str">
            <v>Symplocos tetrandra</v>
          </cell>
          <cell r="B309" t="str">
            <v>Symplocaceae</v>
          </cell>
          <cell r="D309" t="str">
            <v>black</v>
          </cell>
          <cell r="E309" t="str">
            <v>NO</v>
          </cell>
          <cell r="F309" t="str">
            <v>NA</v>
          </cell>
          <cell r="G309" t="str">
            <v>NA</v>
          </cell>
          <cell r="H309" t="str">
            <v>NA</v>
          </cell>
          <cell r="I309" t="str">
            <v>NA</v>
          </cell>
          <cell r="J309" t="str">
            <v>NA</v>
          </cell>
          <cell r="K309" t="str">
            <v>NA</v>
          </cell>
          <cell r="L309" t="str">
            <v>NA</v>
          </cell>
          <cell r="M309" t="str">
            <v>NA</v>
          </cell>
          <cell r="N309" t="str">
            <v>NA</v>
          </cell>
          <cell r="O309" t="str">
            <v>NA</v>
          </cell>
          <cell r="P309" t="str">
            <v>NA</v>
          </cell>
          <cell r="Q309" t="str">
            <v>NA</v>
          </cell>
          <cell r="R309" t="str">
            <v>NA</v>
          </cell>
          <cell r="S309" t="str">
            <v>NA</v>
          </cell>
          <cell r="T309" t="str">
            <v>NA</v>
          </cell>
          <cell r="U309" t="str">
            <v>NA</v>
          </cell>
          <cell r="V309" t="str">
            <v>NA</v>
          </cell>
          <cell r="W309" t="str">
            <v>NA</v>
          </cell>
          <cell r="X309" t="str">
            <v>NA</v>
          </cell>
          <cell r="Y309" t="str">
            <v>NA</v>
          </cell>
          <cell r="Z309" t="str">
            <v>NA</v>
          </cell>
          <cell r="AA309" t="str">
            <v>NA</v>
          </cell>
          <cell r="AB309" t="str">
            <v>NA</v>
          </cell>
        </row>
        <row r="310">
          <cell r="A310" t="str">
            <v>Tetrorchidium rubrivenium</v>
          </cell>
          <cell r="B310" t="str">
            <v>Euphorbiaceae</v>
          </cell>
          <cell r="D310" t="str">
            <v>red</v>
          </cell>
          <cell r="E310" t="str">
            <v>NO</v>
          </cell>
          <cell r="F310" t="str">
            <v>NA</v>
          </cell>
          <cell r="G310" t="str">
            <v>NA</v>
          </cell>
          <cell r="H310" t="str">
            <v>NA</v>
          </cell>
          <cell r="I310" t="str">
            <v>NA</v>
          </cell>
          <cell r="J310" t="str">
            <v>NA</v>
          </cell>
          <cell r="K310" t="str">
            <v>NA</v>
          </cell>
          <cell r="L310" t="str">
            <v>NA</v>
          </cell>
          <cell r="M310" t="str">
            <v>NA</v>
          </cell>
          <cell r="N310" t="str">
            <v>NA</v>
          </cell>
          <cell r="O310" t="str">
            <v>NA</v>
          </cell>
          <cell r="P310" t="str">
            <v>NA</v>
          </cell>
          <cell r="Q310" t="str">
            <v>NA</v>
          </cell>
          <cell r="R310" t="str">
            <v>NA</v>
          </cell>
          <cell r="S310" t="str">
            <v>NA</v>
          </cell>
          <cell r="T310" t="str">
            <v>NA</v>
          </cell>
          <cell r="U310" t="str">
            <v>NA</v>
          </cell>
          <cell r="V310" t="str">
            <v>NA</v>
          </cell>
          <cell r="W310" t="str">
            <v>NA</v>
          </cell>
          <cell r="X310" t="str">
            <v>NA</v>
          </cell>
          <cell r="Y310" t="str">
            <v>NA</v>
          </cell>
          <cell r="Z310" t="str">
            <v>NA</v>
          </cell>
          <cell r="AA310" t="str">
            <v>NA</v>
          </cell>
          <cell r="AB310" t="str">
            <v>NA</v>
          </cell>
        </row>
        <row r="311">
          <cell r="A311" t="str">
            <v>Vassobia breviflora</v>
          </cell>
          <cell r="B311" t="str">
            <v>Solanaceae</v>
          </cell>
          <cell r="D311" t="str">
            <v>red</v>
          </cell>
          <cell r="E311" t="str">
            <v>NO</v>
          </cell>
          <cell r="F311" t="str">
            <v>NA</v>
          </cell>
          <cell r="G311" t="str">
            <v>NA</v>
          </cell>
          <cell r="H311" t="str">
            <v>NA</v>
          </cell>
          <cell r="I311" t="str">
            <v>NA</v>
          </cell>
          <cell r="J311" t="str">
            <v>NA</v>
          </cell>
          <cell r="K311" t="str">
            <v>NA</v>
          </cell>
          <cell r="L311" t="str">
            <v>NA</v>
          </cell>
          <cell r="M311" t="str">
            <v>NA</v>
          </cell>
          <cell r="N311" t="str">
            <v>NA</v>
          </cell>
          <cell r="O311" t="str">
            <v>NA</v>
          </cell>
          <cell r="P311" t="str">
            <v>NA</v>
          </cell>
          <cell r="Q311" t="str">
            <v>NA</v>
          </cell>
          <cell r="R311" t="str">
            <v>NA</v>
          </cell>
          <cell r="S311" t="str">
            <v>NA</v>
          </cell>
          <cell r="T311" t="str">
            <v>NA</v>
          </cell>
          <cell r="U311" t="str">
            <v>NA</v>
          </cell>
          <cell r="V311" t="str">
            <v>NA</v>
          </cell>
          <cell r="W311" t="str">
            <v>NA</v>
          </cell>
          <cell r="X311" t="str">
            <v>NA</v>
          </cell>
          <cell r="Y311" t="str">
            <v>NA</v>
          </cell>
          <cell r="Z311" t="str">
            <v>NA</v>
          </cell>
          <cell r="AA311" t="str">
            <v>NA</v>
          </cell>
          <cell r="AB311" t="str">
            <v>NA</v>
          </cell>
        </row>
        <row r="312">
          <cell r="A312" t="str">
            <v>Vitex megapotamica</v>
          </cell>
          <cell r="B312" t="str">
            <v>Lamiaceae</v>
          </cell>
          <cell r="D312" t="str">
            <v>black</v>
          </cell>
          <cell r="E312" t="str">
            <v>NO</v>
          </cell>
          <cell r="F312" t="str">
            <v>NA</v>
          </cell>
          <cell r="G312" t="str">
            <v>NA</v>
          </cell>
          <cell r="H312" t="str">
            <v>NA</v>
          </cell>
          <cell r="I312" t="str">
            <v>NA</v>
          </cell>
          <cell r="J312" t="str">
            <v>NA</v>
          </cell>
          <cell r="K312" t="str">
            <v>NA</v>
          </cell>
          <cell r="L312" t="str">
            <v>NA</v>
          </cell>
          <cell r="M312" t="str">
            <v>NA</v>
          </cell>
          <cell r="N312" t="str">
            <v>NA</v>
          </cell>
          <cell r="O312" t="str">
            <v>NA</v>
          </cell>
          <cell r="P312" t="str">
            <v>NA</v>
          </cell>
          <cell r="Q312" t="str">
            <v>NA</v>
          </cell>
          <cell r="R312" t="str">
            <v>NA</v>
          </cell>
          <cell r="S312" t="str">
            <v>NA</v>
          </cell>
          <cell r="T312" t="str">
            <v>NA</v>
          </cell>
          <cell r="U312" t="str">
            <v>NA</v>
          </cell>
          <cell r="V312" t="str">
            <v>NA</v>
          </cell>
          <cell r="W312" t="str">
            <v>NA</v>
          </cell>
          <cell r="X312" t="str">
            <v>NA</v>
          </cell>
          <cell r="Y312" t="str">
            <v>NA</v>
          </cell>
          <cell r="Z312" t="str">
            <v>NA</v>
          </cell>
          <cell r="AA312" t="str">
            <v>NA</v>
          </cell>
          <cell r="AB312" t="str">
            <v>NA</v>
          </cell>
        </row>
        <row r="313">
          <cell r="A313" t="str">
            <v>Xylopia brasiliensis</v>
          </cell>
          <cell r="B313" t="str">
            <v>Annonaceae</v>
          </cell>
          <cell r="D313" t="str">
            <v>multicolor</v>
          </cell>
          <cell r="E313" t="str">
            <v>NO</v>
          </cell>
          <cell r="F313" t="str">
            <v>NA</v>
          </cell>
          <cell r="G313" t="str">
            <v>NA</v>
          </cell>
          <cell r="H313" t="str">
            <v>NA</v>
          </cell>
          <cell r="I313" t="str">
            <v>NA</v>
          </cell>
          <cell r="J313" t="str">
            <v>NA</v>
          </cell>
          <cell r="K313" t="str">
            <v>NA</v>
          </cell>
          <cell r="L313" t="str">
            <v>NA</v>
          </cell>
          <cell r="M313" t="str">
            <v>NA</v>
          </cell>
          <cell r="N313" t="str">
            <v>NA</v>
          </cell>
          <cell r="O313" t="str">
            <v>NA</v>
          </cell>
          <cell r="P313" t="str">
            <v>NA</v>
          </cell>
          <cell r="Q313" t="str">
            <v>NA</v>
          </cell>
          <cell r="R313" t="str">
            <v>NA</v>
          </cell>
          <cell r="S313" t="str">
            <v>NA</v>
          </cell>
          <cell r="T313" t="str">
            <v>NA</v>
          </cell>
          <cell r="U313" t="str">
            <v>NA</v>
          </cell>
          <cell r="V313" t="str">
            <v>NA</v>
          </cell>
          <cell r="W313" t="str">
            <v>NA</v>
          </cell>
          <cell r="X313" t="str">
            <v>NA</v>
          </cell>
          <cell r="Y313" t="str">
            <v>NA</v>
          </cell>
          <cell r="Z313" t="str">
            <v>NA</v>
          </cell>
          <cell r="AA313" t="str">
            <v>NA</v>
          </cell>
          <cell r="AB313" t="str">
            <v>NA</v>
          </cell>
        </row>
        <row r="314">
          <cell r="A314" t="str">
            <v>Xylopia langsdorfiana</v>
          </cell>
          <cell r="B314" t="str">
            <v>Annonaceae</v>
          </cell>
          <cell r="D314" t="str">
            <v>multicolor</v>
          </cell>
          <cell r="E314" t="str">
            <v>NO</v>
          </cell>
          <cell r="F314" t="str">
            <v>NA</v>
          </cell>
          <cell r="G314" t="str">
            <v>NA</v>
          </cell>
          <cell r="H314" t="str">
            <v>NA</v>
          </cell>
          <cell r="I314" t="str">
            <v>NA</v>
          </cell>
          <cell r="J314" t="str">
            <v>NA</v>
          </cell>
          <cell r="K314" t="str">
            <v>NA</v>
          </cell>
          <cell r="L314" t="str">
            <v>NA</v>
          </cell>
          <cell r="M314" t="str">
            <v>NA</v>
          </cell>
          <cell r="N314" t="str">
            <v>NA</v>
          </cell>
          <cell r="O314" t="str">
            <v>NA</v>
          </cell>
          <cell r="P314" t="str">
            <v>NA</v>
          </cell>
          <cell r="Q314" t="str">
            <v>NA</v>
          </cell>
          <cell r="R314" t="str">
            <v>NA</v>
          </cell>
          <cell r="S314" t="str">
            <v>NA</v>
          </cell>
          <cell r="T314" t="str">
            <v>NA</v>
          </cell>
          <cell r="U314" t="str">
            <v>NA</v>
          </cell>
          <cell r="V314" t="str">
            <v>NA</v>
          </cell>
          <cell r="W314" t="str">
            <v>NA</v>
          </cell>
          <cell r="X314" t="str">
            <v>NA</v>
          </cell>
          <cell r="Y314" t="str">
            <v>NA</v>
          </cell>
          <cell r="Z314" t="str">
            <v>NA</v>
          </cell>
          <cell r="AA314" t="str">
            <v>NA</v>
          </cell>
          <cell r="AB314" t="str">
            <v>NA</v>
          </cell>
        </row>
        <row r="315">
          <cell r="A315" t="str">
            <v>Zanthoxylum rhoifolium</v>
          </cell>
          <cell r="B315" t="str">
            <v>Rutaceae</v>
          </cell>
          <cell r="D315" t="str">
            <v>black</v>
          </cell>
          <cell r="E315" t="str">
            <v>NO</v>
          </cell>
          <cell r="F315" t="str">
            <v>NA</v>
          </cell>
          <cell r="G315" t="str">
            <v>NA</v>
          </cell>
          <cell r="H315" t="str">
            <v>NA</v>
          </cell>
          <cell r="I315" t="str">
            <v>NA</v>
          </cell>
          <cell r="J315" t="str">
            <v>NA</v>
          </cell>
          <cell r="K315" t="str">
            <v>NA</v>
          </cell>
          <cell r="L315" t="str">
            <v>NA</v>
          </cell>
          <cell r="M315" t="str">
            <v>NA</v>
          </cell>
          <cell r="N315" t="str">
            <v>NA</v>
          </cell>
          <cell r="O315" t="str">
            <v>NA</v>
          </cell>
          <cell r="P315" t="str">
            <v>NA</v>
          </cell>
          <cell r="Q315" t="str">
            <v>NA</v>
          </cell>
          <cell r="R315" t="str">
            <v>NA</v>
          </cell>
          <cell r="S315" t="str">
            <v>NA</v>
          </cell>
          <cell r="T315" t="str">
            <v>NA</v>
          </cell>
          <cell r="U315" t="str">
            <v>NA</v>
          </cell>
          <cell r="V315" t="str">
            <v>NA</v>
          </cell>
          <cell r="W315" t="str">
            <v>NA</v>
          </cell>
          <cell r="X315" t="str">
            <v>NA</v>
          </cell>
          <cell r="Y315" t="str">
            <v>NA</v>
          </cell>
          <cell r="Z315" t="str">
            <v>NA</v>
          </cell>
          <cell r="AA315" t="str">
            <v>NA</v>
          </cell>
          <cell r="AB315" t="str">
            <v>NA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40"/>
  <sheetViews>
    <sheetView topLeftCell="A37" zoomScale="150" zoomScaleNormal="150" zoomScalePageLayoutView="150" workbookViewId="0">
      <selection activeCell="H66" sqref="H66"/>
    </sheetView>
  </sheetViews>
  <sheetFormatPr baseColWidth="10" defaultRowHeight="15" x14ac:dyDescent="0"/>
  <cols>
    <col min="1" max="1" width="20.6640625" bestFit="1" customWidth="1"/>
    <col min="2" max="2" width="29.1640625" bestFit="1" customWidth="1"/>
    <col min="3" max="3" width="7.5" bestFit="1" customWidth="1"/>
    <col min="4" max="4" width="9" bestFit="1" customWidth="1"/>
    <col min="5" max="5" width="12.1640625" bestFit="1" customWidth="1"/>
    <col min="10" max="10" width="17.6640625" customWidth="1"/>
    <col min="11" max="11" width="17.1640625" bestFit="1" customWidth="1"/>
    <col min="12" max="12" width="13.1640625" bestFit="1" customWidth="1"/>
    <col min="13" max="13" width="12.83203125" bestFit="1" customWidth="1"/>
    <col min="14" max="14" width="10.6640625" bestFit="1" customWidth="1"/>
    <col min="15" max="15" width="9.33203125" bestFit="1" customWidth="1"/>
    <col min="16" max="16" width="9.1640625" bestFit="1" customWidth="1"/>
    <col min="17" max="17" width="9.33203125" bestFit="1" customWidth="1"/>
    <col min="18" max="18" width="6.33203125" bestFit="1" customWidth="1"/>
    <col min="19" max="19" width="5.83203125" bestFit="1" customWidth="1"/>
  </cols>
  <sheetData>
    <row r="1" spans="1:4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321</v>
      </c>
      <c r="I1" s="2" t="s">
        <v>320</v>
      </c>
      <c r="J1" s="2" t="s">
        <v>7</v>
      </c>
      <c r="K1" s="2" t="s">
        <v>8</v>
      </c>
      <c r="L1" s="3" t="s">
        <v>9</v>
      </c>
      <c r="M1" s="3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5" t="s">
        <v>285</v>
      </c>
      <c r="U1" s="45" t="s">
        <v>286</v>
      </c>
      <c r="V1" s="45" t="s">
        <v>287</v>
      </c>
      <c r="W1" s="46" t="s">
        <v>288</v>
      </c>
      <c r="X1" s="47" t="s">
        <v>289</v>
      </c>
      <c r="Y1" s="47" t="s">
        <v>290</v>
      </c>
      <c r="Z1" s="47" t="s">
        <v>291</v>
      </c>
      <c r="AA1" s="47" t="s">
        <v>292</v>
      </c>
      <c r="AB1" s="48" t="s">
        <v>293</v>
      </c>
      <c r="AC1" s="48" t="s">
        <v>294</v>
      </c>
      <c r="AD1" s="48" t="s">
        <v>295</v>
      </c>
      <c r="AE1" s="48" t="s">
        <v>296</v>
      </c>
      <c r="AF1" s="48" t="s">
        <v>297</v>
      </c>
      <c r="AG1" s="47" t="s">
        <v>298</v>
      </c>
      <c r="AH1" s="47" t="s">
        <v>299</v>
      </c>
      <c r="AI1" s="47" t="s">
        <v>300</v>
      </c>
      <c r="AJ1" s="49" t="s">
        <v>301</v>
      </c>
      <c r="AK1" s="50" t="s">
        <v>302</v>
      </c>
      <c r="AL1" s="51" t="s">
        <v>303</v>
      </c>
      <c r="AM1" s="51" t="s">
        <v>304</v>
      </c>
      <c r="AN1" s="51" t="s">
        <v>305</v>
      </c>
      <c r="AO1" s="51" t="s">
        <v>306</v>
      </c>
      <c r="AP1" s="51" t="s">
        <v>307</v>
      </c>
      <c r="AQ1" s="51" t="s">
        <v>308</v>
      </c>
      <c r="AR1" s="51" t="s">
        <v>309</v>
      </c>
      <c r="AS1" s="51" t="s">
        <v>310</v>
      </c>
      <c r="AT1" s="52" t="s">
        <v>301</v>
      </c>
    </row>
    <row r="2" spans="1:46">
      <c r="A2" s="5" t="s">
        <v>28</v>
      </c>
      <c r="B2" s="15" t="s">
        <v>81</v>
      </c>
      <c r="C2" s="7">
        <v>11</v>
      </c>
      <c r="D2" s="7">
        <v>18</v>
      </c>
      <c r="E2" s="8">
        <f>C2/D2</f>
        <v>0.61111111111111116</v>
      </c>
      <c r="F2">
        <v>19</v>
      </c>
      <c r="G2" s="9">
        <v>2</v>
      </c>
      <c r="H2" s="9"/>
      <c r="I2" s="8">
        <f>E2*G2</f>
        <v>1.2222222222222223</v>
      </c>
      <c r="J2" t="s">
        <v>79</v>
      </c>
      <c r="K2" t="s">
        <v>80</v>
      </c>
      <c r="L2" t="s">
        <v>22</v>
      </c>
      <c r="M2" t="s">
        <v>30</v>
      </c>
      <c r="N2" s="11">
        <v>18</v>
      </c>
      <c r="O2" s="11">
        <v>7.4188405800000004</v>
      </c>
      <c r="P2" t="s">
        <v>24</v>
      </c>
      <c r="Q2" s="13" t="s">
        <v>25</v>
      </c>
      <c r="R2" s="13" t="s">
        <v>26</v>
      </c>
      <c r="S2" s="13" t="s">
        <v>31</v>
      </c>
      <c r="T2" t="str">
        <f>VLOOKUP(B2,'[1]Plant data'!$A$1:$AB$315,2,0)</f>
        <v>Solanaceae</v>
      </c>
      <c r="U2" t="str">
        <f>VLOOKUP($B2,'[1]Plant data'!$A$1:$AB$315,3,0)</f>
        <v>NA</v>
      </c>
      <c r="V2" t="str">
        <f>VLOOKUP($B2,'[1]Plant data'!$A$1:$AB$315,4,0)</f>
        <v>yellow</v>
      </c>
      <c r="W2" t="str">
        <f>VLOOKUP($B2,'[1]Plant data'!$A$1:$AB$315,5,0)</f>
        <v>YES</v>
      </c>
      <c r="X2">
        <f>VLOOKUP($B2,'[1]Plant data'!$A$1:$AB$315,6,0)</f>
        <v>6.05</v>
      </c>
      <c r="Y2">
        <f>VLOOKUP($B2,'[1]Plant data'!$A$1:$AB$315,7,0)</f>
        <v>6.27</v>
      </c>
      <c r="Z2" t="str">
        <f>VLOOKUP($B2,'[1]Plant data'!$A$1:$AB$315,8,0)</f>
        <v>NA</v>
      </c>
      <c r="AA2" t="str">
        <f>VLOOKUP($B2,'[1]Plant data'!$A$1:$AB$315,9,0)</f>
        <v>NA</v>
      </c>
      <c r="AB2">
        <f>VLOOKUP($B2,'[1]Plant data'!$A$1:$AB$315,10,0)</f>
        <v>0.15</v>
      </c>
      <c r="AC2" t="str">
        <f>VLOOKUP($B2,'[1]Plant data'!$A$1:$AB$315,11,0)</f>
        <v>NA</v>
      </c>
      <c r="AD2">
        <f>VLOOKUP($B2,'[1]Plant data'!$A$1:$AB$315,12,0)</f>
        <v>8.5000000000000006E-2</v>
      </c>
      <c r="AE2" t="str">
        <f>VLOOKUP($B2,'[1]Plant data'!$A$1:$AB$315,13,0)</f>
        <v>NA</v>
      </c>
      <c r="AF2" t="str">
        <f>VLOOKUP($B2,'[1]Plant data'!$A$1:$AB$315,14,0)</f>
        <v>NA</v>
      </c>
      <c r="AG2">
        <f>VLOOKUP($B2,'[1]Plant data'!$A$1:$AB$315,15,0)</f>
        <v>12.7</v>
      </c>
      <c r="AH2" t="str">
        <f>VLOOKUP($B2,'[1]Plant data'!$A$1:$AB$315,16,0)</f>
        <v>NA</v>
      </c>
      <c r="AI2" t="str">
        <f>VLOOKUP($B2,'[1]Plant data'!$A$1:$AB$315,17,0)</f>
        <v>NA</v>
      </c>
      <c r="AJ2" t="str">
        <f>VLOOKUP($B2,'[1]Plant data'!$A$1:$AB$315,18,0)</f>
        <v>Athie &amp; Dias 2012</v>
      </c>
      <c r="AK2">
        <f>VLOOKUP($B2,'[1]Plant data'!$A$1:$AB$315,19,0)</f>
        <v>0.82</v>
      </c>
      <c r="AL2">
        <f>VLOOKUP($B2,'[1]Plant data'!$A$1:$AB$315,20,0)</f>
        <v>0.04</v>
      </c>
      <c r="AM2">
        <f>VLOOKUP($B2,'[1]Plant data'!$A$1:$AB$315,21,0)</f>
        <v>7.9000000000000001E-2</v>
      </c>
      <c r="AN2" t="str">
        <f>VLOOKUP($B2,'[1]Plant data'!$A$1:$AB$315,22,0)</f>
        <v>NA</v>
      </c>
      <c r="AO2" t="str">
        <f>VLOOKUP($B2,'[1]Plant data'!$A$1:$AB$315,23,0)</f>
        <v>NA</v>
      </c>
      <c r="AP2">
        <f>VLOOKUP($B2,'[1]Plant data'!$A$1:$AB$315,24,0)</f>
        <v>0.48299999999999998</v>
      </c>
      <c r="AQ2" t="str">
        <f>VLOOKUP($B2,'[1]Plant data'!$A$1:$AB$315,25,0)</f>
        <v>NA</v>
      </c>
      <c r="AR2" t="str">
        <f>VLOOKUP($B2,'[1]Plant data'!$A$1:$AB$315,26,0)</f>
        <v>NA</v>
      </c>
      <c r="AS2" t="str">
        <f>VLOOKUP($B2,'[1]Plant data'!$A$1:$AB$315,27,0)</f>
        <v>NA</v>
      </c>
      <c r="AT2" t="str">
        <f>VLOOKUP($B2,'[1]Plant data'!$A$1:$AB$315,28,0)</f>
        <v>FRUBASE (Dinerstein E. 1986)</v>
      </c>
    </row>
    <row r="3" spans="1:46">
      <c r="A3" s="5" t="s">
        <v>43</v>
      </c>
      <c r="B3" s="12" t="s">
        <v>81</v>
      </c>
      <c r="C3">
        <v>9</v>
      </c>
      <c r="D3" s="7">
        <v>18</v>
      </c>
      <c r="E3" s="8">
        <f>C3/18</f>
        <v>0.5</v>
      </c>
      <c r="F3">
        <v>11</v>
      </c>
      <c r="G3" s="9">
        <v>1</v>
      </c>
      <c r="H3" s="9"/>
      <c r="I3" s="8">
        <f>E3*G3</f>
        <v>0.5</v>
      </c>
      <c r="J3" t="s">
        <v>79</v>
      </c>
      <c r="K3" t="s">
        <v>80</v>
      </c>
      <c r="L3" t="s">
        <v>22</v>
      </c>
      <c r="M3" t="s">
        <v>30</v>
      </c>
      <c r="N3" s="11">
        <v>32.5</v>
      </c>
      <c r="O3" s="11">
        <v>8.9205555560000001</v>
      </c>
      <c r="P3" t="s">
        <v>24</v>
      </c>
      <c r="Q3" t="s">
        <v>25</v>
      </c>
      <c r="R3" t="s">
        <v>26</v>
      </c>
      <c r="S3" t="s">
        <v>31</v>
      </c>
      <c r="T3" t="str">
        <f>VLOOKUP(B3,'[1]Plant data'!$A$1:$AB$315,2,0)</f>
        <v>Solanaceae</v>
      </c>
      <c r="U3" t="str">
        <f>VLOOKUP($B3,'[1]Plant data'!$A$1:$AB$315,3,0)</f>
        <v>NA</v>
      </c>
      <c r="V3" t="str">
        <f>VLOOKUP($B3,'[1]Plant data'!$A$1:$AB$315,4,0)</f>
        <v>yellow</v>
      </c>
      <c r="W3" t="str">
        <f>VLOOKUP($B3,'[1]Plant data'!$A$1:$AB$315,5,0)</f>
        <v>YES</v>
      </c>
      <c r="X3">
        <f>VLOOKUP($B3,'[1]Plant data'!$A$1:$AB$315,6,0)</f>
        <v>6.05</v>
      </c>
      <c r="Y3">
        <f>VLOOKUP($B3,'[1]Plant data'!$A$1:$AB$315,7,0)</f>
        <v>6.27</v>
      </c>
      <c r="Z3" t="str">
        <f>VLOOKUP($B3,'[1]Plant data'!$A$1:$AB$315,8,0)</f>
        <v>NA</v>
      </c>
      <c r="AA3" t="str">
        <f>VLOOKUP($B3,'[1]Plant data'!$A$1:$AB$315,9,0)</f>
        <v>NA</v>
      </c>
      <c r="AB3">
        <f>VLOOKUP($B3,'[1]Plant data'!$A$1:$AB$315,10,0)</f>
        <v>0.15</v>
      </c>
      <c r="AC3" t="str">
        <f>VLOOKUP($B3,'[1]Plant data'!$A$1:$AB$315,11,0)</f>
        <v>NA</v>
      </c>
      <c r="AD3">
        <f>VLOOKUP($B3,'[1]Plant data'!$A$1:$AB$315,12,0)</f>
        <v>8.5000000000000006E-2</v>
      </c>
      <c r="AE3" t="str">
        <f>VLOOKUP($B3,'[1]Plant data'!$A$1:$AB$315,13,0)</f>
        <v>NA</v>
      </c>
      <c r="AF3" t="str">
        <f>VLOOKUP($B3,'[1]Plant data'!$A$1:$AB$315,14,0)</f>
        <v>NA</v>
      </c>
      <c r="AG3">
        <f>VLOOKUP($B3,'[1]Plant data'!$A$1:$AB$315,15,0)</f>
        <v>12.7</v>
      </c>
      <c r="AH3" t="str">
        <f>VLOOKUP($B3,'[1]Plant data'!$A$1:$AB$315,16,0)</f>
        <v>NA</v>
      </c>
      <c r="AI3" t="str">
        <f>VLOOKUP($B3,'[1]Plant data'!$A$1:$AB$315,17,0)</f>
        <v>NA</v>
      </c>
      <c r="AJ3" t="str">
        <f>VLOOKUP($B3,'[1]Plant data'!$A$1:$AB$315,18,0)</f>
        <v>Athie &amp; Dias 2012</v>
      </c>
      <c r="AK3">
        <f>VLOOKUP($B3,'[1]Plant data'!$A$1:$AB$315,19,0)</f>
        <v>0.82</v>
      </c>
      <c r="AL3">
        <f>VLOOKUP($B3,'[1]Plant data'!$A$1:$AB$315,20,0)</f>
        <v>0.04</v>
      </c>
      <c r="AM3">
        <f>VLOOKUP($B3,'[1]Plant data'!$A$1:$AB$315,21,0)</f>
        <v>7.9000000000000001E-2</v>
      </c>
      <c r="AN3" t="str">
        <f>VLOOKUP($B3,'[1]Plant data'!$A$1:$AB$315,22,0)</f>
        <v>NA</v>
      </c>
      <c r="AO3" t="str">
        <f>VLOOKUP($B3,'[1]Plant data'!$A$1:$AB$315,23,0)</f>
        <v>NA</v>
      </c>
      <c r="AP3">
        <f>VLOOKUP($B3,'[1]Plant data'!$A$1:$AB$315,24,0)</f>
        <v>0.48299999999999998</v>
      </c>
      <c r="AQ3" t="str">
        <f>VLOOKUP($B3,'[1]Plant data'!$A$1:$AB$315,25,0)</f>
        <v>NA</v>
      </c>
      <c r="AR3" t="str">
        <f>VLOOKUP($B3,'[1]Plant data'!$A$1:$AB$315,26,0)</f>
        <v>NA</v>
      </c>
      <c r="AS3" t="str">
        <f>VLOOKUP($B3,'[1]Plant data'!$A$1:$AB$315,27,0)</f>
        <v>NA</v>
      </c>
      <c r="AT3" t="str">
        <f>VLOOKUP($B3,'[1]Plant data'!$A$1:$AB$315,28,0)</f>
        <v>FRUBASE (Dinerstein E. 1986)</v>
      </c>
    </row>
    <row r="4" spans="1:46">
      <c r="A4" s="5" t="s">
        <v>50</v>
      </c>
      <c r="B4" s="12" t="s">
        <v>150</v>
      </c>
      <c r="C4">
        <v>1</v>
      </c>
      <c r="D4" s="7">
        <v>250</v>
      </c>
      <c r="E4" s="8">
        <f>C4/250</f>
        <v>4.0000000000000001E-3</v>
      </c>
      <c r="F4" s="8" t="s">
        <v>19</v>
      </c>
      <c r="G4" s="9" t="s">
        <v>19</v>
      </c>
      <c r="H4" s="9"/>
      <c r="I4" s="8" t="s">
        <v>19</v>
      </c>
      <c r="J4" s="10" t="s">
        <v>146</v>
      </c>
      <c r="K4" t="s">
        <v>147</v>
      </c>
      <c r="L4" t="s">
        <v>22</v>
      </c>
      <c r="M4" t="s">
        <v>47</v>
      </c>
      <c r="N4" s="11">
        <v>69.5</v>
      </c>
      <c r="O4" s="11">
        <v>13.253214290000001</v>
      </c>
      <c r="P4" t="s">
        <v>48</v>
      </c>
      <c r="Q4" t="s">
        <v>25</v>
      </c>
      <c r="R4" t="s">
        <v>26</v>
      </c>
      <c r="S4" t="s">
        <v>31</v>
      </c>
      <c r="T4" t="str">
        <f>VLOOKUP(B4,'[1]Plant data'!$A$1:$AB$315,2,0)</f>
        <v>Lamiaceae</v>
      </c>
      <c r="U4" t="str">
        <f>VLOOKUP($B4,'[1]Plant data'!$A$1:$AB$315,3,0)</f>
        <v>NA</v>
      </c>
      <c r="V4" t="str">
        <f>VLOOKUP($B4,'[1]Plant data'!$A$1:$AB$315,4,0)</f>
        <v>red</v>
      </c>
      <c r="W4" t="str">
        <f>VLOOKUP($B4,'[1]Plant data'!$A$1:$AB$315,5,0)</f>
        <v>YES</v>
      </c>
      <c r="X4">
        <f>VLOOKUP($B4,'[1]Plant data'!$A$1:$AB$315,6,0)</f>
        <v>8</v>
      </c>
      <c r="Y4">
        <f>VLOOKUP($B4,'[1]Plant data'!$A$1:$AB$315,7,0)</f>
        <v>9</v>
      </c>
      <c r="Z4">
        <f>VLOOKUP($B4,'[1]Plant data'!$A$1:$AB$315,8,0)</f>
        <v>7</v>
      </c>
      <c r="AA4">
        <f>VLOOKUP($B4,'[1]Plant data'!$A$1:$AB$315,9,0)</f>
        <v>8</v>
      </c>
      <c r="AB4" t="str">
        <f>VLOOKUP($B4,'[1]Plant data'!$A$1:$AB$315,10,0)</f>
        <v>NA</v>
      </c>
      <c r="AC4" t="str">
        <f>VLOOKUP($B4,'[1]Plant data'!$A$1:$AB$315,11,0)</f>
        <v>NA</v>
      </c>
      <c r="AD4" t="str">
        <f>VLOOKUP($B4,'[1]Plant data'!$A$1:$AB$315,12,0)</f>
        <v>NA</v>
      </c>
      <c r="AE4" t="str">
        <f>VLOOKUP($B4,'[1]Plant data'!$A$1:$AB$315,13,0)</f>
        <v>NA</v>
      </c>
      <c r="AF4" t="str">
        <f>VLOOKUP($B4,'[1]Plant data'!$A$1:$AB$315,14,0)</f>
        <v>NA</v>
      </c>
      <c r="AG4" t="str">
        <f>VLOOKUP($B4,'[1]Plant data'!$A$1:$AB$315,15,0)</f>
        <v>NA</v>
      </c>
      <c r="AH4" t="str">
        <f>VLOOKUP($B4,'[1]Plant data'!$A$1:$AB$315,16,0)</f>
        <v>NA</v>
      </c>
      <c r="AI4" t="str">
        <f>VLOOKUP($B4,'[1]Plant data'!$A$1:$AB$315,17,0)</f>
        <v>NA</v>
      </c>
      <c r="AJ4" t="str">
        <f>VLOOKUP($B4,'[1]Plant data'!$A$1:$AB$315,18,0)</f>
        <v>ATLANTIC</v>
      </c>
      <c r="AK4" t="str">
        <f>VLOOKUP($B4,'[1]Plant data'!$A$1:$AB$315,19,0)</f>
        <v>NA</v>
      </c>
      <c r="AL4" t="str">
        <f>VLOOKUP($B4,'[1]Plant data'!$A$1:$AB$315,20,0)</f>
        <v>NA</v>
      </c>
      <c r="AM4" t="str">
        <f>VLOOKUP($B4,'[1]Plant data'!$A$1:$AB$315,21,0)</f>
        <v>NA</v>
      </c>
      <c r="AN4" t="str">
        <f>VLOOKUP($B4,'[1]Plant data'!$A$1:$AB$315,22,0)</f>
        <v>NA</v>
      </c>
      <c r="AO4" t="str">
        <f>VLOOKUP($B4,'[1]Plant data'!$A$1:$AB$315,23,0)</f>
        <v>NA</v>
      </c>
      <c r="AP4" t="str">
        <f>VLOOKUP($B4,'[1]Plant data'!$A$1:$AB$315,24,0)</f>
        <v>NA</v>
      </c>
      <c r="AQ4" t="str">
        <f>VLOOKUP($B4,'[1]Plant data'!$A$1:$AB$315,25,0)</f>
        <v>NA</v>
      </c>
      <c r="AR4" t="str">
        <f>VLOOKUP($B4,'[1]Plant data'!$A$1:$AB$315,26,0)</f>
        <v>NA</v>
      </c>
      <c r="AS4" t="str">
        <f>VLOOKUP($B4,'[1]Plant data'!$A$1:$AB$315,27,0)</f>
        <v>NA</v>
      </c>
      <c r="AT4" t="str">
        <f>VLOOKUP($B4,'[1]Plant data'!$A$1:$AB$315,28,0)</f>
        <v>NA</v>
      </c>
    </row>
    <row r="5" spans="1:46">
      <c r="A5" s="5" t="s">
        <v>41</v>
      </c>
      <c r="B5" s="6" t="s">
        <v>42</v>
      </c>
      <c r="C5" s="7">
        <v>4</v>
      </c>
      <c r="D5" s="7">
        <v>27.7</v>
      </c>
      <c r="E5" s="8">
        <f>C5/D5</f>
        <v>0.1444043321299639</v>
      </c>
      <c r="F5" t="s">
        <v>19</v>
      </c>
      <c r="G5" s="9" t="s">
        <v>19</v>
      </c>
      <c r="H5" s="9"/>
      <c r="I5" s="8" t="s">
        <v>19</v>
      </c>
      <c r="J5" s="10" t="s">
        <v>20</v>
      </c>
      <c r="K5" t="s">
        <v>21</v>
      </c>
      <c r="L5" t="s">
        <v>22</v>
      </c>
      <c r="M5" t="s">
        <v>30</v>
      </c>
      <c r="N5" s="11">
        <v>39</v>
      </c>
      <c r="O5" s="11">
        <v>8.2839869279999991</v>
      </c>
      <c r="P5" t="s">
        <v>24</v>
      </c>
      <c r="Q5" t="s">
        <v>25</v>
      </c>
      <c r="R5" t="s">
        <v>26</v>
      </c>
      <c r="S5" t="s">
        <v>31</v>
      </c>
      <c r="T5" t="str">
        <f>VLOOKUP(B5,'[1]Plant data'!$A$1:$AB$315,2,0)</f>
        <v>Lamiaceae</v>
      </c>
      <c r="U5" t="str">
        <f>VLOOKUP($B5,'[1]Plant data'!$A$1:$AB$315,3,0)</f>
        <v>NA</v>
      </c>
      <c r="V5" t="str">
        <f>VLOOKUP($B5,'[1]Plant data'!$A$1:$AB$315,4,0)</f>
        <v>red/orange</v>
      </c>
      <c r="W5" t="str">
        <f>VLOOKUP($B5,'[1]Plant data'!$A$1:$AB$315,5,0)</f>
        <v>YES</v>
      </c>
      <c r="X5">
        <f>VLOOKUP($B5,'[1]Plant data'!$A$1:$AB$315,6,0)</f>
        <v>5.1875</v>
      </c>
      <c r="Y5">
        <f>VLOOKUP($B5,'[1]Plant data'!$A$1:$AB$315,7,0)</f>
        <v>9.76</v>
      </c>
      <c r="Z5">
        <f>VLOOKUP($B5,'[1]Plant data'!$A$1:$AB$315,8,0)</f>
        <v>3.5150000000000001</v>
      </c>
      <c r="AA5">
        <f>VLOOKUP($B5,'[1]Plant data'!$A$1:$AB$315,9,0)</f>
        <v>6.1050000000000004</v>
      </c>
      <c r="AB5">
        <f>VLOOKUP($B5,'[1]Plant data'!$A$1:$AB$315,10,0)</f>
        <v>0.16700000000000004</v>
      </c>
      <c r="AC5" t="str">
        <f>VLOOKUP($B5,'[1]Plant data'!$A$1:$AB$315,11,0)</f>
        <v>NA</v>
      </c>
      <c r="AD5">
        <f>VLOOKUP($B5,'[1]Plant data'!$A$1:$AB$315,12,0)</f>
        <v>4.2200000000000001E-2</v>
      </c>
      <c r="AE5">
        <f>VLOOKUP($B5,'[1]Plant data'!$A$1:$AB$315,13,0)</f>
        <v>9.180000000000002E-2</v>
      </c>
      <c r="AF5">
        <f>VLOOKUP($B5,'[1]Plant data'!$A$1:$AB$315,14,0)</f>
        <v>4.2200000000000001E-2</v>
      </c>
      <c r="AG5">
        <f>VLOOKUP($B5,'[1]Plant data'!$A$1:$AB$315,15,0)</f>
        <v>1</v>
      </c>
      <c r="AH5" t="str">
        <f>VLOOKUP($B5,'[1]Plant data'!$A$1:$AB$315,16,0)</f>
        <v>NA</v>
      </c>
      <c r="AI5">
        <f>VLOOKUP($B5,'[1]Plant data'!$A$1:$AB$315,17,0)</f>
        <v>2.1753554502369674</v>
      </c>
      <c r="AJ5" t="str">
        <f>VLOOKUP($B5,'[1]Plant data'!$A$1:$AB$315,18,0)</f>
        <v>Correia 1997, Erica&amp;Wesley, Intervales_morfo, Alves 2008</v>
      </c>
      <c r="AK5" t="str">
        <f>VLOOKUP($B5,'[1]Plant data'!$A$1:$AB$315,19,0)</f>
        <v>NA</v>
      </c>
      <c r="AL5">
        <f>VLOOKUP($B5,'[1]Plant data'!$A$1:$AB$315,20,0)</f>
        <v>8.7008017492702774E-2</v>
      </c>
      <c r="AM5">
        <f>VLOOKUP($B5,'[1]Plant data'!$A$1:$AB$315,21,0)</f>
        <v>7.5690999999999994E-2</v>
      </c>
      <c r="AN5">
        <f>VLOOKUP($B5,'[1]Plant data'!$A$1:$AB$315,22,0)</f>
        <v>0.10180344715883068</v>
      </c>
      <c r="AO5">
        <f>VLOOKUP($B5,'[1]Plant data'!$A$1:$AB$315,23,0)</f>
        <v>0.21479582528139882</v>
      </c>
      <c r="AP5" t="str">
        <f>VLOOKUP($B5,'[1]Plant data'!$A$1:$AB$315,24,0)</f>
        <v>NA</v>
      </c>
      <c r="AQ5" t="str">
        <f>VLOOKUP($B5,'[1]Plant data'!$A$1:$AB$315,25,0)</f>
        <v>NA</v>
      </c>
      <c r="AR5" t="str">
        <f>VLOOKUP($B5,'[1]Plant data'!$A$1:$AB$315,26,0)</f>
        <v>NA</v>
      </c>
      <c r="AS5" t="str">
        <f>VLOOKUP($B5,'[1]Plant data'!$A$1:$AB$315,27,0)</f>
        <v>NA</v>
      </c>
      <c r="AT5" t="str">
        <f>VLOOKUP($B5,'[1]Plant data'!$A$1:$AB$315,28,0)</f>
        <v>Erica &amp; Wesley, unpubl.</v>
      </c>
    </row>
    <row r="6" spans="1:46">
      <c r="A6" s="5" t="s">
        <v>43</v>
      </c>
      <c r="B6" s="6" t="s">
        <v>42</v>
      </c>
      <c r="C6" s="7">
        <v>23</v>
      </c>
      <c r="D6" s="7">
        <v>27.7</v>
      </c>
      <c r="E6" s="8">
        <f>C6/D6</f>
        <v>0.83032490974729245</v>
      </c>
      <c r="F6" t="s">
        <v>19</v>
      </c>
      <c r="G6" s="9" t="s">
        <v>19</v>
      </c>
      <c r="H6" s="9"/>
      <c r="I6" s="8" t="s">
        <v>19</v>
      </c>
      <c r="J6" s="10" t="s">
        <v>20</v>
      </c>
      <c r="K6" t="s">
        <v>21</v>
      </c>
      <c r="L6" t="s">
        <v>22</v>
      </c>
      <c r="M6" t="s">
        <v>30</v>
      </c>
      <c r="N6" s="11">
        <v>32.5</v>
      </c>
      <c r="O6" s="11">
        <v>8.9205555560000001</v>
      </c>
      <c r="P6" t="s">
        <v>24</v>
      </c>
      <c r="Q6" t="s">
        <v>25</v>
      </c>
      <c r="R6" t="s">
        <v>26</v>
      </c>
      <c r="S6" t="s">
        <v>31</v>
      </c>
      <c r="T6" t="str">
        <f>VLOOKUP(B6,'[1]Plant data'!$A$1:$AB$315,2,0)</f>
        <v>Lamiaceae</v>
      </c>
      <c r="U6" t="str">
        <f>VLOOKUP($B6,'[1]Plant data'!$A$1:$AB$315,3,0)</f>
        <v>NA</v>
      </c>
      <c r="V6" t="str">
        <f>VLOOKUP($B6,'[1]Plant data'!$A$1:$AB$315,4,0)</f>
        <v>red/orange</v>
      </c>
      <c r="W6" t="str">
        <f>VLOOKUP($B6,'[1]Plant data'!$A$1:$AB$315,5,0)</f>
        <v>YES</v>
      </c>
      <c r="X6">
        <f>VLOOKUP($B6,'[1]Plant data'!$A$1:$AB$315,6,0)</f>
        <v>5.1875</v>
      </c>
      <c r="Y6">
        <f>VLOOKUP($B6,'[1]Plant data'!$A$1:$AB$315,7,0)</f>
        <v>9.76</v>
      </c>
      <c r="Z6">
        <f>VLOOKUP($B6,'[1]Plant data'!$A$1:$AB$315,8,0)</f>
        <v>3.5150000000000001</v>
      </c>
      <c r="AA6">
        <f>VLOOKUP($B6,'[1]Plant data'!$A$1:$AB$315,9,0)</f>
        <v>6.1050000000000004</v>
      </c>
      <c r="AB6">
        <f>VLOOKUP($B6,'[1]Plant data'!$A$1:$AB$315,10,0)</f>
        <v>0.16700000000000004</v>
      </c>
      <c r="AC6" t="str">
        <f>VLOOKUP($B6,'[1]Plant data'!$A$1:$AB$315,11,0)</f>
        <v>NA</v>
      </c>
      <c r="AD6">
        <f>VLOOKUP($B6,'[1]Plant data'!$A$1:$AB$315,12,0)</f>
        <v>4.2200000000000001E-2</v>
      </c>
      <c r="AE6">
        <f>VLOOKUP($B6,'[1]Plant data'!$A$1:$AB$315,13,0)</f>
        <v>9.180000000000002E-2</v>
      </c>
      <c r="AF6">
        <f>VLOOKUP($B6,'[1]Plant data'!$A$1:$AB$315,14,0)</f>
        <v>4.2200000000000001E-2</v>
      </c>
      <c r="AG6">
        <f>VLOOKUP($B6,'[1]Plant data'!$A$1:$AB$315,15,0)</f>
        <v>1</v>
      </c>
      <c r="AH6" t="str">
        <f>VLOOKUP($B6,'[1]Plant data'!$A$1:$AB$315,16,0)</f>
        <v>NA</v>
      </c>
      <c r="AI6">
        <f>VLOOKUP($B6,'[1]Plant data'!$A$1:$AB$315,17,0)</f>
        <v>2.1753554502369674</v>
      </c>
      <c r="AJ6" t="str">
        <f>VLOOKUP($B6,'[1]Plant data'!$A$1:$AB$315,18,0)</f>
        <v>Correia 1997, Erica&amp;Wesley, Intervales_morfo, Alves 2008</v>
      </c>
      <c r="AK6" t="str">
        <f>VLOOKUP($B6,'[1]Plant data'!$A$1:$AB$315,19,0)</f>
        <v>NA</v>
      </c>
      <c r="AL6">
        <f>VLOOKUP($B6,'[1]Plant data'!$A$1:$AB$315,20,0)</f>
        <v>8.7008017492702774E-2</v>
      </c>
      <c r="AM6">
        <f>VLOOKUP($B6,'[1]Plant data'!$A$1:$AB$315,21,0)</f>
        <v>7.5690999999999994E-2</v>
      </c>
      <c r="AN6">
        <f>VLOOKUP($B6,'[1]Plant data'!$A$1:$AB$315,22,0)</f>
        <v>0.10180344715883068</v>
      </c>
      <c r="AO6">
        <f>VLOOKUP($B6,'[1]Plant data'!$A$1:$AB$315,23,0)</f>
        <v>0.21479582528139882</v>
      </c>
      <c r="AP6" t="str">
        <f>VLOOKUP($B6,'[1]Plant data'!$A$1:$AB$315,24,0)</f>
        <v>NA</v>
      </c>
      <c r="AQ6" t="str">
        <f>VLOOKUP($B6,'[1]Plant data'!$A$1:$AB$315,25,0)</f>
        <v>NA</v>
      </c>
      <c r="AR6" t="str">
        <f>VLOOKUP($B6,'[1]Plant data'!$A$1:$AB$315,26,0)</f>
        <v>NA</v>
      </c>
      <c r="AS6" t="str">
        <f>VLOOKUP($B6,'[1]Plant data'!$A$1:$AB$315,27,0)</f>
        <v>NA</v>
      </c>
      <c r="AT6" t="str">
        <f>VLOOKUP($B6,'[1]Plant data'!$A$1:$AB$315,28,0)</f>
        <v>Erica &amp; Wesley, unpubl.</v>
      </c>
    </row>
    <row r="7" spans="1:46">
      <c r="A7" s="5" t="s">
        <v>46</v>
      </c>
      <c r="B7" s="6" t="s">
        <v>42</v>
      </c>
      <c r="C7" s="7">
        <v>11</v>
      </c>
      <c r="D7" s="7">
        <v>27.7</v>
      </c>
      <c r="E7" s="8">
        <f>C7/D7</f>
        <v>0.39711191335740076</v>
      </c>
      <c r="F7" t="s">
        <v>19</v>
      </c>
      <c r="G7" s="9" t="s">
        <v>19</v>
      </c>
      <c r="H7" s="9"/>
      <c r="I7" s="8" t="s">
        <v>19</v>
      </c>
      <c r="J7" s="10" t="s">
        <v>20</v>
      </c>
      <c r="K7" t="s">
        <v>21</v>
      </c>
      <c r="L7" t="s">
        <v>22</v>
      </c>
      <c r="M7" t="s">
        <v>47</v>
      </c>
      <c r="N7" s="11">
        <v>54</v>
      </c>
      <c r="O7" s="11">
        <v>11.14875</v>
      </c>
      <c r="P7" t="s">
        <v>48</v>
      </c>
      <c r="Q7" t="s">
        <v>49</v>
      </c>
      <c r="R7" t="s">
        <v>26</v>
      </c>
      <c r="S7" t="s">
        <v>31</v>
      </c>
      <c r="T7" t="str">
        <f>VLOOKUP(B7,'[1]Plant data'!$A$1:$AB$315,2,0)</f>
        <v>Lamiaceae</v>
      </c>
      <c r="U7" t="str">
        <f>VLOOKUP($B7,'[1]Plant data'!$A$1:$AB$315,3,0)</f>
        <v>NA</v>
      </c>
      <c r="V7" t="str">
        <f>VLOOKUP($B7,'[1]Plant data'!$A$1:$AB$315,4,0)</f>
        <v>red/orange</v>
      </c>
      <c r="W7" t="str">
        <f>VLOOKUP($B7,'[1]Plant data'!$A$1:$AB$315,5,0)</f>
        <v>YES</v>
      </c>
      <c r="X7">
        <f>VLOOKUP($B7,'[1]Plant data'!$A$1:$AB$315,6,0)</f>
        <v>5.1875</v>
      </c>
      <c r="Y7">
        <f>VLOOKUP($B7,'[1]Plant data'!$A$1:$AB$315,7,0)</f>
        <v>9.76</v>
      </c>
      <c r="Z7">
        <f>VLOOKUP($B7,'[1]Plant data'!$A$1:$AB$315,8,0)</f>
        <v>3.5150000000000001</v>
      </c>
      <c r="AA7">
        <f>VLOOKUP($B7,'[1]Plant data'!$A$1:$AB$315,9,0)</f>
        <v>6.1050000000000004</v>
      </c>
      <c r="AB7">
        <f>VLOOKUP($B7,'[1]Plant data'!$A$1:$AB$315,10,0)</f>
        <v>0.16700000000000004</v>
      </c>
      <c r="AC7" t="str">
        <f>VLOOKUP($B7,'[1]Plant data'!$A$1:$AB$315,11,0)</f>
        <v>NA</v>
      </c>
      <c r="AD7">
        <f>VLOOKUP($B7,'[1]Plant data'!$A$1:$AB$315,12,0)</f>
        <v>4.2200000000000001E-2</v>
      </c>
      <c r="AE7">
        <f>VLOOKUP($B7,'[1]Plant data'!$A$1:$AB$315,13,0)</f>
        <v>9.180000000000002E-2</v>
      </c>
      <c r="AF7">
        <f>VLOOKUP($B7,'[1]Plant data'!$A$1:$AB$315,14,0)</f>
        <v>4.2200000000000001E-2</v>
      </c>
      <c r="AG7">
        <f>VLOOKUP($B7,'[1]Plant data'!$A$1:$AB$315,15,0)</f>
        <v>1</v>
      </c>
      <c r="AH7" t="str">
        <f>VLOOKUP($B7,'[1]Plant data'!$A$1:$AB$315,16,0)</f>
        <v>NA</v>
      </c>
      <c r="AI7">
        <f>VLOOKUP($B7,'[1]Plant data'!$A$1:$AB$315,17,0)</f>
        <v>2.1753554502369674</v>
      </c>
      <c r="AJ7" t="str">
        <f>VLOOKUP($B7,'[1]Plant data'!$A$1:$AB$315,18,0)</f>
        <v>Correia 1997, Erica&amp;Wesley, Intervales_morfo, Alves 2008</v>
      </c>
      <c r="AK7" t="str">
        <f>VLOOKUP($B7,'[1]Plant data'!$A$1:$AB$315,19,0)</f>
        <v>NA</v>
      </c>
      <c r="AL7">
        <f>VLOOKUP($B7,'[1]Plant data'!$A$1:$AB$315,20,0)</f>
        <v>8.7008017492702774E-2</v>
      </c>
      <c r="AM7">
        <f>VLOOKUP($B7,'[1]Plant data'!$A$1:$AB$315,21,0)</f>
        <v>7.5690999999999994E-2</v>
      </c>
      <c r="AN7">
        <f>VLOOKUP($B7,'[1]Plant data'!$A$1:$AB$315,22,0)</f>
        <v>0.10180344715883068</v>
      </c>
      <c r="AO7">
        <f>VLOOKUP($B7,'[1]Plant data'!$A$1:$AB$315,23,0)</f>
        <v>0.21479582528139882</v>
      </c>
      <c r="AP7" t="str">
        <f>VLOOKUP($B7,'[1]Plant data'!$A$1:$AB$315,24,0)</f>
        <v>NA</v>
      </c>
      <c r="AQ7" t="str">
        <f>VLOOKUP($B7,'[1]Plant data'!$A$1:$AB$315,25,0)</f>
        <v>NA</v>
      </c>
      <c r="AR7" t="str">
        <f>VLOOKUP($B7,'[1]Plant data'!$A$1:$AB$315,26,0)</f>
        <v>NA</v>
      </c>
      <c r="AS7" t="str">
        <f>VLOOKUP($B7,'[1]Plant data'!$A$1:$AB$315,27,0)</f>
        <v>NA</v>
      </c>
      <c r="AT7" t="str">
        <f>VLOOKUP($B7,'[1]Plant data'!$A$1:$AB$315,28,0)</f>
        <v>Erica &amp; Wesley, unpubl.</v>
      </c>
    </row>
    <row r="8" spans="1:46">
      <c r="A8" s="5" t="s">
        <v>50</v>
      </c>
      <c r="B8" s="6" t="s">
        <v>42</v>
      </c>
      <c r="C8" s="7">
        <v>16</v>
      </c>
      <c r="D8" s="7">
        <v>27.7</v>
      </c>
      <c r="E8" s="8">
        <f>C8/D8</f>
        <v>0.57761732851985559</v>
      </c>
      <c r="F8" t="s">
        <v>19</v>
      </c>
      <c r="G8" s="9" t="s">
        <v>19</v>
      </c>
      <c r="H8" s="9"/>
      <c r="I8" s="8" t="s">
        <v>19</v>
      </c>
      <c r="J8" s="10" t="s">
        <v>20</v>
      </c>
      <c r="K8" t="s">
        <v>21</v>
      </c>
      <c r="L8" s="16" t="s">
        <v>22</v>
      </c>
      <c r="M8" s="16" t="s">
        <v>47</v>
      </c>
      <c r="N8" s="17">
        <v>69.5</v>
      </c>
      <c r="O8" s="17">
        <v>13.253214290000001</v>
      </c>
      <c r="P8" s="16" t="s">
        <v>48</v>
      </c>
      <c r="Q8" s="16" t="s">
        <v>25</v>
      </c>
      <c r="R8" s="16" t="s">
        <v>26</v>
      </c>
      <c r="S8" s="16" t="s">
        <v>31</v>
      </c>
      <c r="T8" t="str">
        <f>VLOOKUP(B8,'[1]Plant data'!$A$1:$AB$315,2,0)</f>
        <v>Lamiaceae</v>
      </c>
      <c r="U8" t="str">
        <f>VLOOKUP($B8,'[1]Plant data'!$A$1:$AB$315,3,0)</f>
        <v>NA</v>
      </c>
      <c r="V8" t="str">
        <f>VLOOKUP($B8,'[1]Plant data'!$A$1:$AB$315,4,0)</f>
        <v>red/orange</v>
      </c>
      <c r="W8" t="str">
        <f>VLOOKUP($B8,'[1]Plant data'!$A$1:$AB$315,5,0)</f>
        <v>YES</v>
      </c>
      <c r="X8">
        <f>VLOOKUP($B8,'[1]Plant data'!$A$1:$AB$315,6,0)</f>
        <v>5.1875</v>
      </c>
      <c r="Y8">
        <f>VLOOKUP($B8,'[1]Plant data'!$A$1:$AB$315,7,0)</f>
        <v>9.76</v>
      </c>
      <c r="Z8">
        <f>VLOOKUP($B8,'[1]Plant data'!$A$1:$AB$315,8,0)</f>
        <v>3.5150000000000001</v>
      </c>
      <c r="AA8">
        <f>VLOOKUP($B8,'[1]Plant data'!$A$1:$AB$315,9,0)</f>
        <v>6.1050000000000004</v>
      </c>
      <c r="AB8">
        <f>VLOOKUP($B8,'[1]Plant data'!$A$1:$AB$315,10,0)</f>
        <v>0.16700000000000004</v>
      </c>
      <c r="AC8" t="str">
        <f>VLOOKUP($B8,'[1]Plant data'!$A$1:$AB$315,11,0)</f>
        <v>NA</v>
      </c>
      <c r="AD8">
        <f>VLOOKUP($B8,'[1]Plant data'!$A$1:$AB$315,12,0)</f>
        <v>4.2200000000000001E-2</v>
      </c>
      <c r="AE8">
        <f>VLOOKUP($B8,'[1]Plant data'!$A$1:$AB$315,13,0)</f>
        <v>9.180000000000002E-2</v>
      </c>
      <c r="AF8">
        <f>VLOOKUP($B8,'[1]Plant data'!$A$1:$AB$315,14,0)</f>
        <v>4.2200000000000001E-2</v>
      </c>
      <c r="AG8">
        <f>VLOOKUP($B8,'[1]Plant data'!$A$1:$AB$315,15,0)</f>
        <v>1</v>
      </c>
      <c r="AH8" t="str">
        <f>VLOOKUP($B8,'[1]Plant data'!$A$1:$AB$315,16,0)</f>
        <v>NA</v>
      </c>
      <c r="AI8">
        <f>VLOOKUP($B8,'[1]Plant data'!$A$1:$AB$315,17,0)</f>
        <v>2.1753554502369674</v>
      </c>
      <c r="AJ8" t="str">
        <f>VLOOKUP($B8,'[1]Plant data'!$A$1:$AB$315,18,0)</f>
        <v>Correia 1997, Erica&amp;Wesley, Intervales_morfo, Alves 2008</v>
      </c>
      <c r="AK8" t="str">
        <f>VLOOKUP($B8,'[1]Plant data'!$A$1:$AB$315,19,0)</f>
        <v>NA</v>
      </c>
      <c r="AL8">
        <f>VLOOKUP($B8,'[1]Plant data'!$A$1:$AB$315,20,0)</f>
        <v>8.7008017492702774E-2</v>
      </c>
      <c r="AM8">
        <f>VLOOKUP($B8,'[1]Plant data'!$A$1:$AB$315,21,0)</f>
        <v>7.5690999999999994E-2</v>
      </c>
      <c r="AN8">
        <f>VLOOKUP($B8,'[1]Plant data'!$A$1:$AB$315,22,0)</f>
        <v>0.10180344715883068</v>
      </c>
      <c r="AO8">
        <f>VLOOKUP($B8,'[1]Plant data'!$A$1:$AB$315,23,0)</f>
        <v>0.21479582528139882</v>
      </c>
      <c r="AP8" t="str">
        <f>VLOOKUP($B8,'[1]Plant data'!$A$1:$AB$315,24,0)</f>
        <v>NA</v>
      </c>
      <c r="AQ8" t="str">
        <f>VLOOKUP($B8,'[1]Plant data'!$A$1:$AB$315,25,0)</f>
        <v>NA</v>
      </c>
      <c r="AR8" t="str">
        <f>VLOOKUP($B8,'[1]Plant data'!$A$1:$AB$315,26,0)</f>
        <v>NA</v>
      </c>
      <c r="AS8" t="str">
        <f>VLOOKUP($B8,'[1]Plant data'!$A$1:$AB$315,27,0)</f>
        <v>NA</v>
      </c>
      <c r="AT8" t="str">
        <f>VLOOKUP($B8,'[1]Plant data'!$A$1:$AB$315,28,0)</f>
        <v>Erica &amp; Wesley, unpubl.</v>
      </c>
    </row>
    <row r="9" spans="1:46">
      <c r="A9" s="5" t="s">
        <v>62</v>
      </c>
      <c r="B9" s="6" t="s">
        <v>244</v>
      </c>
      <c r="C9" s="7">
        <v>11</v>
      </c>
      <c r="D9" s="44">
        <v>28.5</v>
      </c>
      <c r="E9" s="8">
        <f>C9/28.5</f>
        <v>0.38596491228070173</v>
      </c>
      <c r="F9" s="9" t="s">
        <v>19</v>
      </c>
      <c r="G9" s="9">
        <v>2.54</v>
      </c>
      <c r="H9" s="9"/>
      <c r="I9" s="8">
        <f t="shared" ref="I9:I28" si="0">E9*G9</f>
        <v>0.98035087719298242</v>
      </c>
      <c r="J9" s="42" t="s">
        <v>242</v>
      </c>
      <c r="K9" t="s">
        <v>245</v>
      </c>
      <c r="L9" t="s">
        <v>22</v>
      </c>
      <c r="M9" t="s">
        <v>30</v>
      </c>
      <c r="N9" s="11">
        <v>18.7</v>
      </c>
      <c r="O9" s="11">
        <v>6.1185714290000002</v>
      </c>
      <c r="P9" t="s">
        <v>24</v>
      </c>
      <c r="Q9" t="s">
        <v>25</v>
      </c>
      <c r="R9" t="s">
        <v>26</v>
      </c>
      <c r="S9" t="s">
        <v>31</v>
      </c>
      <c r="T9" t="str">
        <f>VLOOKUP(B9,'[1]Plant data'!$A$1:$AB$315,2,0)</f>
        <v>Euphorbiaceae</v>
      </c>
      <c r="U9" t="str">
        <f>VLOOKUP($B9,'[1]Plant data'!$A$1:$AB$315,3,0)</f>
        <v>NA</v>
      </c>
      <c r="V9" t="str">
        <f>VLOOKUP($B9,'[1]Plant data'!$A$1:$AB$315,4,0)</f>
        <v>red</v>
      </c>
      <c r="W9" t="str">
        <f>VLOOKUP($B9,'[1]Plant data'!$A$1:$AB$315,5,0)</f>
        <v>YES</v>
      </c>
      <c r="X9">
        <f>VLOOKUP($B9,'[1]Plant data'!$A$1:$AB$315,6,0)</f>
        <v>5.0250000000000004</v>
      </c>
      <c r="Y9">
        <f>VLOOKUP($B9,'[1]Plant data'!$A$1:$AB$315,7,0)</f>
        <v>6.36</v>
      </c>
      <c r="Z9">
        <f>VLOOKUP($B9,'[1]Plant data'!$A$1:$AB$315,8,0)</f>
        <v>4.05</v>
      </c>
      <c r="AA9">
        <f>VLOOKUP($B9,'[1]Plant data'!$A$1:$AB$315,9,0)</f>
        <v>8</v>
      </c>
      <c r="AB9">
        <f>VLOOKUP($B9,'[1]Plant data'!$A$1:$AB$315,10,0)</f>
        <v>0.08</v>
      </c>
      <c r="AC9">
        <f>VLOOKUP($B9,'[1]Plant data'!$A$1:$AB$315,11,0)</f>
        <v>0.03</v>
      </c>
      <c r="AD9" t="str">
        <f>VLOOKUP($B9,'[1]Plant data'!$A$1:$AB$315,12,0)</f>
        <v>NA</v>
      </c>
      <c r="AE9" t="str">
        <f>VLOOKUP($B9,'[1]Plant data'!$A$1:$AB$315,13,0)</f>
        <v>NA</v>
      </c>
      <c r="AF9" t="str">
        <f>VLOOKUP($B9,'[1]Plant data'!$A$1:$AB$315,14,0)</f>
        <v>NA</v>
      </c>
      <c r="AG9">
        <f>VLOOKUP($B9,'[1]Plant data'!$A$1:$AB$315,15,0)</f>
        <v>1.65</v>
      </c>
      <c r="AH9" t="str">
        <f>VLOOKUP($B9,'[1]Plant data'!$A$1:$AB$315,16,0)</f>
        <v>NA</v>
      </c>
      <c r="AI9" t="str">
        <f>VLOOKUP($B9,'[1]Plant data'!$A$1:$AB$315,17,0)</f>
        <v>NA</v>
      </c>
      <c r="AJ9" t="str">
        <f>VLOOKUP($B9,'[1]Plant data'!$A$1:$AB$315,18,0)</f>
        <v>ATLANTIC, Castro 2001, Intervales_morfo, Motta Jr. 1981, Pizo &amp; Oliveira 2001</v>
      </c>
      <c r="AK9">
        <f>VLOOKUP($B9,'[1]Plant data'!$A$1:$AB$315,19,0)</f>
        <v>0.40700000000000003</v>
      </c>
      <c r="AL9">
        <f>VLOOKUP($B9,'[1]Plant data'!$A$1:$AB$315,20,0)</f>
        <v>0.68400000000000005</v>
      </c>
      <c r="AM9">
        <f>VLOOKUP($B9,'[1]Plant data'!$A$1:$AB$315,21,0)</f>
        <v>7.5999999999999998E-2</v>
      </c>
      <c r="AN9" t="str">
        <f>VLOOKUP($B9,'[1]Plant data'!$A$1:$AB$315,22,0)</f>
        <v>NA</v>
      </c>
      <c r="AO9" t="str">
        <f>VLOOKUP($B9,'[1]Plant data'!$A$1:$AB$315,23,0)</f>
        <v>NA</v>
      </c>
      <c r="AP9" t="str">
        <f>VLOOKUP($B9,'[1]Plant data'!$A$1:$AB$315,24,0)</f>
        <v>NA</v>
      </c>
      <c r="AQ9">
        <f>VLOOKUP($B9,'[1]Plant data'!$A$1:$AB$315,25,0)</f>
        <v>0.217</v>
      </c>
      <c r="AR9">
        <f>VLOOKUP($B9,'[1]Plant data'!$A$1:$AB$315,26,0)</f>
        <v>2.4E-2</v>
      </c>
      <c r="AS9" t="str">
        <f>VLOOKUP($B9,'[1]Plant data'!$A$1:$AB$315,27,0)</f>
        <v>NA</v>
      </c>
      <c r="AT9" t="str">
        <f>VLOOKUP($B9,'[1]Plant data'!$A$1:$AB$315,28,0)</f>
        <v>Pizo &amp; Oliveira 2001, Motta Jr. 1981</v>
      </c>
    </row>
    <row r="10" spans="1:46">
      <c r="A10" s="5" t="s">
        <v>41</v>
      </c>
      <c r="B10" s="14" t="s">
        <v>244</v>
      </c>
      <c r="C10">
        <v>6</v>
      </c>
      <c r="D10">
        <f>12+9.5</f>
        <v>21.5</v>
      </c>
      <c r="E10" s="8">
        <f>C10/(12+9.5)</f>
        <v>0.27906976744186046</v>
      </c>
      <c r="F10" s="9" t="s">
        <v>19</v>
      </c>
      <c r="G10" s="9">
        <v>2.9912903225806455</v>
      </c>
      <c r="H10" s="9"/>
      <c r="I10" s="8">
        <f t="shared" si="0"/>
        <v>0.8347786946736685</v>
      </c>
      <c r="J10" s="25" t="s">
        <v>242</v>
      </c>
      <c r="K10" s="25" t="s">
        <v>245</v>
      </c>
      <c r="L10" t="s">
        <v>22</v>
      </c>
      <c r="M10" t="s">
        <v>30</v>
      </c>
      <c r="N10" s="11">
        <v>39</v>
      </c>
      <c r="O10" s="11">
        <v>8.2839869279999991</v>
      </c>
      <c r="P10" t="s">
        <v>24</v>
      </c>
      <c r="Q10" t="s">
        <v>25</v>
      </c>
      <c r="R10" t="s">
        <v>26</v>
      </c>
      <c r="S10" t="s">
        <v>31</v>
      </c>
      <c r="T10" t="str">
        <f>VLOOKUP(B10,'[1]Plant data'!$A$1:$AB$315,2,0)</f>
        <v>Euphorbiaceae</v>
      </c>
      <c r="U10" t="str">
        <f>VLOOKUP($B10,'[1]Plant data'!$A$1:$AB$315,3,0)</f>
        <v>NA</v>
      </c>
      <c r="V10" t="str">
        <f>VLOOKUP($B10,'[1]Plant data'!$A$1:$AB$315,4,0)</f>
        <v>red</v>
      </c>
      <c r="W10" t="str">
        <f>VLOOKUP($B10,'[1]Plant data'!$A$1:$AB$315,5,0)</f>
        <v>YES</v>
      </c>
      <c r="X10">
        <f>VLOOKUP($B10,'[1]Plant data'!$A$1:$AB$315,6,0)</f>
        <v>5.0250000000000004</v>
      </c>
      <c r="Y10">
        <f>VLOOKUP($B10,'[1]Plant data'!$A$1:$AB$315,7,0)</f>
        <v>6.36</v>
      </c>
      <c r="Z10">
        <f>VLOOKUP($B10,'[1]Plant data'!$A$1:$AB$315,8,0)</f>
        <v>4.05</v>
      </c>
      <c r="AA10">
        <f>VLOOKUP($B10,'[1]Plant data'!$A$1:$AB$315,9,0)</f>
        <v>8</v>
      </c>
      <c r="AB10">
        <f>VLOOKUP($B10,'[1]Plant data'!$A$1:$AB$315,10,0)</f>
        <v>0.08</v>
      </c>
      <c r="AC10">
        <f>VLOOKUP($B10,'[1]Plant data'!$A$1:$AB$315,11,0)</f>
        <v>0.03</v>
      </c>
      <c r="AD10" t="str">
        <f>VLOOKUP($B10,'[1]Plant data'!$A$1:$AB$315,12,0)</f>
        <v>NA</v>
      </c>
      <c r="AE10" t="str">
        <f>VLOOKUP($B10,'[1]Plant data'!$A$1:$AB$315,13,0)</f>
        <v>NA</v>
      </c>
      <c r="AF10" t="str">
        <f>VLOOKUP($B10,'[1]Plant data'!$A$1:$AB$315,14,0)</f>
        <v>NA</v>
      </c>
      <c r="AG10">
        <f>VLOOKUP($B10,'[1]Plant data'!$A$1:$AB$315,15,0)</f>
        <v>1.65</v>
      </c>
      <c r="AH10" t="str">
        <f>VLOOKUP($B10,'[1]Plant data'!$A$1:$AB$315,16,0)</f>
        <v>NA</v>
      </c>
      <c r="AI10" t="str">
        <f>VLOOKUP($B10,'[1]Plant data'!$A$1:$AB$315,17,0)</f>
        <v>NA</v>
      </c>
      <c r="AJ10" t="str">
        <f>VLOOKUP($B10,'[1]Plant data'!$A$1:$AB$315,18,0)</f>
        <v>ATLANTIC, Castro 2001, Intervales_morfo, Motta Jr. 1981, Pizo &amp; Oliveira 2001</v>
      </c>
      <c r="AK10">
        <f>VLOOKUP($B10,'[1]Plant data'!$A$1:$AB$315,19,0)</f>
        <v>0.40700000000000003</v>
      </c>
      <c r="AL10">
        <f>VLOOKUP($B10,'[1]Plant data'!$A$1:$AB$315,20,0)</f>
        <v>0.68400000000000005</v>
      </c>
      <c r="AM10">
        <f>VLOOKUP($B10,'[1]Plant data'!$A$1:$AB$315,21,0)</f>
        <v>7.5999999999999998E-2</v>
      </c>
      <c r="AN10" t="str">
        <f>VLOOKUP($B10,'[1]Plant data'!$A$1:$AB$315,22,0)</f>
        <v>NA</v>
      </c>
      <c r="AO10" t="str">
        <f>VLOOKUP($B10,'[1]Plant data'!$A$1:$AB$315,23,0)</f>
        <v>NA</v>
      </c>
      <c r="AP10" t="str">
        <f>VLOOKUP($B10,'[1]Plant data'!$A$1:$AB$315,24,0)</f>
        <v>NA</v>
      </c>
      <c r="AQ10">
        <f>VLOOKUP($B10,'[1]Plant data'!$A$1:$AB$315,25,0)</f>
        <v>0.217</v>
      </c>
      <c r="AR10">
        <f>VLOOKUP($B10,'[1]Plant data'!$A$1:$AB$315,26,0)</f>
        <v>2.4E-2</v>
      </c>
      <c r="AS10" t="str">
        <f>VLOOKUP($B10,'[1]Plant data'!$A$1:$AB$315,27,0)</f>
        <v>NA</v>
      </c>
      <c r="AT10" t="str">
        <f>VLOOKUP($B10,'[1]Plant data'!$A$1:$AB$315,28,0)</f>
        <v>Pizo &amp; Oliveira 2001, Motta Jr. 1981</v>
      </c>
    </row>
    <row r="11" spans="1:46">
      <c r="A11" s="5" t="s">
        <v>43</v>
      </c>
      <c r="B11" s="14" t="s">
        <v>244</v>
      </c>
      <c r="C11">
        <v>2</v>
      </c>
      <c r="D11">
        <f>12+9.5</f>
        <v>21.5</v>
      </c>
      <c r="E11" s="8">
        <f>C11/(12+9.5)</f>
        <v>9.3023255813953487E-2</v>
      </c>
      <c r="F11" s="9" t="s">
        <v>19</v>
      </c>
      <c r="G11" s="9">
        <v>2.9912903225806455</v>
      </c>
      <c r="H11" s="9"/>
      <c r="I11" s="8">
        <f t="shared" si="0"/>
        <v>0.27825956489122283</v>
      </c>
      <c r="J11" s="25" t="s">
        <v>242</v>
      </c>
      <c r="K11" s="25" t="s">
        <v>245</v>
      </c>
      <c r="L11" t="s">
        <v>22</v>
      </c>
      <c r="M11" t="s">
        <v>30</v>
      </c>
      <c r="N11" s="11">
        <v>32.5</v>
      </c>
      <c r="O11" s="11">
        <v>8.9205555560000001</v>
      </c>
      <c r="P11" t="s">
        <v>24</v>
      </c>
      <c r="Q11" t="s">
        <v>25</v>
      </c>
      <c r="R11" t="s">
        <v>26</v>
      </c>
      <c r="S11" t="s">
        <v>31</v>
      </c>
      <c r="T11" t="str">
        <f>VLOOKUP(B11,'[1]Plant data'!$A$1:$AB$315,2,0)</f>
        <v>Euphorbiaceae</v>
      </c>
      <c r="U11" t="str">
        <f>VLOOKUP($B11,'[1]Plant data'!$A$1:$AB$315,3,0)</f>
        <v>NA</v>
      </c>
      <c r="V11" t="str">
        <f>VLOOKUP($B11,'[1]Plant data'!$A$1:$AB$315,4,0)</f>
        <v>red</v>
      </c>
      <c r="W11" t="str">
        <f>VLOOKUP($B11,'[1]Plant data'!$A$1:$AB$315,5,0)</f>
        <v>YES</v>
      </c>
      <c r="X11">
        <f>VLOOKUP($B11,'[1]Plant data'!$A$1:$AB$315,6,0)</f>
        <v>5.0250000000000004</v>
      </c>
      <c r="Y11">
        <f>VLOOKUP($B11,'[1]Plant data'!$A$1:$AB$315,7,0)</f>
        <v>6.36</v>
      </c>
      <c r="Z11">
        <f>VLOOKUP($B11,'[1]Plant data'!$A$1:$AB$315,8,0)</f>
        <v>4.05</v>
      </c>
      <c r="AA11">
        <f>VLOOKUP($B11,'[1]Plant data'!$A$1:$AB$315,9,0)</f>
        <v>8</v>
      </c>
      <c r="AB11">
        <f>VLOOKUP($B11,'[1]Plant data'!$A$1:$AB$315,10,0)</f>
        <v>0.08</v>
      </c>
      <c r="AC11">
        <f>VLOOKUP($B11,'[1]Plant data'!$A$1:$AB$315,11,0)</f>
        <v>0.03</v>
      </c>
      <c r="AD11" t="str">
        <f>VLOOKUP($B11,'[1]Plant data'!$A$1:$AB$315,12,0)</f>
        <v>NA</v>
      </c>
      <c r="AE11" t="str">
        <f>VLOOKUP($B11,'[1]Plant data'!$A$1:$AB$315,13,0)</f>
        <v>NA</v>
      </c>
      <c r="AF11" t="str">
        <f>VLOOKUP($B11,'[1]Plant data'!$A$1:$AB$315,14,0)</f>
        <v>NA</v>
      </c>
      <c r="AG11">
        <f>VLOOKUP($B11,'[1]Plant data'!$A$1:$AB$315,15,0)</f>
        <v>1.65</v>
      </c>
      <c r="AH11" t="str">
        <f>VLOOKUP($B11,'[1]Plant data'!$A$1:$AB$315,16,0)</f>
        <v>NA</v>
      </c>
      <c r="AI11" t="str">
        <f>VLOOKUP($B11,'[1]Plant data'!$A$1:$AB$315,17,0)</f>
        <v>NA</v>
      </c>
      <c r="AJ11" t="str">
        <f>VLOOKUP($B11,'[1]Plant data'!$A$1:$AB$315,18,0)</f>
        <v>ATLANTIC, Castro 2001, Intervales_morfo, Motta Jr. 1981, Pizo &amp; Oliveira 2001</v>
      </c>
      <c r="AK11">
        <f>VLOOKUP($B11,'[1]Plant data'!$A$1:$AB$315,19,0)</f>
        <v>0.40700000000000003</v>
      </c>
      <c r="AL11">
        <f>VLOOKUP($B11,'[1]Plant data'!$A$1:$AB$315,20,0)</f>
        <v>0.68400000000000005</v>
      </c>
      <c r="AM11">
        <f>VLOOKUP($B11,'[1]Plant data'!$A$1:$AB$315,21,0)</f>
        <v>7.5999999999999998E-2</v>
      </c>
      <c r="AN11" t="str">
        <f>VLOOKUP($B11,'[1]Plant data'!$A$1:$AB$315,22,0)</f>
        <v>NA</v>
      </c>
      <c r="AO11" t="str">
        <f>VLOOKUP($B11,'[1]Plant data'!$A$1:$AB$315,23,0)</f>
        <v>NA</v>
      </c>
      <c r="AP11" t="str">
        <f>VLOOKUP($B11,'[1]Plant data'!$A$1:$AB$315,24,0)</f>
        <v>NA</v>
      </c>
      <c r="AQ11">
        <f>VLOOKUP($B11,'[1]Plant data'!$A$1:$AB$315,25,0)</f>
        <v>0.217</v>
      </c>
      <c r="AR11">
        <f>VLOOKUP($B11,'[1]Plant data'!$A$1:$AB$315,26,0)</f>
        <v>2.4E-2</v>
      </c>
      <c r="AS11" t="str">
        <f>VLOOKUP($B11,'[1]Plant data'!$A$1:$AB$315,27,0)</f>
        <v>NA</v>
      </c>
      <c r="AT11" t="str">
        <f>VLOOKUP($B11,'[1]Plant data'!$A$1:$AB$315,28,0)</f>
        <v>Pizo &amp; Oliveira 2001, Motta Jr. 1981</v>
      </c>
    </row>
    <row r="12" spans="1:46">
      <c r="A12" s="5" t="s">
        <v>50</v>
      </c>
      <c r="B12" s="14" t="s">
        <v>244</v>
      </c>
      <c r="C12">
        <v>6</v>
      </c>
      <c r="D12">
        <f>12+9.5</f>
        <v>21.5</v>
      </c>
      <c r="E12" s="8">
        <f>C12/(12+9.5)</f>
        <v>0.27906976744186046</v>
      </c>
      <c r="F12" s="9" t="s">
        <v>19</v>
      </c>
      <c r="G12" s="9">
        <v>6.7308201058201051</v>
      </c>
      <c r="H12" s="9"/>
      <c r="I12" s="8">
        <f t="shared" si="0"/>
        <v>1.8783684016242153</v>
      </c>
      <c r="J12" s="25" t="s">
        <v>242</v>
      </c>
      <c r="K12" s="25" t="s">
        <v>245</v>
      </c>
      <c r="L12" t="s">
        <v>22</v>
      </c>
      <c r="M12" t="s">
        <v>47</v>
      </c>
      <c r="N12" s="11">
        <v>69.5</v>
      </c>
      <c r="O12" s="11">
        <v>13.253214290000001</v>
      </c>
      <c r="P12" t="s">
        <v>48</v>
      </c>
      <c r="Q12" t="s">
        <v>25</v>
      </c>
      <c r="R12" t="s">
        <v>26</v>
      </c>
      <c r="S12" t="s">
        <v>31</v>
      </c>
      <c r="T12" t="str">
        <f>VLOOKUP(B12,'[1]Plant data'!$A$1:$AB$315,2,0)</f>
        <v>Euphorbiaceae</v>
      </c>
      <c r="U12" t="str">
        <f>VLOOKUP($B12,'[1]Plant data'!$A$1:$AB$315,3,0)</f>
        <v>NA</v>
      </c>
      <c r="V12" t="str">
        <f>VLOOKUP($B12,'[1]Plant data'!$A$1:$AB$315,4,0)</f>
        <v>red</v>
      </c>
      <c r="W12" t="str">
        <f>VLOOKUP($B12,'[1]Plant data'!$A$1:$AB$315,5,0)</f>
        <v>YES</v>
      </c>
      <c r="X12">
        <f>VLOOKUP($B12,'[1]Plant data'!$A$1:$AB$315,6,0)</f>
        <v>5.0250000000000004</v>
      </c>
      <c r="Y12">
        <f>VLOOKUP($B12,'[1]Plant data'!$A$1:$AB$315,7,0)</f>
        <v>6.36</v>
      </c>
      <c r="Z12">
        <f>VLOOKUP($B12,'[1]Plant data'!$A$1:$AB$315,8,0)</f>
        <v>4.05</v>
      </c>
      <c r="AA12">
        <f>VLOOKUP($B12,'[1]Plant data'!$A$1:$AB$315,9,0)</f>
        <v>8</v>
      </c>
      <c r="AB12">
        <f>VLOOKUP($B12,'[1]Plant data'!$A$1:$AB$315,10,0)</f>
        <v>0.08</v>
      </c>
      <c r="AC12">
        <f>VLOOKUP($B12,'[1]Plant data'!$A$1:$AB$315,11,0)</f>
        <v>0.03</v>
      </c>
      <c r="AD12" t="str">
        <f>VLOOKUP($B12,'[1]Plant data'!$A$1:$AB$315,12,0)</f>
        <v>NA</v>
      </c>
      <c r="AE12" t="str">
        <f>VLOOKUP($B12,'[1]Plant data'!$A$1:$AB$315,13,0)</f>
        <v>NA</v>
      </c>
      <c r="AF12" t="str">
        <f>VLOOKUP($B12,'[1]Plant data'!$A$1:$AB$315,14,0)</f>
        <v>NA</v>
      </c>
      <c r="AG12">
        <f>VLOOKUP($B12,'[1]Plant data'!$A$1:$AB$315,15,0)</f>
        <v>1.65</v>
      </c>
      <c r="AH12" t="str">
        <f>VLOOKUP($B12,'[1]Plant data'!$A$1:$AB$315,16,0)</f>
        <v>NA</v>
      </c>
      <c r="AI12" t="str">
        <f>VLOOKUP($B12,'[1]Plant data'!$A$1:$AB$315,17,0)</f>
        <v>NA</v>
      </c>
      <c r="AJ12" t="str">
        <f>VLOOKUP($B12,'[1]Plant data'!$A$1:$AB$315,18,0)</f>
        <v>ATLANTIC, Castro 2001, Intervales_morfo, Motta Jr. 1981, Pizo &amp; Oliveira 2001</v>
      </c>
      <c r="AK12">
        <f>VLOOKUP($B12,'[1]Plant data'!$A$1:$AB$315,19,0)</f>
        <v>0.40700000000000003</v>
      </c>
      <c r="AL12">
        <f>VLOOKUP($B12,'[1]Plant data'!$A$1:$AB$315,20,0)</f>
        <v>0.68400000000000005</v>
      </c>
      <c r="AM12">
        <f>VLOOKUP($B12,'[1]Plant data'!$A$1:$AB$315,21,0)</f>
        <v>7.5999999999999998E-2</v>
      </c>
      <c r="AN12" t="str">
        <f>VLOOKUP($B12,'[1]Plant data'!$A$1:$AB$315,22,0)</f>
        <v>NA</v>
      </c>
      <c r="AO12" t="str">
        <f>VLOOKUP($B12,'[1]Plant data'!$A$1:$AB$315,23,0)</f>
        <v>NA</v>
      </c>
      <c r="AP12" t="str">
        <f>VLOOKUP($B12,'[1]Plant data'!$A$1:$AB$315,24,0)</f>
        <v>NA</v>
      </c>
      <c r="AQ12">
        <f>VLOOKUP($B12,'[1]Plant data'!$A$1:$AB$315,25,0)</f>
        <v>0.217</v>
      </c>
      <c r="AR12">
        <f>VLOOKUP($B12,'[1]Plant data'!$A$1:$AB$315,26,0)</f>
        <v>2.4E-2</v>
      </c>
      <c r="AS12" t="str">
        <f>VLOOKUP($B12,'[1]Plant data'!$A$1:$AB$315,27,0)</f>
        <v>NA</v>
      </c>
      <c r="AT12" t="str">
        <f>VLOOKUP($B12,'[1]Plant data'!$A$1:$AB$315,28,0)</f>
        <v>Pizo &amp; Oliveira 2001, Motta Jr. 1981</v>
      </c>
    </row>
    <row r="13" spans="1:46">
      <c r="A13" s="5" t="s">
        <v>28</v>
      </c>
      <c r="B13" s="14" t="s">
        <v>244</v>
      </c>
      <c r="C13" s="7">
        <v>8</v>
      </c>
      <c r="D13" s="36">
        <v>20.6</v>
      </c>
      <c r="E13" s="9">
        <f>C13/D13</f>
        <v>0.38834951456310679</v>
      </c>
      <c r="F13">
        <v>14</v>
      </c>
      <c r="G13" s="9">
        <v>1.75</v>
      </c>
      <c r="H13" s="9"/>
      <c r="I13" s="8">
        <f t="shared" si="0"/>
        <v>0.67961165048543692</v>
      </c>
      <c r="J13" s="25" t="s">
        <v>258</v>
      </c>
      <c r="K13" s="25" t="s">
        <v>259</v>
      </c>
      <c r="L13" t="s">
        <v>22</v>
      </c>
      <c r="M13" t="s">
        <v>30</v>
      </c>
      <c r="N13" s="11">
        <v>18</v>
      </c>
      <c r="O13" s="11">
        <v>7.4188405800000004</v>
      </c>
      <c r="P13" t="s">
        <v>24</v>
      </c>
      <c r="Q13" s="13" t="s">
        <v>25</v>
      </c>
      <c r="R13" s="13" t="s">
        <v>26</v>
      </c>
      <c r="S13" s="13" t="s">
        <v>31</v>
      </c>
      <c r="T13" t="str">
        <f>VLOOKUP(B13,'[1]Plant data'!$A$1:$AB$315,2,0)</f>
        <v>Euphorbiaceae</v>
      </c>
      <c r="U13" t="str">
        <f>VLOOKUP($B13,'[1]Plant data'!$A$1:$AB$315,3,0)</f>
        <v>NA</v>
      </c>
      <c r="V13" t="str">
        <f>VLOOKUP($B13,'[1]Plant data'!$A$1:$AB$315,4,0)</f>
        <v>red</v>
      </c>
      <c r="W13" t="str">
        <f>VLOOKUP($B13,'[1]Plant data'!$A$1:$AB$315,5,0)</f>
        <v>YES</v>
      </c>
      <c r="X13">
        <f>VLOOKUP($B13,'[1]Plant data'!$A$1:$AB$315,6,0)</f>
        <v>5.0250000000000004</v>
      </c>
      <c r="Y13">
        <f>VLOOKUP($B13,'[1]Plant data'!$A$1:$AB$315,7,0)</f>
        <v>6.36</v>
      </c>
      <c r="Z13">
        <f>VLOOKUP($B13,'[1]Plant data'!$A$1:$AB$315,8,0)</f>
        <v>4.05</v>
      </c>
      <c r="AA13">
        <f>VLOOKUP($B13,'[1]Plant data'!$A$1:$AB$315,9,0)</f>
        <v>8</v>
      </c>
      <c r="AB13">
        <f>VLOOKUP($B13,'[1]Plant data'!$A$1:$AB$315,10,0)</f>
        <v>0.08</v>
      </c>
      <c r="AC13">
        <f>VLOOKUP($B13,'[1]Plant data'!$A$1:$AB$315,11,0)</f>
        <v>0.03</v>
      </c>
      <c r="AD13" t="str">
        <f>VLOOKUP($B13,'[1]Plant data'!$A$1:$AB$315,12,0)</f>
        <v>NA</v>
      </c>
      <c r="AE13" t="str">
        <f>VLOOKUP($B13,'[1]Plant data'!$A$1:$AB$315,13,0)</f>
        <v>NA</v>
      </c>
      <c r="AF13" t="str">
        <f>VLOOKUP($B13,'[1]Plant data'!$A$1:$AB$315,14,0)</f>
        <v>NA</v>
      </c>
      <c r="AG13">
        <f>VLOOKUP($B13,'[1]Plant data'!$A$1:$AB$315,15,0)</f>
        <v>1.65</v>
      </c>
      <c r="AH13" t="str">
        <f>VLOOKUP($B13,'[1]Plant data'!$A$1:$AB$315,16,0)</f>
        <v>NA</v>
      </c>
      <c r="AI13" t="str">
        <f>VLOOKUP($B13,'[1]Plant data'!$A$1:$AB$315,17,0)</f>
        <v>NA</v>
      </c>
      <c r="AJ13" t="str">
        <f>VLOOKUP($B13,'[1]Plant data'!$A$1:$AB$315,18,0)</f>
        <v>ATLANTIC, Castro 2001, Intervales_morfo, Motta Jr. 1981, Pizo &amp; Oliveira 2001</v>
      </c>
      <c r="AK13">
        <f>VLOOKUP($B13,'[1]Plant data'!$A$1:$AB$315,19,0)</f>
        <v>0.40700000000000003</v>
      </c>
      <c r="AL13">
        <f>VLOOKUP($B13,'[1]Plant data'!$A$1:$AB$315,20,0)</f>
        <v>0.68400000000000005</v>
      </c>
      <c r="AM13">
        <f>VLOOKUP($B13,'[1]Plant data'!$A$1:$AB$315,21,0)</f>
        <v>7.5999999999999998E-2</v>
      </c>
      <c r="AN13" t="str">
        <f>VLOOKUP($B13,'[1]Plant data'!$A$1:$AB$315,22,0)</f>
        <v>NA</v>
      </c>
      <c r="AO13" t="str">
        <f>VLOOKUP($B13,'[1]Plant data'!$A$1:$AB$315,23,0)</f>
        <v>NA</v>
      </c>
      <c r="AP13" t="str">
        <f>VLOOKUP($B13,'[1]Plant data'!$A$1:$AB$315,24,0)</f>
        <v>NA</v>
      </c>
      <c r="AQ13">
        <f>VLOOKUP($B13,'[1]Plant data'!$A$1:$AB$315,25,0)</f>
        <v>0.217</v>
      </c>
      <c r="AR13">
        <f>VLOOKUP($B13,'[1]Plant data'!$A$1:$AB$315,26,0)</f>
        <v>2.4E-2</v>
      </c>
      <c r="AS13" t="str">
        <f>VLOOKUP($B13,'[1]Plant data'!$A$1:$AB$315,27,0)</f>
        <v>NA</v>
      </c>
      <c r="AT13" t="str">
        <f>VLOOKUP($B13,'[1]Plant data'!$A$1:$AB$315,28,0)</f>
        <v>Pizo &amp; Oliveira 2001, Motta Jr. 1981</v>
      </c>
    </row>
    <row r="14" spans="1:46">
      <c r="A14" s="5" t="s">
        <v>43</v>
      </c>
      <c r="B14" s="14" t="s">
        <v>244</v>
      </c>
      <c r="C14">
        <v>81</v>
      </c>
      <c r="D14">
        <v>20.6</v>
      </c>
      <c r="E14" s="8">
        <v>3.97</v>
      </c>
      <c r="F14">
        <v>323</v>
      </c>
      <c r="G14" s="9">
        <v>3.99</v>
      </c>
      <c r="H14" s="9"/>
      <c r="I14" s="8">
        <f t="shared" si="0"/>
        <v>15.840300000000001</v>
      </c>
      <c r="J14" s="25" t="s">
        <v>258</v>
      </c>
      <c r="K14" s="25" t="s">
        <v>259</v>
      </c>
      <c r="L14" t="s">
        <v>22</v>
      </c>
      <c r="M14" t="s">
        <v>30</v>
      </c>
      <c r="N14" s="11">
        <v>32.5</v>
      </c>
      <c r="O14" s="11">
        <v>8.9205555560000001</v>
      </c>
      <c r="P14" t="s">
        <v>24</v>
      </c>
      <c r="Q14" t="s">
        <v>25</v>
      </c>
      <c r="R14" t="s">
        <v>26</v>
      </c>
      <c r="S14" t="s">
        <v>31</v>
      </c>
      <c r="T14" t="str">
        <f>VLOOKUP(B14,'[1]Plant data'!$A$1:$AB$315,2,0)</f>
        <v>Euphorbiaceae</v>
      </c>
      <c r="U14" t="str">
        <f>VLOOKUP($B14,'[1]Plant data'!$A$1:$AB$315,3,0)</f>
        <v>NA</v>
      </c>
      <c r="V14" t="str">
        <f>VLOOKUP($B14,'[1]Plant data'!$A$1:$AB$315,4,0)</f>
        <v>red</v>
      </c>
      <c r="W14" t="str">
        <f>VLOOKUP($B14,'[1]Plant data'!$A$1:$AB$315,5,0)</f>
        <v>YES</v>
      </c>
      <c r="X14">
        <f>VLOOKUP($B14,'[1]Plant data'!$A$1:$AB$315,6,0)</f>
        <v>5.0250000000000004</v>
      </c>
      <c r="Y14">
        <f>VLOOKUP($B14,'[1]Plant data'!$A$1:$AB$315,7,0)</f>
        <v>6.36</v>
      </c>
      <c r="Z14">
        <f>VLOOKUP($B14,'[1]Plant data'!$A$1:$AB$315,8,0)</f>
        <v>4.05</v>
      </c>
      <c r="AA14">
        <f>VLOOKUP($B14,'[1]Plant data'!$A$1:$AB$315,9,0)</f>
        <v>8</v>
      </c>
      <c r="AB14">
        <f>VLOOKUP($B14,'[1]Plant data'!$A$1:$AB$315,10,0)</f>
        <v>0.08</v>
      </c>
      <c r="AC14">
        <f>VLOOKUP($B14,'[1]Plant data'!$A$1:$AB$315,11,0)</f>
        <v>0.03</v>
      </c>
      <c r="AD14" t="str">
        <f>VLOOKUP($B14,'[1]Plant data'!$A$1:$AB$315,12,0)</f>
        <v>NA</v>
      </c>
      <c r="AE14" t="str">
        <f>VLOOKUP($B14,'[1]Plant data'!$A$1:$AB$315,13,0)</f>
        <v>NA</v>
      </c>
      <c r="AF14" t="str">
        <f>VLOOKUP($B14,'[1]Plant data'!$A$1:$AB$315,14,0)</f>
        <v>NA</v>
      </c>
      <c r="AG14">
        <f>VLOOKUP($B14,'[1]Plant data'!$A$1:$AB$315,15,0)</f>
        <v>1.65</v>
      </c>
      <c r="AH14" t="str">
        <f>VLOOKUP($B14,'[1]Plant data'!$A$1:$AB$315,16,0)</f>
        <v>NA</v>
      </c>
      <c r="AI14" t="str">
        <f>VLOOKUP($B14,'[1]Plant data'!$A$1:$AB$315,17,0)</f>
        <v>NA</v>
      </c>
      <c r="AJ14" t="str">
        <f>VLOOKUP($B14,'[1]Plant data'!$A$1:$AB$315,18,0)</f>
        <v>ATLANTIC, Castro 2001, Intervales_morfo, Motta Jr. 1981, Pizo &amp; Oliveira 2001</v>
      </c>
      <c r="AK14">
        <f>VLOOKUP($B14,'[1]Plant data'!$A$1:$AB$315,19,0)</f>
        <v>0.40700000000000003</v>
      </c>
      <c r="AL14">
        <f>VLOOKUP($B14,'[1]Plant data'!$A$1:$AB$315,20,0)</f>
        <v>0.68400000000000005</v>
      </c>
      <c r="AM14">
        <f>VLOOKUP($B14,'[1]Plant data'!$A$1:$AB$315,21,0)</f>
        <v>7.5999999999999998E-2</v>
      </c>
      <c r="AN14" t="str">
        <f>VLOOKUP($B14,'[1]Plant data'!$A$1:$AB$315,22,0)</f>
        <v>NA</v>
      </c>
      <c r="AO14" t="str">
        <f>VLOOKUP($B14,'[1]Plant data'!$A$1:$AB$315,23,0)</f>
        <v>NA</v>
      </c>
      <c r="AP14" t="str">
        <f>VLOOKUP($B14,'[1]Plant data'!$A$1:$AB$315,24,0)</f>
        <v>NA</v>
      </c>
      <c r="AQ14">
        <f>VLOOKUP($B14,'[1]Plant data'!$A$1:$AB$315,25,0)</f>
        <v>0.217</v>
      </c>
      <c r="AR14">
        <f>VLOOKUP($B14,'[1]Plant data'!$A$1:$AB$315,26,0)</f>
        <v>2.4E-2</v>
      </c>
      <c r="AS14" t="str">
        <f>VLOOKUP($B14,'[1]Plant data'!$A$1:$AB$315,27,0)</f>
        <v>NA</v>
      </c>
      <c r="AT14" t="str">
        <f>VLOOKUP($B14,'[1]Plant data'!$A$1:$AB$315,28,0)</f>
        <v>Pizo &amp; Oliveira 2001, Motta Jr. 1981</v>
      </c>
    </row>
    <row r="15" spans="1:46">
      <c r="A15" s="5" t="s">
        <v>46</v>
      </c>
      <c r="B15" s="6" t="s">
        <v>244</v>
      </c>
      <c r="C15">
        <v>4</v>
      </c>
      <c r="D15">
        <v>20.6</v>
      </c>
      <c r="E15" s="8">
        <v>0.2</v>
      </c>
      <c r="F15">
        <v>40</v>
      </c>
      <c r="G15" s="9">
        <v>10</v>
      </c>
      <c r="H15" s="9"/>
      <c r="I15" s="8">
        <f t="shared" si="0"/>
        <v>2</v>
      </c>
      <c r="J15" s="25" t="s">
        <v>258</v>
      </c>
      <c r="K15" s="25" t="s">
        <v>259</v>
      </c>
      <c r="L15" t="s">
        <v>22</v>
      </c>
      <c r="M15" t="s">
        <v>47</v>
      </c>
      <c r="N15" s="11">
        <v>54</v>
      </c>
      <c r="O15" s="11">
        <v>11.14875</v>
      </c>
      <c r="P15" t="s">
        <v>48</v>
      </c>
      <c r="Q15" t="s">
        <v>49</v>
      </c>
      <c r="R15" t="s">
        <v>26</v>
      </c>
      <c r="S15" t="s">
        <v>31</v>
      </c>
      <c r="T15" t="str">
        <f>VLOOKUP(B15,'[1]Plant data'!$A$1:$AB$315,2,0)</f>
        <v>Euphorbiaceae</v>
      </c>
      <c r="U15" t="str">
        <f>VLOOKUP($B15,'[1]Plant data'!$A$1:$AB$315,3,0)</f>
        <v>NA</v>
      </c>
      <c r="V15" t="str">
        <f>VLOOKUP($B15,'[1]Plant data'!$A$1:$AB$315,4,0)</f>
        <v>red</v>
      </c>
      <c r="W15" t="str">
        <f>VLOOKUP($B15,'[1]Plant data'!$A$1:$AB$315,5,0)</f>
        <v>YES</v>
      </c>
      <c r="X15">
        <f>VLOOKUP($B15,'[1]Plant data'!$A$1:$AB$315,6,0)</f>
        <v>5.0250000000000004</v>
      </c>
      <c r="Y15">
        <f>VLOOKUP($B15,'[1]Plant data'!$A$1:$AB$315,7,0)</f>
        <v>6.36</v>
      </c>
      <c r="Z15">
        <f>VLOOKUP($B15,'[1]Plant data'!$A$1:$AB$315,8,0)</f>
        <v>4.05</v>
      </c>
      <c r="AA15">
        <f>VLOOKUP($B15,'[1]Plant data'!$A$1:$AB$315,9,0)</f>
        <v>8</v>
      </c>
      <c r="AB15">
        <f>VLOOKUP($B15,'[1]Plant data'!$A$1:$AB$315,10,0)</f>
        <v>0.08</v>
      </c>
      <c r="AC15">
        <f>VLOOKUP($B15,'[1]Plant data'!$A$1:$AB$315,11,0)</f>
        <v>0.03</v>
      </c>
      <c r="AD15" t="str">
        <f>VLOOKUP($B15,'[1]Plant data'!$A$1:$AB$315,12,0)</f>
        <v>NA</v>
      </c>
      <c r="AE15" t="str">
        <f>VLOOKUP($B15,'[1]Plant data'!$A$1:$AB$315,13,0)</f>
        <v>NA</v>
      </c>
      <c r="AF15" t="str">
        <f>VLOOKUP($B15,'[1]Plant data'!$A$1:$AB$315,14,0)</f>
        <v>NA</v>
      </c>
      <c r="AG15">
        <f>VLOOKUP($B15,'[1]Plant data'!$A$1:$AB$315,15,0)</f>
        <v>1.65</v>
      </c>
      <c r="AH15" t="str">
        <f>VLOOKUP($B15,'[1]Plant data'!$A$1:$AB$315,16,0)</f>
        <v>NA</v>
      </c>
      <c r="AI15" t="str">
        <f>VLOOKUP($B15,'[1]Plant data'!$A$1:$AB$315,17,0)</f>
        <v>NA</v>
      </c>
      <c r="AJ15" t="str">
        <f>VLOOKUP($B15,'[1]Plant data'!$A$1:$AB$315,18,0)</f>
        <v>ATLANTIC, Castro 2001, Intervales_morfo, Motta Jr. 1981, Pizo &amp; Oliveira 2001</v>
      </c>
      <c r="AK15">
        <f>VLOOKUP($B15,'[1]Plant data'!$A$1:$AB$315,19,0)</f>
        <v>0.40700000000000003</v>
      </c>
      <c r="AL15">
        <f>VLOOKUP($B15,'[1]Plant data'!$A$1:$AB$315,20,0)</f>
        <v>0.68400000000000005</v>
      </c>
      <c r="AM15">
        <f>VLOOKUP($B15,'[1]Plant data'!$A$1:$AB$315,21,0)</f>
        <v>7.5999999999999998E-2</v>
      </c>
      <c r="AN15" t="str">
        <f>VLOOKUP($B15,'[1]Plant data'!$A$1:$AB$315,22,0)</f>
        <v>NA</v>
      </c>
      <c r="AO15" t="str">
        <f>VLOOKUP($B15,'[1]Plant data'!$A$1:$AB$315,23,0)</f>
        <v>NA</v>
      </c>
      <c r="AP15" t="str">
        <f>VLOOKUP($B15,'[1]Plant data'!$A$1:$AB$315,24,0)</f>
        <v>NA</v>
      </c>
      <c r="AQ15">
        <f>VLOOKUP($B15,'[1]Plant data'!$A$1:$AB$315,25,0)</f>
        <v>0.217</v>
      </c>
      <c r="AR15">
        <f>VLOOKUP($B15,'[1]Plant data'!$A$1:$AB$315,26,0)</f>
        <v>2.4E-2</v>
      </c>
      <c r="AS15" t="str">
        <f>VLOOKUP($B15,'[1]Plant data'!$A$1:$AB$315,27,0)</f>
        <v>NA</v>
      </c>
      <c r="AT15" t="str">
        <f>VLOOKUP($B15,'[1]Plant data'!$A$1:$AB$315,28,0)</f>
        <v>Pizo &amp; Oliveira 2001, Motta Jr. 1981</v>
      </c>
    </row>
    <row r="16" spans="1:46">
      <c r="A16" s="5" t="s">
        <v>32</v>
      </c>
      <c r="B16" s="14" t="s">
        <v>244</v>
      </c>
      <c r="C16">
        <v>3</v>
      </c>
      <c r="D16">
        <v>12</v>
      </c>
      <c r="E16" s="8">
        <v>0.25</v>
      </c>
      <c r="F16">
        <v>10</v>
      </c>
      <c r="G16" s="9">
        <v>3.3333333333333335</v>
      </c>
      <c r="H16" s="9"/>
      <c r="I16" s="8">
        <f t="shared" si="0"/>
        <v>0.83333333333333337</v>
      </c>
      <c r="J16" s="25" t="s">
        <v>283</v>
      </c>
      <c r="K16" s="25" t="s">
        <v>263</v>
      </c>
      <c r="L16" t="s">
        <v>22</v>
      </c>
      <c r="M16" t="s">
        <v>30</v>
      </c>
      <c r="N16" s="11">
        <v>18</v>
      </c>
      <c r="O16" s="11">
        <v>5.1684999999999999</v>
      </c>
      <c r="P16" t="s">
        <v>24</v>
      </c>
      <c r="Q16" s="13" t="s">
        <v>25</v>
      </c>
      <c r="R16" s="13" t="s">
        <v>26</v>
      </c>
      <c r="S16" s="13" t="s">
        <v>31</v>
      </c>
      <c r="T16" t="str">
        <f>VLOOKUP(B16,'[1]Plant data'!$A$1:$AB$315,2,0)</f>
        <v>Euphorbiaceae</v>
      </c>
      <c r="U16" t="str">
        <f>VLOOKUP($B16,'[1]Plant data'!$A$1:$AB$315,3,0)</f>
        <v>NA</v>
      </c>
      <c r="V16" t="str">
        <f>VLOOKUP($B16,'[1]Plant data'!$A$1:$AB$315,4,0)</f>
        <v>red</v>
      </c>
      <c r="W16" t="str">
        <f>VLOOKUP($B16,'[1]Plant data'!$A$1:$AB$315,5,0)</f>
        <v>YES</v>
      </c>
      <c r="X16">
        <f>VLOOKUP($B16,'[1]Plant data'!$A$1:$AB$315,6,0)</f>
        <v>5.0250000000000004</v>
      </c>
      <c r="Y16">
        <f>VLOOKUP($B16,'[1]Plant data'!$A$1:$AB$315,7,0)</f>
        <v>6.36</v>
      </c>
      <c r="Z16">
        <f>VLOOKUP($B16,'[1]Plant data'!$A$1:$AB$315,8,0)</f>
        <v>4.05</v>
      </c>
      <c r="AA16">
        <f>VLOOKUP($B16,'[1]Plant data'!$A$1:$AB$315,9,0)</f>
        <v>8</v>
      </c>
      <c r="AB16">
        <f>VLOOKUP($B16,'[1]Plant data'!$A$1:$AB$315,10,0)</f>
        <v>0.08</v>
      </c>
      <c r="AC16">
        <f>VLOOKUP($B16,'[1]Plant data'!$A$1:$AB$315,11,0)</f>
        <v>0.03</v>
      </c>
      <c r="AD16" t="str">
        <f>VLOOKUP($B16,'[1]Plant data'!$A$1:$AB$315,12,0)</f>
        <v>NA</v>
      </c>
      <c r="AE16" t="str">
        <f>VLOOKUP($B16,'[1]Plant data'!$A$1:$AB$315,13,0)</f>
        <v>NA</v>
      </c>
      <c r="AF16" t="str">
        <f>VLOOKUP($B16,'[1]Plant data'!$A$1:$AB$315,14,0)</f>
        <v>NA</v>
      </c>
      <c r="AG16">
        <f>VLOOKUP($B16,'[1]Plant data'!$A$1:$AB$315,15,0)</f>
        <v>1.65</v>
      </c>
      <c r="AH16" t="str">
        <f>VLOOKUP($B16,'[1]Plant data'!$A$1:$AB$315,16,0)</f>
        <v>NA</v>
      </c>
      <c r="AI16" t="str">
        <f>VLOOKUP($B16,'[1]Plant data'!$A$1:$AB$315,17,0)</f>
        <v>NA</v>
      </c>
      <c r="AJ16" t="str">
        <f>VLOOKUP($B16,'[1]Plant data'!$A$1:$AB$315,18,0)</f>
        <v>ATLANTIC, Castro 2001, Intervales_morfo, Motta Jr. 1981, Pizo &amp; Oliveira 2001</v>
      </c>
      <c r="AK16">
        <f>VLOOKUP($B16,'[1]Plant data'!$A$1:$AB$315,19,0)</f>
        <v>0.40700000000000003</v>
      </c>
      <c r="AL16">
        <f>VLOOKUP($B16,'[1]Plant data'!$A$1:$AB$315,20,0)</f>
        <v>0.68400000000000005</v>
      </c>
      <c r="AM16">
        <f>VLOOKUP($B16,'[1]Plant data'!$A$1:$AB$315,21,0)</f>
        <v>7.5999999999999998E-2</v>
      </c>
      <c r="AN16" t="str">
        <f>VLOOKUP($B16,'[1]Plant data'!$A$1:$AB$315,22,0)</f>
        <v>NA</v>
      </c>
      <c r="AO16" t="str">
        <f>VLOOKUP($B16,'[1]Plant data'!$A$1:$AB$315,23,0)</f>
        <v>NA</v>
      </c>
      <c r="AP16" t="str">
        <f>VLOOKUP($B16,'[1]Plant data'!$A$1:$AB$315,24,0)</f>
        <v>NA</v>
      </c>
      <c r="AQ16">
        <f>VLOOKUP($B16,'[1]Plant data'!$A$1:$AB$315,25,0)</f>
        <v>0.217</v>
      </c>
      <c r="AR16">
        <f>VLOOKUP($B16,'[1]Plant data'!$A$1:$AB$315,26,0)</f>
        <v>2.4E-2</v>
      </c>
      <c r="AS16" t="str">
        <f>VLOOKUP($B16,'[1]Plant data'!$A$1:$AB$315,27,0)</f>
        <v>NA</v>
      </c>
      <c r="AT16" t="str">
        <f>VLOOKUP($B16,'[1]Plant data'!$A$1:$AB$315,28,0)</f>
        <v>Pizo &amp; Oliveira 2001, Motta Jr. 1981</v>
      </c>
    </row>
    <row r="17" spans="1:46">
      <c r="A17" s="5" t="s">
        <v>41</v>
      </c>
      <c r="B17" s="14" t="s">
        <v>244</v>
      </c>
      <c r="C17">
        <v>10</v>
      </c>
      <c r="D17">
        <v>12</v>
      </c>
      <c r="E17" s="8">
        <v>0.83</v>
      </c>
      <c r="F17">
        <v>25</v>
      </c>
      <c r="G17" s="9">
        <v>2.5</v>
      </c>
      <c r="H17" s="9"/>
      <c r="I17" s="8">
        <f t="shared" si="0"/>
        <v>2.0749999999999997</v>
      </c>
      <c r="J17" s="25" t="s">
        <v>283</v>
      </c>
      <c r="K17" s="25" t="s">
        <v>263</v>
      </c>
      <c r="L17" t="s">
        <v>22</v>
      </c>
      <c r="M17" t="s">
        <v>30</v>
      </c>
      <c r="N17" s="11">
        <v>39</v>
      </c>
      <c r="O17" s="11">
        <v>8.2839869279999991</v>
      </c>
      <c r="P17" t="s">
        <v>24</v>
      </c>
      <c r="Q17" t="s">
        <v>25</v>
      </c>
      <c r="R17" t="s">
        <v>26</v>
      </c>
      <c r="S17" t="s">
        <v>31</v>
      </c>
      <c r="T17" t="str">
        <f>VLOOKUP(B17,'[1]Plant data'!$A$1:$AB$315,2,0)</f>
        <v>Euphorbiaceae</v>
      </c>
      <c r="U17" t="str">
        <f>VLOOKUP($B17,'[1]Plant data'!$A$1:$AB$315,3,0)</f>
        <v>NA</v>
      </c>
      <c r="V17" t="str">
        <f>VLOOKUP($B17,'[1]Plant data'!$A$1:$AB$315,4,0)</f>
        <v>red</v>
      </c>
      <c r="W17" t="str">
        <f>VLOOKUP($B17,'[1]Plant data'!$A$1:$AB$315,5,0)</f>
        <v>YES</v>
      </c>
      <c r="X17">
        <f>VLOOKUP($B17,'[1]Plant data'!$A$1:$AB$315,6,0)</f>
        <v>5.0250000000000004</v>
      </c>
      <c r="Y17">
        <f>VLOOKUP($B17,'[1]Plant data'!$A$1:$AB$315,7,0)</f>
        <v>6.36</v>
      </c>
      <c r="Z17">
        <f>VLOOKUP($B17,'[1]Plant data'!$A$1:$AB$315,8,0)</f>
        <v>4.05</v>
      </c>
      <c r="AA17">
        <f>VLOOKUP($B17,'[1]Plant data'!$A$1:$AB$315,9,0)</f>
        <v>8</v>
      </c>
      <c r="AB17">
        <f>VLOOKUP($B17,'[1]Plant data'!$A$1:$AB$315,10,0)</f>
        <v>0.08</v>
      </c>
      <c r="AC17">
        <f>VLOOKUP($B17,'[1]Plant data'!$A$1:$AB$315,11,0)</f>
        <v>0.03</v>
      </c>
      <c r="AD17" t="str">
        <f>VLOOKUP($B17,'[1]Plant data'!$A$1:$AB$315,12,0)</f>
        <v>NA</v>
      </c>
      <c r="AE17" t="str">
        <f>VLOOKUP($B17,'[1]Plant data'!$A$1:$AB$315,13,0)</f>
        <v>NA</v>
      </c>
      <c r="AF17" t="str">
        <f>VLOOKUP($B17,'[1]Plant data'!$A$1:$AB$315,14,0)</f>
        <v>NA</v>
      </c>
      <c r="AG17">
        <f>VLOOKUP($B17,'[1]Plant data'!$A$1:$AB$315,15,0)</f>
        <v>1.65</v>
      </c>
      <c r="AH17" t="str">
        <f>VLOOKUP($B17,'[1]Plant data'!$A$1:$AB$315,16,0)</f>
        <v>NA</v>
      </c>
      <c r="AI17" t="str">
        <f>VLOOKUP($B17,'[1]Plant data'!$A$1:$AB$315,17,0)</f>
        <v>NA</v>
      </c>
      <c r="AJ17" t="str">
        <f>VLOOKUP($B17,'[1]Plant data'!$A$1:$AB$315,18,0)</f>
        <v>ATLANTIC, Castro 2001, Intervales_morfo, Motta Jr. 1981, Pizo &amp; Oliveira 2001</v>
      </c>
      <c r="AK17">
        <f>VLOOKUP($B17,'[1]Plant data'!$A$1:$AB$315,19,0)</f>
        <v>0.40700000000000003</v>
      </c>
      <c r="AL17">
        <f>VLOOKUP($B17,'[1]Plant data'!$A$1:$AB$315,20,0)</f>
        <v>0.68400000000000005</v>
      </c>
      <c r="AM17">
        <f>VLOOKUP($B17,'[1]Plant data'!$A$1:$AB$315,21,0)</f>
        <v>7.5999999999999998E-2</v>
      </c>
      <c r="AN17" t="str">
        <f>VLOOKUP($B17,'[1]Plant data'!$A$1:$AB$315,22,0)</f>
        <v>NA</v>
      </c>
      <c r="AO17" t="str">
        <f>VLOOKUP($B17,'[1]Plant data'!$A$1:$AB$315,23,0)</f>
        <v>NA</v>
      </c>
      <c r="AP17" t="str">
        <f>VLOOKUP($B17,'[1]Plant data'!$A$1:$AB$315,24,0)</f>
        <v>NA</v>
      </c>
      <c r="AQ17">
        <f>VLOOKUP($B17,'[1]Plant data'!$A$1:$AB$315,25,0)</f>
        <v>0.217</v>
      </c>
      <c r="AR17">
        <f>VLOOKUP($B17,'[1]Plant data'!$A$1:$AB$315,26,0)</f>
        <v>2.4E-2</v>
      </c>
      <c r="AS17" t="str">
        <f>VLOOKUP($B17,'[1]Plant data'!$A$1:$AB$315,27,0)</f>
        <v>NA</v>
      </c>
      <c r="AT17" t="str">
        <f>VLOOKUP($B17,'[1]Plant data'!$A$1:$AB$315,28,0)</f>
        <v>Pizo &amp; Oliveira 2001, Motta Jr. 1981</v>
      </c>
    </row>
    <row r="18" spans="1:46">
      <c r="A18" s="5" t="s">
        <v>43</v>
      </c>
      <c r="B18" s="14" t="s">
        <v>244</v>
      </c>
      <c r="C18">
        <v>31</v>
      </c>
      <c r="D18">
        <v>12</v>
      </c>
      <c r="E18" s="8">
        <v>2.58</v>
      </c>
      <c r="F18">
        <v>77</v>
      </c>
      <c r="G18" s="9">
        <v>2.4838709677419355</v>
      </c>
      <c r="H18" s="9"/>
      <c r="I18" s="8">
        <f t="shared" si="0"/>
        <v>6.4083870967741934</v>
      </c>
      <c r="J18" s="25" t="s">
        <v>283</v>
      </c>
      <c r="K18" s="25" t="s">
        <v>263</v>
      </c>
      <c r="L18" t="s">
        <v>22</v>
      </c>
      <c r="M18" t="s">
        <v>30</v>
      </c>
      <c r="N18" s="11">
        <v>32.5</v>
      </c>
      <c r="O18" s="11">
        <v>8.9205555560000001</v>
      </c>
      <c r="P18" t="s">
        <v>24</v>
      </c>
      <c r="Q18" t="s">
        <v>25</v>
      </c>
      <c r="R18" t="s">
        <v>26</v>
      </c>
      <c r="S18" t="s">
        <v>31</v>
      </c>
      <c r="T18" t="str">
        <f>VLOOKUP(B18,'[1]Plant data'!$A$1:$AB$315,2,0)</f>
        <v>Euphorbiaceae</v>
      </c>
      <c r="U18" t="str">
        <f>VLOOKUP($B18,'[1]Plant data'!$A$1:$AB$315,3,0)</f>
        <v>NA</v>
      </c>
      <c r="V18" t="str">
        <f>VLOOKUP($B18,'[1]Plant data'!$A$1:$AB$315,4,0)</f>
        <v>red</v>
      </c>
      <c r="W18" t="str">
        <f>VLOOKUP($B18,'[1]Plant data'!$A$1:$AB$315,5,0)</f>
        <v>YES</v>
      </c>
      <c r="X18">
        <f>VLOOKUP($B18,'[1]Plant data'!$A$1:$AB$315,6,0)</f>
        <v>5.0250000000000004</v>
      </c>
      <c r="Y18">
        <f>VLOOKUP($B18,'[1]Plant data'!$A$1:$AB$315,7,0)</f>
        <v>6.36</v>
      </c>
      <c r="Z18">
        <f>VLOOKUP($B18,'[1]Plant data'!$A$1:$AB$315,8,0)</f>
        <v>4.05</v>
      </c>
      <c r="AA18">
        <f>VLOOKUP($B18,'[1]Plant data'!$A$1:$AB$315,9,0)</f>
        <v>8</v>
      </c>
      <c r="AB18">
        <f>VLOOKUP($B18,'[1]Plant data'!$A$1:$AB$315,10,0)</f>
        <v>0.08</v>
      </c>
      <c r="AC18">
        <f>VLOOKUP($B18,'[1]Plant data'!$A$1:$AB$315,11,0)</f>
        <v>0.03</v>
      </c>
      <c r="AD18" t="str">
        <f>VLOOKUP($B18,'[1]Plant data'!$A$1:$AB$315,12,0)</f>
        <v>NA</v>
      </c>
      <c r="AE18" t="str">
        <f>VLOOKUP($B18,'[1]Plant data'!$A$1:$AB$315,13,0)</f>
        <v>NA</v>
      </c>
      <c r="AF18" t="str">
        <f>VLOOKUP($B18,'[1]Plant data'!$A$1:$AB$315,14,0)</f>
        <v>NA</v>
      </c>
      <c r="AG18">
        <f>VLOOKUP($B18,'[1]Plant data'!$A$1:$AB$315,15,0)</f>
        <v>1.65</v>
      </c>
      <c r="AH18" t="str">
        <f>VLOOKUP($B18,'[1]Plant data'!$A$1:$AB$315,16,0)</f>
        <v>NA</v>
      </c>
      <c r="AI18" t="str">
        <f>VLOOKUP($B18,'[1]Plant data'!$A$1:$AB$315,17,0)</f>
        <v>NA</v>
      </c>
      <c r="AJ18" t="str">
        <f>VLOOKUP($B18,'[1]Plant data'!$A$1:$AB$315,18,0)</f>
        <v>ATLANTIC, Castro 2001, Intervales_morfo, Motta Jr. 1981, Pizo &amp; Oliveira 2001</v>
      </c>
      <c r="AK18">
        <f>VLOOKUP($B18,'[1]Plant data'!$A$1:$AB$315,19,0)</f>
        <v>0.40700000000000003</v>
      </c>
      <c r="AL18">
        <f>VLOOKUP($B18,'[1]Plant data'!$A$1:$AB$315,20,0)</f>
        <v>0.68400000000000005</v>
      </c>
      <c r="AM18">
        <f>VLOOKUP($B18,'[1]Plant data'!$A$1:$AB$315,21,0)</f>
        <v>7.5999999999999998E-2</v>
      </c>
      <c r="AN18" t="str">
        <f>VLOOKUP($B18,'[1]Plant data'!$A$1:$AB$315,22,0)</f>
        <v>NA</v>
      </c>
      <c r="AO18" t="str">
        <f>VLOOKUP($B18,'[1]Plant data'!$A$1:$AB$315,23,0)</f>
        <v>NA</v>
      </c>
      <c r="AP18" t="str">
        <f>VLOOKUP($B18,'[1]Plant data'!$A$1:$AB$315,24,0)</f>
        <v>NA</v>
      </c>
      <c r="AQ18">
        <f>VLOOKUP($B18,'[1]Plant data'!$A$1:$AB$315,25,0)</f>
        <v>0.217</v>
      </c>
      <c r="AR18">
        <f>VLOOKUP($B18,'[1]Plant data'!$A$1:$AB$315,26,0)</f>
        <v>2.4E-2</v>
      </c>
      <c r="AS18" t="str">
        <f>VLOOKUP($B18,'[1]Plant data'!$A$1:$AB$315,27,0)</f>
        <v>NA</v>
      </c>
      <c r="AT18" t="str">
        <f>VLOOKUP($B18,'[1]Plant data'!$A$1:$AB$315,28,0)</f>
        <v>Pizo &amp; Oliveira 2001, Motta Jr. 1981</v>
      </c>
    </row>
    <row r="19" spans="1:46">
      <c r="A19" s="5" t="s">
        <v>46</v>
      </c>
      <c r="B19" s="6" t="s">
        <v>244</v>
      </c>
      <c r="C19">
        <v>4</v>
      </c>
      <c r="D19">
        <v>12</v>
      </c>
      <c r="E19" s="8">
        <v>0.33</v>
      </c>
      <c r="F19">
        <v>51</v>
      </c>
      <c r="G19" s="9">
        <v>12.75</v>
      </c>
      <c r="H19" s="9"/>
      <c r="I19" s="8">
        <f t="shared" si="0"/>
        <v>4.2075000000000005</v>
      </c>
      <c r="J19" s="10" t="s">
        <v>283</v>
      </c>
      <c r="K19" t="s">
        <v>263</v>
      </c>
      <c r="L19" t="s">
        <v>22</v>
      </c>
      <c r="M19" t="s">
        <v>47</v>
      </c>
      <c r="N19" s="11">
        <v>54</v>
      </c>
      <c r="O19" s="11">
        <v>11.14875</v>
      </c>
      <c r="P19" t="s">
        <v>48</v>
      </c>
      <c r="Q19" t="s">
        <v>49</v>
      </c>
      <c r="R19" t="s">
        <v>26</v>
      </c>
      <c r="S19" t="s">
        <v>31</v>
      </c>
      <c r="T19" t="str">
        <f>VLOOKUP(B19,'[1]Plant data'!$A$1:$AB$315,2,0)</f>
        <v>Euphorbiaceae</v>
      </c>
      <c r="U19" t="str">
        <f>VLOOKUP($B19,'[1]Plant data'!$A$1:$AB$315,3,0)</f>
        <v>NA</v>
      </c>
      <c r="V19" t="str">
        <f>VLOOKUP($B19,'[1]Plant data'!$A$1:$AB$315,4,0)</f>
        <v>red</v>
      </c>
      <c r="W19" t="str">
        <f>VLOOKUP($B19,'[1]Plant data'!$A$1:$AB$315,5,0)</f>
        <v>YES</v>
      </c>
      <c r="X19">
        <f>VLOOKUP($B19,'[1]Plant data'!$A$1:$AB$315,6,0)</f>
        <v>5.0250000000000004</v>
      </c>
      <c r="Y19">
        <f>VLOOKUP($B19,'[1]Plant data'!$A$1:$AB$315,7,0)</f>
        <v>6.36</v>
      </c>
      <c r="Z19">
        <f>VLOOKUP($B19,'[1]Plant data'!$A$1:$AB$315,8,0)</f>
        <v>4.05</v>
      </c>
      <c r="AA19">
        <f>VLOOKUP($B19,'[1]Plant data'!$A$1:$AB$315,9,0)</f>
        <v>8</v>
      </c>
      <c r="AB19">
        <f>VLOOKUP($B19,'[1]Plant data'!$A$1:$AB$315,10,0)</f>
        <v>0.08</v>
      </c>
      <c r="AC19">
        <f>VLOOKUP($B19,'[1]Plant data'!$A$1:$AB$315,11,0)</f>
        <v>0.03</v>
      </c>
      <c r="AD19" t="str">
        <f>VLOOKUP($B19,'[1]Plant data'!$A$1:$AB$315,12,0)</f>
        <v>NA</v>
      </c>
      <c r="AE19" t="str">
        <f>VLOOKUP($B19,'[1]Plant data'!$A$1:$AB$315,13,0)</f>
        <v>NA</v>
      </c>
      <c r="AF19" t="str">
        <f>VLOOKUP($B19,'[1]Plant data'!$A$1:$AB$315,14,0)</f>
        <v>NA</v>
      </c>
      <c r="AG19">
        <f>VLOOKUP($B19,'[1]Plant data'!$A$1:$AB$315,15,0)</f>
        <v>1.65</v>
      </c>
      <c r="AH19" t="str">
        <f>VLOOKUP($B19,'[1]Plant data'!$A$1:$AB$315,16,0)</f>
        <v>NA</v>
      </c>
      <c r="AI19" t="str">
        <f>VLOOKUP($B19,'[1]Plant data'!$A$1:$AB$315,17,0)</f>
        <v>NA</v>
      </c>
      <c r="AJ19" t="str">
        <f>VLOOKUP($B19,'[1]Plant data'!$A$1:$AB$315,18,0)</f>
        <v>ATLANTIC, Castro 2001, Intervales_morfo, Motta Jr. 1981, Pizo &amp; Oliveira 2001</v>
      </c>
      <c r="AK19">
        <f>VLOOKUP($B19,'[1]Plant data'!$A$1:$AB$315,19,0)</f>
        <v>0.40700000000000003</v>
      </c>
      <c r="AL19">
        <f>VLOOKUP($B19,'[1]Plant data'!$A$1:$AB$315,20,0)</f>
        <v>0.68400000000000005</v>
      </c>
      <c r="AM19">
        <f>VLOOKUP($B19,'[1]Plant data'!$A$1:$AB$315,21,0)</f>
        <v>7.5999999999999998E-2</v>
      </c>
      <c r="AN19" t="str">
        <f>VLOOKUP($B19,'[1]Plant data'!$A$1:$AB$315,22,0)</f>
        <v>NA</v>
      </c>
      <c r="AO19" t="str">
        <f>VLOOKUP($B19,'[1]Plant data'!$A$1:$AB$315,23,0)</f>
        <v>NA</v>
      </c>
      <c r="AP19" t="str">
        <f>VLOOKUP($B19,'[1]Plant data'!$A$1:$AB$315,24,0)</f>
        <v>NA</v>
      </c>
      <c r="AQ19">
        <f>VLOOKUP($B19,'[1]Plant data'!$A$1:$AB$315,25,0)</f>
        <v>0.217</v>
      </c>
      <c r="AR19">
        <f>VLOOKUP($B19,'[1]Plant data'!$A$1:$AB$315,26,0)</f>
        <v>2.4E-2</v>
      </c>
      <c r="AS19" t="str">
        <f>VLOOKUP($B19,'[1]Plant data'!$A$1:$AB$315,27,0)</f>
        <v>NA</v>
      </c>
      <c r="AT19" t="str">
        <f>VLOOKUP($B19,'[1]Plant data'!$A$1:$AB$315,28,0)</f>
        <v>Pizo &amp; Oliveira 2001, Motta Jr. 1981</v>
      </c>
    </row>
    <row r="20" spans="1:46">
      <c r="A20" s="5" t="s">
        <v>50</v>
      </c>
      <c r="B20" s="14" t="s">
        <v>244</v>
      </c>
      <c r="C20">
        <v>9</v>
      </c>
      <c r="D20">
        <v>12</v>
      </c>
      <c r="E20" s="8">
        <v>0.75</v>
      </c>
      <c r="F20">
        <v>97</v>
      </c>
      <c r="G20" s="9">
        <v>10.777777777777779</v>
      </c>
      <c r="H20" s="9"/>
      <c r="I20" s="8">
        <f t="shared" si="0"/>
        <v>8.0833333333333339</v>
      </c>
      <c r="J20" t="s">
        <v>283</v>
      </c>
      <c r="K20" t="s">
        <v>263</v>
      </c>
      <c r="L20" t="s">
        <v>22</v>
      </c>
      <c r="M20" t="s">
        <v>47</v>
      </c>
      <c r="N20" s="11">
        <v>69.5</v>
      </c>
      <c r="O20" s="11">
        <v>13.253214290000001</v>
      </c>
      <c r="P20" t="s">
        <v>48</v>
      </c>
      <c r="Q20" t="s">
        <v>25</v>
      </c>
      <c r="R20" t="s">
        <v>26</v>
      </c>
      <c r="S20" t="s">
        <v>31</v>
      </c>
      <c r="T20" t="str">
        <f>VLOOKUP(B20,'[1]Plant data'!$A$1:$AB$315,2,0)</f>
        <v>Euphorbiaceae</v>
      </c>
      <c r="U20" t="str">
        <f>VLOOKUP($B20,'[1]Plant data'!$A$1:$AB$315,3,0)</f>
        <v>NA</v>
      </c>
      <c r="V20" t="str">
        <f>VLOOKUP($B20,'[1]Plant data'!$A$1:$AB$315,4,0)</f>
        <v>red</v>
      </c>
      <c r="W20" t="str">
        <f>VLOOKUP($B20,'[1]Plant data'!$A$1:$AB$315,5,0)</f>
        <v>YES</v>
      </c>
      <c r="X20">
        <f>VLOOKUP($B20,'[1]Plant data'!$A$1:$AB$315,6,0)</f>
        <v>5.0250000000000004</v>
      </c>
      <c r="Y20">
        <f>VLOOKUP($B20,'[1]Plant data'!$A$1:$AB$315,7,0)</f>
        <v>6.36</v>
      </c>
      <c r="Z20">
        <f>VLOOKUP($B20,'[1]Plant data'!$A$1:$AB$315,8,0)</f>
        <v>4.05</v>
      </c>
      <c r="AA20">
        <f>VLOOKUP($B20,'[1]Plant data'!$A$1:$AB$315,9,0)</f>
        <v>8</v>
      </c>
      <c r="AB20">
        <f>VLOOKUP($B20,'[1]Plant data'!$A$1:$AB$315,10,0)</f>
        <v>0.08</v>
      </c>
      <c r="AC20">
        <f>VLOOKUP($B20,'[1]Plant data'!$A$1:$AB$315,11,0)</f>
        <v>0.03</v>
      </c>
      <c r="AD20" t="str">
        <f>VLOOKUP($B20,'[1]Plant data'!$A$1:$AB$315,12,0)</f>
        <v>NA</v>
      </c>
      <c r="AE20" t="str">
        <f>VLOOKUP($B20,'[1]Plant data'!$A$1:$AB$315,13,0)</f>
        <v>NA</v>
      </c>
      <c r="AF20" t="str">
        <f>VLOOKUP($B20,'[1]Plant data'!$A$1:$AB$315,14,0)</f>
        <v>NA</v>
      </c>
      <c r="AG20">
        <f>VLOOKUP($B20,'[1]Plant data'!$A$1:$AB$315,15,0)</f>
        <v>1.65</v>
      </c>
      <c r="AH20" t="str">
        <f>VLOOKUP($B20,'[1]Plant data'!$A$1:$AB$315,16,0)</f>
        <v>NA</v>
      </c>
      <c r="AI20" t="str">
        <f>VLOOKUP($B20,'[1]Plant data'!$A$1:$AB$315,17,0)</f>
        <v>NA</v>
      </c>
      <c r="AJ20" t="str">
        <f>VLOOKUP($B20,'[1]Plant data'!$A$1:$AB$315,18,0)</f>
        <v>ATLANTIC, Castro 2001, Intervales_morfo, Motta Jr. 1981, Pizo &amp; Oliveira 2001</v>
      </c>
      <c r="AK20">
        <f>VLOOKUP($B20,'[1]Plant data'!$A$1:$AB$315,19,0)</f>
        <v>0.40700000000000003</v>
      </c>
      <c r="AL20">
        <f>VLOOKUP($B20,'[1]Plant data'!$A$1:$AB$315,20,0)</f>
        <v>0.68400000000000005</v>
      </c>
      <c r="AM20">
        <f>VLOOKUP($B20,'[1]Plant data'!$A$1:$AB$315,21,0)</f>
        <v>7.5999999999999998E-2</v>
      </c>
      <c r="AN20" t="str">
        <f>VLOOKUP($B20,'[1]Plant data'!$A$1:$AB$315,22,0)</f>
        <v>NA</v>
      </c>
      <c r="AO20" t="str">
        <f>VLOOKUP($B20,'[1]Plant data'!$A$1:$AB$315,23,0)</f>
        <v>NA</v>
      </c>
      <c r="AP20" t="str">
        <f>VLOOKUP($B20,'[1]Plant data'!$A$1:$AB$315,24,0)</f>
        <v>NA</v>
      </c>
      <c r="AQ20">
        <f>VLOOKUP($B20,'[1]Plant data'!$A$1:$AB$315,25,0)</f>
        <v>0.217</v>
      </c>
      <c r="AR20">
        <f>VLOOKUP($B20,'[1]Plant data'!$A$1:$AB$315,26,0)</f>
        <v>2.4E-2</v>
      </c>
      <c r="AS20" t="str">
        <f>VLOOKUP($B20,'[1]Plant data'!$A$1:$AB$315,27,0)</f>
        <v>NA</v>
      </c>
      <c r="AT20" t="str">
        <f>VLOOKUP($B20,'[1]Plant data'!$A$1:$AB$315,28,0)</f>
        <v>Pizo &amp; Oliveira 2001, Motta Jr. 1981</v>
      </c>
    </row>
    <row r="21" spans="1:46">
      <c r="A21" s="5" t="s">
        <v>28</v>
      </c>
      <c r="B21" s="6" t="s">
        <v>182</v>
      </c>
      <c r="C21" s="25">
        <v>2</v>
      </c>
      <c r="D21" s="25">
        <v>3.5</v>
      </c>
      <c r="E21" s="26">
        <f>C21/D21</f>
        <v>0.5714285714285714</v>
      </c>
      <c r="F21" s="25" t="s">
        <v>19</v>
      </c>
      <c r="G21" s="27">
        <v>2.54</v>
      </c>
      <c r="H21" s="27"/>
      <c r="I21" s="8">
        <f t="shared" si="0"/>
        <v>1.4514285714285713</v>
      </c>
      <c r="J21" s="24" t="s">
        <v>180</v>
      </c>
      <c r="K21" s="25" t="s">
        <v>181</v>
      </c>
      <c r="L21" t="s">
        <v>22</v>
      </c>
      <c r="M21" t="s">
        <v>30</v>
      </c>
      <c r="N21" s="11">
        <v>18</v>
      </c>
      <c r="O21" s="11">
        <v>7.4188405800000004</v>
      </c>
      <c r="P21" t="s">
        <v>24</v>
      </c>
      <c r="Q21" s="13" t="s">
        <v>25</v>
      </c>
      <c r="R21" s="13" t="s">
        <v>26</v>
      </c>
      <c r="S21" s="13" t="s">
        <v>31</v>
      </c>
      <c r="T21" t="str">
        <f>VLOOKUP(B21,'[1]Plant data'!$A$1:$AB$315,2,0)</f>
        <v>Euphorbiaceae</v>
      </c>
      <c r="U21" t="str">
        <f>VLOOKUP($B21,'[1]Plant data'!$A$1:$AB$315,3,0)</f>
        <v>NA</v>
      </c>
      <c r="V21" t="str">
        <f>VLOOKUP($B21,'[1]Plant data'!$A$1:$AB$315,4,0)</f>
        <v>red</v>
      </c>
      <c r="W21" t="str">
        <f>VLOOKUP($B21,'[1]Plant data'!$A$1:$AB$315,5,0)</f>
        <v>YES</v>
      </c>
      <c r="X21">
        <f>VLOOKUP($B21,'[1]Plant data'!$A$1:$AB$315,6,0)</f>
        <v>5</v>
      </c>
      <c r="Y21">
        <f>VLOOKUP($B21,'[1]Plant data'!$A$1:$AB$315,7,0)</f>
        <v>10</v>
      </c>
      <c r="Z21">
        <f>VLOOKUP($B21,'[1]Plant data'!$A$1:$AB$315,8,0)</f>
        <v>4</v>
      </c>
      <c r="AA21">
        <f>VLOOKUP($B21,'[1]Plant data'!$A$1:$AB$315,9,0)</f>
        <v>6</v>
      </c>
      <c r="AB21" t="str">
        <f>VLOOKUP($B21,'[1]Plant data'!$A$1:$AB$315,10,0)</f>
        <v>NA</v>
      </c>
      <c r="AC21" t="str">
        <f>VLOOKUP($B21,'[1]Plant data'!$A$1:$AB$315,11,0)</f>
        <v>NA</v>
      </c>
      <c r="AD21" t="str">
        <f>VLOOKUP($B21,'[1]Plant data'!$A$1:$AB$315,12,0)</f>
        <v>NA</v>
      </c>
      <c r="AE21" t="str">
        <f>VLOOKUP($B21,'[1]Plant data'!$A$1:$AB$315,13,0)</f>
        <v>NA</v>
      </c>
      <c r="AF21" t="str">
        <f>VLOOKUP($B21,'[1]Plant data'!$A$1:$AB$315,14,0)</f>
        <v>NA</v>
      </c>
      <c r="AG21" t="str">
        <f>VLOOKUP($B21,'[1]Plant data'!$A$1:$AB$315,15,0)</f>
        <v>NA</v>
      </c>
      <c r="AH21" t="str">
        <f>VLOOKUP($B21,'[1]Plant data'!$A$1:$AB$315,16,0)</f>
        <v>NA</v>
      </c>
      <c r="AI21" t="str">
        <f>VLOOKUP($B21,'[1]Plant data'!$A$1:$AB$315,17,0)</f>
        <v>NA</v>
      </c>
      <c r="AJ21" t="str">
        <f>VLOOKUP($B21,'[1]Plant data'!$A$1:$AB$315,18,0)</f>
        <v>ATLANTIC</v>
      </c>
      <c r="AK21" t="str">
        <f>VLOOKUP($B21,'[1]Plant data'!$A$1:$AB$315,19,0)</f>
        <v>NA</v>
      </c>
      <c r="AL21" t="str">
        <f>VLOOKUP($B21,'[1]Plant data'!$A$1:$AB$315,20,0)</f>
        <v>NA</v>
      </c>
      <c r="AM21" t="str">
        <f>VLOOKUP($B21,'[1]Plant data'!$A$1:$AB$315,21,0)</f>
        <v>NA</v>
      </c>
      <c r="AN21" t="str">
        <f>VLOOKUP($B21,'[1]Plant data'!$A$1:$AB$315,22,0)</f>
        <v>NA</v>
      </c>
      <c r="AO21" t="str">
        <f>VLOOKUP($B21,'[1]Plant data'!$A$1:$AB$315,23,0)</f>
        <v>NA</v>
      </c>
      <c r="AP21" t="str">
        <f>VLOOKUP($B21,'[1]Plant data'!$A$1:$AB$315,24,0)</f>
        <v>NA</v>
      </c>
      <c r="AQ21" t="str">
        <f>VLOOKUP($B21,'[1]Plant data'!$A$1:$AB$315,25,0)</f>
        <v>NA</v>
      </c>
      <c r="AR21" t="str">
        <f>VLOOKUP($B21,'[1]Plant data'!$A$1:$AB$315,26,0)</f>
        <v>NA</v>
      </c>
      <c r="AS21" t="str">
        <f>VLOOKUP($B21,'[1]Plant data'!$A$1:$AB$315,27,0)</f>
        <v>NA</v>
      </c>
      <c r="AT21" t="str">
        <f>VLOOKUP($B21,'[1]Plant data'!$A$1:$AB$315,28,0)</f>
        <v>NA</v>
      </c>
    </row>
    <row r="22" spans="1:46">
      <c r="A22" s="5" t="s">
        <v>43</v>
      </c>
      <c r="B22" s="14" t="s">
        <v>182</v>
      </c>
      <c r="C22">
        <v>2</v>
      </c>
      <c r="D22" s="7">
        <v>4.4000000000000004</v>
      </c>
      <c r="E22" s="8">
        <f>C22/4.4</f>
        <v>0.45454545454545453</v>
      </c>
      <c r="F22" t="s">
        <v>19</v>
      </c>
      <c r="G22" s="9">
        <v>2.9912903225806455</v>
      </c>
      <c r="H22" s="9"/>
      <c r="I22" s="8">
        <f t="shared" si="0"/>
        <v>1.3596774193548389</v>
      </c>
      <c r="J22" s="25" t="s">
        <v>180</v>
      </c>
      <c r="K22" s="25" t="s">
        <v>181</v>
      </c>
      <c r="L22" t="s">
        <v>22</v>
      </c>
      <c r="M22" t="s">
        <v>30</v>
      </c>
      <c r="N22" s="11">
        <v>32.5</v>
      </c>
      <c r="O22" s="11">
        <v>8.9205555560000001</v>
      </c>
      <c r="P22" t="s">
        <v>24</v>
      </c>
      <c r="Q22" t="s">
        <v>25</v>
      </c>
      <c r="R22" t="s">
        <v>26</v>
      </c>
      <c r="S22" t="s">
        <v>31</v>
      </c>
      <c r="T22" t="str">
        <f>VLOOKUP(B22,'[1]Plant data'!$A$1:$AB$315,2,0)</f>
        <v>Euphorbiaceae</v>
      </c>
      <c r="U22" t="str">
        <f>VLOOKUP($B22,'[1]Plant data'!$A$1:$AB$315,3,0)</f>
        <v>NA</v>
      </c>
      <c r="V22" t="str">
        <f>VLOOKUP($B22,'[1]Plant data'!$A$1:$AB$315,4,0)</f>
        <v>red</v>
      </c>
      <c r="W22" t="str">
        <f>VLOOKUP($B22,'[1]Plant data'!$A$1:$AB$315,5,0)</f>
        <v>YES</v>
      </c>
      <c r="X22">
        <f>VLOOKUP($B22,'[1]Plant data'!$A$1:$AB$315,6,0)</f>
        <v>5</v>
      </c>
      <c r="Y22">
        <f>VLOOKUP($B22,'[1]Plant data'!$A$1:$AB$315,7,0)</f>
        <v>10</v>
      </c>
      <c r="Z22">
        <f>VLOOKUP($B22,'[1]Plant data'!$A$1:$AB$315,8,0)</f>
        <v>4</v>
      </c>
      <c r="AA22">
        <f>VLOOKUP($B22,'[1]Plant data'!$A$1:$AB$315,9,0)</f>
        <v>6</v>
      </c>
      <c r="AB22" t="str">
        <f>VLOOKUP($B22,'[1]Plant data'!$A$1:$AB$315,10,0)</f>
        <v>NA</v>
      </c>
      <c r="AC22" t="str">
        <f>VLOOKUP($B22,'[1]Plant data'!$A$1:$AB$315,11,0)</f>
        <v>NA</v>
      </c>
      <c r="AD22" t="str">
        <f>VLOOKUP($B22,'[1]Plant data'!$A$1:$AB$315,12,0)</f>
        <v>NA</v>
      </c>
      <c r="AE22" t="str">
        <f>VLOOKUP($B22,'[1]Plant data'!$A$1:$AB$315,13,0)</f>
        <v>NA</v>
      </c>
      <c r="AF22" t="str">
        <f>VLOOKUP($B22,'[1]Plant data'!$A$1:$AB$315,14,0)</f>
        <v>NA</v>
      </c>
      <c r="AG22" t="str">
        <f>VLOOKUP($B22,'[1]Plant data'!$A$1:$AB$315,15,0)</f>
        <v>NA</v>
      </c>
      <c r="AH22" t="str">
        <f>VLOOKUP($B22,'[1]Plant data'!$A$1:$AB$315,16,0)</f>
        <v>NA</v>
      </c>
      <c r="AI22" t="str">
        <f>VLOOKUP($B22,'[1]Plant data'!$A$1:$AB$315,17,0)</f>
        <v>NA</v>
      </c>
      <c r="AJ22" t="str">
        <f>VLOOKUP($B22,'[1]Plant data'!$A$1:$AB$315,18,0)</f>
        <v>ATLANTIC</v>
      </c>
      <c r="AK22" t="str">
        <f>VLOOKUP($B22,'[1]Plant data'!$A$1:$AB$315,19,0)</f>
        <v>NA</v>
      </c>
      <c r="AL22" t="str">
        <f>VLOOKUP($B22,'[1]Plant data'!$A$1:$AB$315,20,0)</f>
        <v>NA</v>
      </c>
      <c r="AM22" t="str">
        <f>VLOOKUP($B22,'[1]Plant data'!$A$1:$AB$315,21,0)</f>
        <v>NA</v>
      </c>
      <c r="AN22" t="str">
        <f>VLOOKUP($B22,'[1]Plant data'!$A$1:$AB$315,22,0)</f>
        <v>NA</v>
      </c>
      <c r="AO22" t="str">
        <f>VLOOKUP($B22,'[1]Plant data'!$A$1:$AB$315,23,0)</f>
        <v>NA</v>
      </c>
      <c r="AP22" t="str">
        <f>VLOOKUP($B22,'[1]Plant data'!$A$1:$AB$315,24,0)</f>
        <v>NA</v>
      </c>
      <c r="AQ22" t="str">
        <f>VLOOKUP($B22,'[1]Plant data'!$A$1:$AB$315,25,0)</f>
        <v>NA</v>
      </c>
      <c r="AR22" t="str">
        <f>VLOOKUP($B22,'[1]Plant data'!$A$1:$AB$315,26,0)</f>
        <v>NA</v>
      </c>
      <c r="AS22" t="str">
        <f>VLOOKUP($B22,'[1]Plant data'!$A$1:$AB$315,27,0)</f>
        <v>NA</v>
      </c>
      <c r="AT22" t="str">
        <f>VLOOKUP($B22,'[1]Plant data'!$A$1:$AB$315,28,0)</f>
        <v>NA</v>
      </c>
    </row>
    <row r="23" spans="1:46">
      <c r="A23" s="5" t="s">
        <v>50</v>
      </c>
      <c r="B23" s="14" t="s">
        <v>182</v>
      </c>
      <c r="C23">
        <v>5</v>
      </c>
      <c r="D23">
        <v>3.8</v>
      </c>
      <c r="E23" s="8">
        <f>C23/3.8</f>
        <v>1.3157894736842106</v>
      </c>
      <c r="F23" t="s">
        <v>19</v>
      </c>
      <c r="G23" s="9">
        <v>6.7308201058201051</v>
      </c>
      <c r="H23" s="9"/>
      <c r="I23" s="8">
        <f t="shared" si="0"/>
        <v>8.856342244500139</v>
      </c>
      <c r="J23" t="s">
        <v>180</v>
      </c>
      <c r="K23" t="s">
        <v>181</v>
      </c>
      <c r="L23" t="s">
        <v>22</v>
      </c>
      <c r="M23" t="s">
        <v>47</v>
      </c>
      <c r="N23" s="11">
        <v>69.5</v>
      </c>
      <c r="O23" s="11">
        <v>13.253214290000001</v>
      </c>
      <c r="P23" t="s">
        <v>48</v>
      </c>
      <c r="Q23" t="s">
        <v>25</v>
      </c>
      <c r="R23" t="s">
        <v>26</v>
      </c>
      <c r="S23" t="s">
        <v>31</v>
      </c>
      <c r="T23" t="str">
        <f>VLOOKUP(B23,'[1]Plant data'!$A$1:$AB$315,2,0)</f>
        <v>Euphorbiaceae</v>
      </c>
      <c r="U23" t="str">
        <f>VLOOKUP($B23,'[1]Plant data'!$A$1:$AB$315,3,0)</f>
        <v>NA</v>
      </c>
      <c r="V23" t="str">
        <f>VLOOKUP($B23,'[1]Plant data'!$A$1:$AB$315,4,0)</f>
        <v>red</v>
      </c>
      <c r="W23" t="str">
        <f>VLOOKUP($B23,'[1]Plant data'!$A$1:$AB$315,5,0)</f>
        <v>YES</v>
      </c>
      <c r="X23">
        <f>VLOOKUP($B23,'[1]Plant data'!$A$1:$AB$315,6,0)</f>
        <v>5</v>
      </c>
      <c r="Y23">
        <f>VLOOKUP($B23,'[1]Plant data'!$A$1:$AB$315,7,0)</f>
        <v>10</v>
      </c>
      <c r="Z23">
        <f>VLOOKUP($B23,'[1]Plant data'!$A$1:$AB$315,8,0)</f>
        <v>4</v>
      </c>
      <c r="AA23">
        <f>VLOOKUP($B23,'[1]Plant data'!$A$1:$AB$315,9,0)</f>
        <v>6</v>
      </c>
      <c r="AB23" t="str">
        <f>VLOOKUP($B23,'[1]Plant data'!$A$1:$AB$315,10,0)</f>
        <v>NA</v>
      </c>
      <c r="AC23" t="str">
        <f>VLOOKUP($B23,'[1]Plant data'!$A$1:$AB$315,11,0)</f>
        <v>NA</v>
      </c>
      <c r="AD23" t="str">
        <f>VLOOKUP($B23,'[1]Plant data'!$A$1:$AB$315,12,0)</f>
        <v>NA</v>
      </c>
      <c r="AE23" t="str">
        <f>VLOOKUP($B23,'[1]Plant data'!$A$1:$AB$315,13,0)</f>
        <v>NA</v>
      </c>
      <c r="AF23" t="str">
        <f>VLOOKUP($B23,'[1]Plant data'!$A$1:$AB$315,14,0)</f>
        <v>NA</v>
      </c>
      <c r="AG23" t="str">
        <f>VLOOKUP($B23,'[1]Plant data'!$A$1:$AB$315,15,0)</f>
        <v>NA</v>
      </c>
      <c r="AH23" t="str">
        <f>VLOOKUP($B23,'[1]Plant data'!$A$1:$AB$315,16,0)</f>
        <v>NA</v>
      </c>
      <c r="AI23" t="str">
        <f>VLOOKUP($B23,'[1]Plant data'!$A$1:$AB$315,17,0)</f>
        <v>NA</v>
      </c>
      <c r="AJ23" t="str">
        <f>VLOOKUP($B23,'[1]Plant data'!$A$1:$AB$315,18,0)</f>
        <v>ATLANTIC</v>
      </c>
      <c r="AK23" t="str">
        <f>VLOOKUP($B23,'[1]Plant data'!$A$1:$AB$315,19,0)</f>
        <v>NA</v>
      </c>
      <c r="AL23" t="str">
        <f>VLOOKUP($B23,'[1]Plant data'!$A$1:$AB$315,20,0)</f>
        <v>NA</v>
      </c>
      <c r="AM23" t="str">
        <f>VLOOKUP($B23,'[1]Plant data'!$A$1:$AB$315,21,0)</f>
        <v>NA</v>
      </c>
      <c r="AN23" t="str">
        <f>VLOOKUP($B23,'[1]Plant data'!$A$1:$AB$315,22,0)</f>
        <v>NA</v>
      </c>
      <c r="AO23" t="str">
        <f>VLOOKUP($B23,'[1]Plant data'!$A$1:$AB$315,23,0)</f>
        <v>NA</v>
      </c>
      <c r="AP23" t="str">
        <f>VLOOKUP($B23,'[1]Plant data'!$A$1:$AB$315,24,0)</f>
        <v>NA</v>
      </c>
      <c r="AQ23" t="str">
        <f>VLOOKUP($B23,'[1]Plant data'!$A$1:$AB$315,25,0)</f>
        <v>NA</v>
      </c>
      <c r="AR23" t="str">
        <f>VLOOKUP($B23,'[1]Plant data'!$A$1:$AB$315,26,0)</f>
        <v>NA</v>
      </c>
      <c r="AS23" t="str">
        <f>VLOOKUP($B23,'[1]Plant data'!$A$1:$AB$315,27,0)</f>
        <v>NA</v>
      </c>
      <c r="AT23" t="str">
        <f>VLOOKUP($B23,'[1]Plant data'!$A$1:$AB$315,28,0)</f>
        <v>NA</v>
      </c>
    </row>
    <row r="24" spans="1:46">
      <c r="A24" s="5" t="s">
        <v>124</v>
      </c>
      <c r="B24" s="6" t="s">
        <v>252</v>
      </c>
      <c r="C24" s="25">
        <v>9</v>
      </c>
      <c r="D24" s="7" t="s">
        <v>19</v>
      </c>
      <c r="E24" s="26">
        <v>0.23</v>
      </c>
      <c r="F24" s="9" t="s">
        <v>19</v>
      </c>
      <c r="G24" s="27">
        <v>3</v>
      </c>
      <c r="H24" s="27"/>
      <c r="I24" s="8">
        <f t="shared" si="0"/>
        <v>0.69000000000000006</v>
      </c>
      <c r="J24" t="s">
        <v>253</v>
      </c>
      <c r="K24" t="s">
        <v>254</v>
      </c>
      <c r="L24" t="s">
        <v>108</v>
      </c>
      <c r="M24" t="s">
        <v>109</v>
      </c>
      <c r="N24" s="11">
        <v>73.3</v>
      </c>
      <c r="O24" s="11">
        <v>17.52380952</v>
      </c>
      <c r="P24" t="s">
        <v>48</v>
      </c>
      <c r="Q24" t="s">
        <v>49</v>
      </c>
      <c r="R24" t="s">
        <v>26</v>
      </c>
      <c r="S24" t="s">
        <v>27</v>
      </c>
      <c r="T24" t="str">
        <f>VLOOKUP(B24,'[1]Plant data'!$A$1:$AB$315,2,0)</f>
        <v>Euphorbiaceae</v>
      </c>
      <c r="U24" t="str">
        <f>VLOOKUP($B24,'[1]Plant data'!$A$1:$AB$315,3,0)</f>
        <v>NA</v>
      </c>
      <c r="V24" t="str">
        <f>VLOOKUP($B24,'[1]Plant data'!$A$1:$AB$315,4,0)</f>
        <v>red</v>
      </c>
      <c r="W24" t="str">
        <f>VLOOKUP($B24,'[1]Plant data'!$A$1:$AB$315,5,0)</f>
        <v>YES</v>
      </c>
      <c r="X24">
        <f>VLOOKUP($B24,'[1]Plant data'!$A$1:$AB$315,6,0)</f>
        <v>6.257142857142858</v>
      </c>
      <c r="Y24">
        <f>VLOOKUP($B24,'[1]Plant data'!$A$1:$AB$315,7,0)</f>
        <v>7.0042857142857144</v>
      </c>
      <c r="Z24">
        <f>VLOOKUP($B24,'[1]Plant data'!$A$1:$AB$315,8,0)</f>
        <v>4.4119999999999999</v>
      </c>
      <c r="AA24">
        <f>VLOOKUP($B24,'[1]Plant data'!$A$1:$AB$315,9,0)</f>
        <v>5.2700000000000005</v>
      </c>
      <c r="AB24">
        <f>VLOOKUP($B24,'[1]Plant data'!$A$1:$AB$315,10,0)</f>
        <v>0.25</v>
      </c>
      <c r="AC24" t="str">
        <f>VLOOKUP($B24,'[1]Plant data'!$A$1:$AB$315,11,0)</f>
        <v>NA</v>
      </c>
      <c r="AD24">
        <f>VLOOKUP($B24,'[1]Plant data'!$A$1:$AB$315,12,0)</f>
        <v>6.9550000000000001E-2</v>
      </c>
      <c r="AE24" t="str">
        <f>VLOOKUP($B24,'[1]Plant data'!$A$1:$AB$315,13,0)</f>
        <v>NA</v>
      </c>
      <c r="AF24">
        <f>VLOOKUP($B24,'[1]Plant data'!$A$1:$AB$315,14,0)</f>
        <v>2</v>
      </c>
      <c r="AG24">
        <f>VLOOKUP($B24,'[1]Plant data'!$A$1:$AB$315,15,0)</f>
        <v>1.6666666666666667</v>
      </c>
      <c r="AH24" t="str">
        <f>VLOOKUP($B24,'[1]Plant data'!$A$1:$AB$315,16,0)</f>
        <v>NA</v>
      </c>
      <c r="AI24" t="str">
        <f>VLOOKUP($B24,'[1]Plant data'!$A$1:$AB$315,17,0)</f>
        <v>NA</v>
      </c>
      <c r="AJ24" t="str">
        <f>VLOOKUP($B24,'[1]Plant data'!$A$1:$AB$315,18,0)</f>
        <v>ATLANTIC, Erica&amp;Wesley, Intervales_morfo, Mikich 2002, Passos &amp; Oliveira 2003, Correia 1997, Faustino 2004</v>
      </c>
      <c r="AK24">
        <f>VLOOKUP($B24,'[1]Plant data'!$A$1:$AB$315,19,0)</f>
        <v>0.433</v>
      </c>
      <c r="AL24">
        <f>VLOOKUP($B24,'[1]Plant data'!$A$1:$AB$315,20,0)</f>
        <v>0.67072503840246056</v>
      </c>
      <c r="AM24">
        <f>VLOOKUP($B24,'[1]Plant data'!$A$1:$AB$315,21,0)</f>
        <v>7.7989499999999989E-2</v>
      </c>
      <c r="AN24">
        <f>VLOOKUP($B24,'[1]Plant data'!$A$1:$AB$315,22,0)</f>
        <v>1.4905612061493325E-2</v>
      </c>
      <c r="AO24">
        <f>VLOOKUP($B24,'[1]Plant data'!$A$1:$AB$315,23,0)</f>
        <v>6.5201378207114441E-2</v>
      </c>
      <c r="AP24" t="str">
        <f>VLOOKUP($B24,'[1]Plant data'!$A$1:$AB$315,24,0)</f>
        <v>NA</v>
      </c>
      <c r="AQ24">
        <f>VLOOKUP($B24,'[1]Plant data'!$A$1:$AB$315,25,0)</f>
        <v>0.217</v>
      </c>
      <c r="AR24">
        <f>VLOOKUP($B24,'[1]Plant data'!$A$1:$AB$315,26,0)</f>
        <v>2.4E-2</v>
      </c>
      <c r="AS24" t="str">
        <f>VLOOKUP($B24,'[1]Plant data'!$A$1:$AB$315,27,0)</f>
        <v>NA</v>
      </c>
      <c r="AT24" t="str">
        <f>VLOOKUP($B24,'[1]Plant data'!$A$1:$AB$315,28,0)</f>
        <v>Erica &amp; Wesley, unpubl., Saibadela</v>
      </c>
    </row>
    <row r="25" spans="1:46">
      <c r="A25" s="5" t="s">
        <v>46</v>
      </c>
      <c r="B25" s="6" t="s">
        <v>252</v>
      </c>
      <c r="C25">
        <v>2</v>
      </c>
      <c r="D25" s="16" t="s">
        <v>19</v>
      </c>
      <c r="E25" s="8">
        <v>0.05</v>
      </c>
      <c r="F25" s="9" t="s">
        <v>19</v>
      </c>
      <c r="G25" s="9">
        <v>1.5</v>
      </c>
      <c r="H25" s="9"/>
      <c r="I25" s="8">
        <f t="shared" si="0"/>
        <v>7.5000000000000011E-2</v>
      </c>
      <c r="J25" t="s">
        <v>253</v>
      </c>
      <c r="K25" s="25" t="s">
        <v>254</v>
      </c>
      <c r="L25" t="s">
        <v>22</v>
      </c>
      <c r="M25" t="s">
        <v>47</v>
      </c>
      <c r="N25" s="11">
        <v>54</v>
      </c>
      <c r="O25" s="11">
        <v>11.14875</v>
      </c>
      <c r="P25" t="s">
        <v>48</v>
      </c>
      <c r="Q25" t="s">
        <v>49</v>
      </c>
      <c r="R25" t="s">
        <v>26</v>
      </c>
      <c r="S25" t="s">
        <v>31</v>
      </c>
      <c r="T25" t="str">
        <f>VLOOKUP(B25,'[1]Plant data'!$A$1:$AB$315,2,0)</f>
        <v>Euphorbiaceae</v>
      </c>
      <c r="U25" t="str">
        <f>VLOOKUP($B25,'[1]Plant data'!$A$1:$AB$315,3,0)</f>
        <v>NA</v>
      </c>
      <c r="V25" t="str">
        <f>VLOOKUP($B25,'[1]Plant data'!$A$1:$AB$315,4,0)</f>
        <v>red</v>
      </c>
      <c r="W25" t="str">
        <f>VLOOKUP($B25,'[1]Plant data'!$A$1:$AB$315,5,0)</f>
        <v>YES</v>
      </c>
      <c r="X25">
        <f>VLOOKUP($B25,'[1]Plant data'!$A$1:$AB$315,6,0)</f>
        <v>6.257142857142858</v>
      </c>
      <c r="Y25">
        <f>VLOOKUP($B25,'[1]Plant data'!$A$1:$AB$315,7,0)</f>
        <v>7.0042857142857144</v>
      </c>
      <c r="Z25">
        <f>VLOOKUP($B25,'[1]Plant data'!$A$1:$AB$315,8,0)</f>
        <v>4.4119999999999999</v>
      </c>
      <c r="AA25">
        <f>VLOOKUP($B25,'[1]Plant data'!$A$1:$AB$315,9,0)</f>
        <v>5.2700000000000005</v>
      </c>
      <c r="AB25">
        <f>VLOOKUP($B25,'[1]Plant data'!$A$1:$AB$315,10,0)</f>
        <v>0.25</v>
      </c>
      <c r="AC25" t="str">
        <f>VLOOKUP($B25,'[1]Plant data'!$A$1:$AB$315,11,0)</f>
        <v>NA</v>
      </c>
      <c r="AD25">
        <f>VLOOKUP($B25,'[1]Plant data'!$A$1:$AB$315,12,0)</f>
        <v>6.9550000000000001E-2</v>
      </c>
      <c r="AE25" t="str">
        <f>VLOOKUP($B25,'[1]Plant data'!$A$1:$AB$315,13,0)</f>
        <v>NA</v>
      </c>
      <c r="AF25">
        <f>VLOOKUP($B25,'[1]Plant data'!$A$1:$AB$315,14,0)</f>
        <v>2</v>
      </c>
      <c r="AG25">
        <f>VLOOKUP($B25,'[1]Plant data'!$A$1:$AB$315,15,0)</f>
        <v>1.6666666666666667</v>
      </c>
      <c r="AH25" t="str">
        <f>VLOOKUP($B25,'[1]Plant data'!$A$1:$AB$315,16,0)</f>
        <v>NA</v>
      </c>
      <c r="AI25" t="str">
        <f>VLOOKUP($B25,'[1]Plant data'!$A$1:$AB$315,17,0)</f>
        <v>NA</v>
      </c>
      <c r="AJ25" t="str">
        <f>VLOOKUP($B25,'[1]Plant data'!$A$1:$AB$315,18,0)</f>
        <v>ATLANTIC, Erica&amp;Wesley, Intervales_morfo, Mikich 2002, Passos &amp; Oliveira 2003, Correia 1997, Faustino 2004</v>
      </c>
      <c r="AK25">
        <f>VLOOKUP($B25,'[1]Plant data'!$A$1:$AB$315,19,0)</f>
        <v>0.433</v>
      </c>
      <c r="AL25">
        <f>VLOOKUP($B25,'[1]Plant data'!$A$1:$AB$315,20,0)</f>
        <v>0.67072503840246056</v>
      </c>
      <c r="AM25">
        <f>VLOOKUP($B25,'[1]Plant data'!$A$1:$AB$315,21,0)</f>
        <v>7.7989499999999989E-2</v>
      </c>
      <c r="AN25">
        <f>VLOOKUP($B25,'[1]Plant data'!$A$1:$AB$315,22,0)</f>
        <v>1.4905612061493325E-2</v>
      </c>
      <c r="AO25">
        <f>VLOOKUP($B25,'[1]Plant data'!$A$1:$AB$315,23,0)</f>
        <v>6.5201378207114441E-2</v>
      </c>
      <c r="AP25" t="str">
        <f>VLOOKUP($B25,'[1]Plant data'!$A$1:$AB$315,24,0)</f>
        <v>NA</v>
      </c>
      <c r="AQ25">
        <f>VLOOKUP($B25,'[1]Plant data'!$A$1:$AB$315,25,0)</f>
        <v>0.217</v>
      </c>
      <c r="AR25">
        <f>VLOOKUP($B25,'[1]Plant data'!$A$1:$AB$315,26,0)</f>
        <v>2.4E-2</v>
      </c>
      <c r="AS25" t="str">
        <f>VLOOKUP($B25,'[1]Plant data'!$A$1:$AB$315,27,0)</f>
        <v>NA</v>
      </c>
      <c r="AT25" t="str">
        <f>VLOOKUP($B25,'[1]Plant data'!$A$1:$AB$315,28,0)</f>
        <v>Erica &amp; Wesley, unpubl., Saibadela</v>
      </c>
    </row>
    <row r="26" spans="1:46">
      <c r="A26" s="5" t="s">
        <v>50</v>
      </c>
      <c r="B26" s="14" t="s">
        <v>252</v>
      </c>
      <c r="C26">
        <v>14</v>
      </c>
      <c r="D26" s="7" t="s">
        <v>19</v>
      </c>
      <c r="E26" s="8">
        <v>0.36</v>
      </c>
      <c r="F26" s="9" t="s">
        <v>19</v>
      </c>
      <c r="G26" s="9">
        <v>2.3571428571428572</v>
      </c>
      <c r="H26" s="9"/>
      <c r="I26" s="8">
        <f t="shared" si="0"/>
        <v>0.84857142857142853</v>
      </c>
      <c r="J26" t="s">
        <v>253</v>
      </c>
      <c r="K26" t="s">
        <v>254</v>
      </c>
      <c r="L26" t="s">
        <v>22</v>
      </c>
      <c r="M26" t="s">
        <v>47</v>
      </c>
      <c r="N26" s="11">
        <v>69.5</v>
      </c>
      <c r="O26" s="11">
        <v>13.253214290000001</v>
      </c>
      <c r="P26" t="s">
        <v>48</v>
      </c>
      <c r="Q26" t="s">
        <v>25</v>
      </c>
      <c r="R26" t="s">
        <v>26</v>
      </c>
      <c r="S26" t="s">
        <v>31</v>
      </c>
      <c r="T26" t="str">
        <f>VLOOKUP(B26,'[1]Plant data'!$A$1:$AB$315,2,0)</f>
        <v>Euphorbiaceae</v>
      </c>
      <c r="U26" t="str">
        <f>VLOOKUP($B26,'[1]Plant data'!$A$1:$AB$315,3,0)</f>
        <v>NA</v>
      </c>
      <c r="V26" t="str">
        <f>VLOOKUP($B26,'[1]Plant data'!$A$1:$AB$315,4,0)</f>
        <v>red</v>
      </c>
      <c r="W26" t="str">
        <f>VLOOKUP($B26,'[1]Plant data'!$A$1:$AB$315,5,0)</f>
        <v>YES</v>
      </c>
      <c r="X26">
        <f>VLOOKUP($B26,'[1]Plant data'!$A$1:$AB$315,6,0)</f>
        <v>6.257142857142858</v>
      </c>
      <c r="Y26">
        <f>VLOOKUP($B26,'[1]Plant data'!$A$1:$AB$315,7,0)</f>
        <v>7.0042857142857144</v>
      </c>
      <c r="Z26">
        <f>VLOOKUP($B26,'[1]Plant data'!$A$1:$AB$315,8,0)</f>
        <v>4.4119999999999999</v>
      </c>
      <c r="AA26">
        <f>VLOOKUP($B26,'[1]Plant data'!$A$1:$AB$315,9,0)</f>
        <v>5.2700000000000005</v>
      </c>
      <c r="AB26">
        <f>VLOOKUP($B26,'[1]Plant data'!$A$1:$AB$315,10,0)</f>
        <v>0.25</v>
      </c>
      <c r="AC26" t="str">
        <f>VLOOKUP($B26,'[1]Plant data'!$A$1:$AB$315,11,0)</f>
        <v>NA</v>
      </c>
      <c r="AD26">
        <f>VLOOKUP($B26,'[1]Plant data'!$A$1:$AB$315,12,0)</f>
        <v>6.9550000000000001E-2</v>
      </c>
      <c r="AE26" t="str">
        <f>VLOOKUP($B26,'[1]Plant data'!$A$1:$AB$315,13,0)</f>
        <v>NA</v>
      </c>
      <c r="AF26">
        <f>VLOOKUP($B26,'[1]Plant data'!$A$1:$AB$315,14,0)</f>
        <v>2</v>
      </c>
      <c r="AG26">
        <f>VLOOKUP($B26,'[1]Plant data'!$A$1:$AB$315,15,0)</f>
        <v>1.6666666666666667</v>
      </c>
      <c r="AH26" t="str">
        <f>VLOOKUP($B26,'[1]Plant data'!$A$1:$AB$315,16,0)</f>
        <v>NA</v>
      </c>
      <c r="AI26" t="str">
        <f>VLOOKUP($B26,'[1]Plant data'!$A$1:$AB$315,17,0)</f>
        <v>NA</v>
      </c>
      <c r="AJ26" t="str">
        <f>VLOOKUP($B26,'[1]Plant data'!$A$1:$AB$315,18,0)</f>
        <v>ATLANTIC, Erica&amp;Wesley, Intervales_morfo, Mikich 2002, Passos &amp; Oliveira 2003, Correia 1997, Faustino 2004</v>
      </c>
      <c r="AK26">
        <f>VLOOKUP($B26,'[1]Plant data'!$A$1:$AB$315,19,0)</f>
        <v>0.433</v>
      </c>
      <c r="AL26">
        <f>VLOOKUP($B26,'[1]Plant data'!$A$1:$AB$315,20,0)</f>
        <v>0.67072503840246056</v>
      </c>
      <c r="AM26">
        <f>VLOOKUP($B26,'[1]Plant data'!$A$1:$AB$315,21,0)</f>
        <v>7.7989499999999989E-2</v>
      </c>
      <c r="AN26">
        <f>VLOOKUP($B26,'[1]Plant data'!$A$1:$AB$315,22,0)</f>
        <v>1.4905612061493325E-2</v>
      </c>
      <c r="AO26">
        <f>VLOOKUP($B26,'[1]Plant data'!$A$1:$AB$315,23,0)</f>
        <v>6.5201378207114441E-2</v>
      </c>
      <c r="AP26" t="str">
        <f>VLOOKUP($B26,'[1]Plant data'!$A$1:$AB$315,24,0)</f>
        <v>NA</v>
      </c>
      <c r="AQ26">
        <f>VLOOKUP($B26,'[1]Plant data'!$A$1:$AB$315,25,0)</f>
        <v>0.217</v>
      </c>
      <c r="AR26">
        <f>VLOOKUP($B26,'[1]Plant data'!$A$1:$AB$315,26,0)</f>
        <v>2.4E-2</v>
      </c>
      <c r="AS26" t="str">
        <f>VLOOKUP($B26,'[1]Plant data'!$A$1:$AB$315,27,0)</f>
        <v>NA</v>
      </c>
      <c r="AT26" t="str">
        <f>VLOOKUP($B26,'[1]Plant data'!$A$1:$AB$315,28,0)</f>
        <v>Erica &amp; Wesley, unpubl., Saibadela</v>
      </c>
    </row>
    <row r="27" spans="1:46">
      <c r="A27" s="21" t="s">
        <v>46</v>
      </c>
      <c r="B27" s="22" t="s">
        <v>231</v>
      </c>
      <c r="C27" s="16">
        <v>5</v>
      </c>
      <c r="D27" s="16">
        <v>32</v>
      </c>
      <c r="E27" s="23">
        <f>C27/32</f>
        <v>0.15625</v>
      </c>
      <c r="F27" s="16">
        <v>10</v>
      </c>
      <c r="G27" s="19">
        <v>2</v>
      </c>
      <c r="H27" s="19"/>
      <c r="I27" s="8">
        <f t="shared" si="0"/>
        <v>0.3125</v>
      </c>
      <c r="J27" s="16" t="s">
        <v>224</v>
      </c>
      <c r="K27" s="16" t="s">
        <v>225</v>
      </c>
      <c r="L27" s="16" t="s">
        <v>22</v>
      </c>
      <c r="M27" s="16" t="s">
        <v>47</v>
      </c>
      <c r="N27" s="17">
        <v>54</v>
      </c>
      <c r="O27" s="17">
        <v>11.14875</v>
      </c>
      <c r="P27" s="16" t="s">
        <v>48</v>
      </c>
      <c r="Q27" s="16" t="s">
        <v>49</v>
      </c>
      <c r="R27" s="16" t="s">
        <v>26</v>
      </c>
      <c r="S27" s="16" t="s">
        <v>31</v>
      </c>
      <c r="T27" t="str">
        <f>VLOOKUP(B27,'[1]Plant data'!$A$1:$AB$315,2,0)</f>
        <v>Rubiaceae</v>
      </c>
      <c r="U27" t="str">
        <f>VLOOKUP($B27,'[1]Plant data'!$A$1:$AB$315,3,0)</f>
        <v>NA</v>
      </c>
      <c r="V27" t="str">
        <f>VLOOKUP($B27,'[1]Plant data'!$A$1:$AB$315,4,0)</f>
        <v>red</v>
      </c>
      <c r="W27" t="str">
        <f>VLOOKUP($B27,'[1]Plant data'!$A$1:$AB$315,5,0)</f>
        <v>YES</v>
      </c>
      <c r="X27">
        <f>VLOOKUP($B27,'[1]Plant data'!$A$1:$AB$315,6,0)</f>
        <v>10.343999999999999</v>
      </c>
      <c r="Y27">
        <f>VLOOKUP($B27,'[1]Plant data'!$A$1:$AB$315,7,0)</f>
        <v>16.733999999999998</v>
      </c>
      <c r="Z27">
        <f>VLOOKUP($B27,'[1]Plant data'!$A$1:$AB$315,8,0)</f>
        <v>3.4866666666666668</v>
      </c>
      <c r="AA27">
        <f>VLOOKUP($B27,'[1]Plant data'!$A$1:$AB$315,9,0)</f>
        <v>4.1099999999999994</v>
      </c>
      <c r="AB27">
        <f>VLOOKUP($B27,'[1]Plant data'!$A$1:$AB$315,10,0)</f>
        <v>0.93</v>
      </c>
      <c r="AC27" t="str">
        <f>VLOOKUP($B27,'[1]Plant data'!$A$1:$AB$315,11,0)</f>
        <v>NA</v>
      </c>
      <c r="AD27">
        <f>VLOOKUP($B27,'[1]Plant data'!$A$1:$AB$315,12,0)</f>
        <v>0.01</v>
      </c>
      <c r="AE27" t="str">
        <f>VLOOKUP($B27,'[1]Plant data'!$A$1:$AB$315,13,0)</f>
        <v>NA</v>
      </c>
      <c r="AF27" t="str">
        <f>VLOOKUP($B27,'[1]Plant data'!$A$1:$AB$315,14,0)</f>
        <v>NA</v>
      </c>
      <c r="AG27">
        <f>VLOOKUP($B27,'[1]Plant data'!$A$1:$AB$315,15,0)</f>
        <v>19.133333333333336</v>
      </c>
      <c r="AH27">
        <f>VLOOKUP($B27,'[1]Plant data'!$A$1:$AB$315,16,0)</f>
        <v>4.22</v>
      </c>
      <c r="AI27" t="str">
        <f>VLOOKUP($B27,'[1]Plant data'!$A$1:$AB$315,17,0)</f>
        <v>NA</v>
      </c>
      <c r="AJ27" t="str">
        <f>VLOOKUP($B27,'[1]Plant data'!$A$1:$AB$315,18,0)</f>
        <v>ATLANTIC, FRUBASE, Motta Jr. 1981, Camargo 2014, Gondim 2002</v>
      </c>
      <c r="AK27">
        <f>VLOOKUP($B27,'[1]Plant data'!$A$1:$AB$315,19,0)</f>
        <v>0.69599999999999995</v>
      </c>
      <c r="AL27">
        <f>VLOOKUP($B27,'[1]Plant data'!$A$1:$AB$315,20,0)</f>
        <v>0.2</v>
      </c>
      <c r="AM27" t="str">
        <f>VLOOKUP($B27,'[1]Plant data'!$A$1:$AB$315,21,0)</f>
        <v>NA</v>
      </c>
      <c r="AN27" t="str">
        <f>VLOOKUP($B27,'[1]Plant data'!$A$1:$AB$315,22,0)</f>
        <v>NA</v>
      </c>
      <c r="AO27" t="str">
        <f>VLOOKUP($B27,'[1]Plant data'!$A$1:$AB$315,23,0)</f>
        <v>NA</v>
      </c>
      <c r="AP27" t="str">
        <f>VLOOKUP($B27,'[1]Plant data'!$A$1:$AB$315,24,0)</f>
        <v>NA</v>
      </c>
      <c r="AQ27" t="str">
        <f>VLOOKUP($B27,'[1]Plant data'!$A$1:$AB$315,25,0)</f>
        <v>NA</v>
      </c>
      <c r="AR27" t="str">
        <f>VLOOKUP($B27,'[1]Plant data'!$A$1:$AB$315,26,0)</f>
        <v>NA</v>
      </c>
      <c r="AS27" t="str">
        <f>VLOOKUP($B27,'[1]Plant data'!$A$1:$AB$315,27,0)</f>
        <v>NA</v>
      </c>
      <c r="AT27" t="str">
        <f>VLOOKUP($B27,'[1]Plant data'!$A$1:$AB$315,28,0)</f>
        <v>Motta Jr. 1981</v>
      </c>
    </row>
    <row r="28" spans="1:46">
      <c r="A28" s="21" t="s">
        <v>50</v>
      </c>
      <c r="B28" s="22" t="s">
        <v>231</v>
      </c>
      <c r="C28" s="16">
        <v>16</v>
      </c>
      <c r="D28" s="16">
        <v>32</v>
      </c>
      <c r="E28" s="23">
        <f>C28/32</f>
        <v>0.5</v>
      </c>
      <c r="F28" s="16">
        <v>29</v>
      </c>
      <c r="G28" s="19">
        <v>1.8</v>
      </c>
      <c r="H28" s="19"/>
      <c r="I28" s="8">
        <f t="shared" si="0"/>
        <v>0.9</v>
      </c>
      <c r="J28" s="43" t="s">
        <v>224</v>
      </c>
      <c r="K28" s="16" t="s">
        <v>225</v>
      </c>
      <c r="L28" s="16" t="s">
        <v>22</v>
      </c>
      <c r="M28" s="16" t="s">
        <v>47</v>
      </c>
      <c r="N28" s="17">
        <v>69.5</v>
      </c>
      <c r="O28" s="17">
        <v>13.253214290000001</v>
      </c>
      <c r="P28" s="16" t="s">
        <v>48</v>
      </c>
      <c r="Q28" s="16" t="s">
        <v>25</v>
      </c>
      <c r="R28" s="16" t="s">
        <v>26</v>
      </c>
      <c r="S28" s="16" t="s">
        <v>31</v>
      </c>
      <c r="T28" t="str">
        <f>VLOOKUP(B28,'[1]Plant data'!$A$1:$AB$315,2,0)</f>
        <v>Rubiaceae</v>
      </c>
      <c r="U28" t="str">
        <f>VLOOKUP($B28,'[1]Plant data'!$A$1:$AB$315,3,0)</f>
        <v>NA</v>
      </c>
      <c r="V28" t="str">
        <f>VLOOKUP($B28,'[1]Plant data'!$A$1:$AB$315,4,0)</f>
        <v>red</v>
      </c>
      <c r="W28" t="str">
        <f>VLOOKUP($B28,'[1]Plant data'!$A$1:$AB$315,5,0)</f>
        <v>YES</v>
      </c>
      <c r="X28">
        <f>VLOOKUP($B28,'[1]Plant data'!$A$1:$AB$315,6,0)</f>
        <v>10.343999999999999</v>
      </c>
      <c r="Y28">
        <f>VLOOKUP($B28,'[1]Plant data'!$A$1:$AB$315,7,0)</f>
        <v>16.733999999999998</v>
      </c>
      <c r="Z28">
        <f>VLOOKUP($B28,'[1]Plant data'!$A$1:$AB$315,8,0)</f>
        <v>3.4866666666666668</v>
      </c>
      <c r="AA28">
        <f>VLOOKUP($B28,'[1]Plant data'!$A$1:$AB$315,9,0)</f>
        <v>4.1099999999999994</v>
      </c>
      <c r="AB28">
        <f>VLOOKUP($B28,'[1]Plant data'!$A$1:$AB$315,10,0)</f>
        <v>0.93</v>
      </c>
      <c r="AC28" t="str">
        <f>VLOOKUP($B28,'[1]Plant data'!$A$1:$AB$315,11,0)</f>
        <v>NA</v>
      </c>
      <c r="AD28">
        <f>VLOOKUP($B28,'[1]Plant data'!$A$1:$AB$315,12,0)</f>
        <v>0.01</v>
      </c>
      <c r="AE28" t="str">
        <f>VLOOKUP($B28,'[1]Plant data'!$A$1:$AB$315,13,0)</f>
        <v>NA</v>
      </c>
      <c r="AF28" t="str">
        <f>VLOOKUP($B28,'[1]Plant data'!$A$1:$AB$315,14,0)</f>
        <v>NA</v>
      </c>
      <c r="AG28">
        <f>VLOOKUP($B28,'[1]Plant data'!$A$1:$AB$315,15,0)</f>
        <v>19.133333333333336</v>
      </c>
      <c r="AH28">
        <f>VLOOKUP($B28,'[1]Plant data'!$A$1:$AB$315,16,0)</f>
        <v>4.22</v>
      </c>
      <c r="AI28" t="str">
        <f>VLOOKUP($B28,'[1]Plant data'!$A$1:$AB$315,17,0)</f>
        <v>NA</v>
      </c>
      <c r="AJ28" t="str">
        <f>VLOOKUP($B28,'[1]Plant data'!$A$1:$AB$315,18,0)</f>
        <v>ATLANTIC, FRUBASE, Motta Jr. 1981, Camargo 2014, Gondim 2002</v>
      </c>
      <c r="AK28">
        <f>VLOOKUP($B28,'[1]Plant data'!$A$1:$AB$315,19,0)</f>
        <v>0.69599999999999995</v>
      </c>
      <c r="AL28">
        <f>VLOOKUP($B28,'[1]Plant data'!$A$1:$AB$315,20,0)</f>
        <v>0.2</v>
      </c>
      <c r="AM28" t="str">
        <f>VLOOKUP($B28,'[1]Plant data'!$A$1:$AB$315,21,0)</f>
        <v>NA</v>
      </c>
      <c r="AN28" t="str">
        <f>VLOOKUP($B28,'[1]Plant data'!$A$1:$AB$315,22,0)</f>
        <v>NA</v>
      </c>
      <c r="AO28" t="str">
        <f>VLOOKUP($B28,'[1]Plant data'!$A$1:$AB$315,23,0)</f>
        <v>NA</v>
      </c>
      <c r="AP28" t="str">
        <f>VLOOKUP($B28,'[1]Plant data'!$A$1:$AB$315,24,0)</f>
        <v>NA</v>
      </c>
      <c r="AQ28" t="str">
        <f>VLOOKUP($B28,'[1]Plant data'!$A$1:$AB$315,25,0)</f>
        <v>NA</v>
      </c>
      <c r="AR28" t="str">
        <f>VLOOKUP($B28,'[1]Plant data'!$A$1:$AB$315,26,0)</f>
        <v>NA</v>
      </c>
      <c r="AS28" t="str">
        <f>VLOOKUP($B28,'[1]Plant data'!$A$1:$AB$315,27,0)</f>
        <v>NA</v>
      </c>
      <c r="AT28" t="str">
        <f>VLOOKUP($B28,'[1]Plant data'!$A$1:$AB$315,28,0)</f>
        <v>Motta Jr. 1981</v>
      </c>
    </row>
    <row r="29" spans="1:46">
      <c r="A29" s="18" t="s">
        <v>28</v>
      </c>
      <c r="B29" s="14" t="s">
        <v>51</v>
      </c>
      <c r="C29">
        <v>1</v>
      </c>
      <c r="D29">
        <v>254</v>
      </c>
      <c r="E29" s="8">
        <f>C29/D29</f>
        <v>3.937007874015748E-3</v>
      </c>
      <c r="F29" t="s">
        <v>19</v>
      </c>
      <c r="G29" s="9" t="s">
        <v>19</v>
      </c>
      <c r="H29" s="9"/>
      <c r="I29" s="8" t="s">
        <v>19</v>
      </c>
      <c r="J29" t="s">
        <v>52</v>
      </c>
      <c r="K29" t="s">
        <v>53</v>
      </c>
      <c r="L29" t="s">
        <v>22</v>
      </c>
      <c r="M29" t="s">
        <v>30</v>
      </c>
      <c r="N29" s="11">
        <v>18</v>
      </c>
      <c r="O29" s="11">
        <v>7.4188405800000004</v>
      </c>
      <c r="P29" t="s">
        <v>24</v>
      </c>
      <c r="Q29" s="13" t="s">
        <v>25</v>
      </c>
      <c r="R29" s="13" t="s">
        <v>26</v>
      </c>
      <c r="S29" s="13" t="s">
        <v>31</v>
      </c>
      <c r="T29" t="str">
        <f>VLOOKUP(B29,'[1]Plant data'!$A$1:$AB$315,2,0)</f>
        <v>Anacardiaceae</v>
      </c>
      <c r="U29" t="str">
        <f>VLOOKUP($B29,'[1]Plant data'!$A$1:$AB$315,3,0)</f>
        <v>NA</v>
      </c>
      <c r="V29" t="str">
        <f>VLOOKUP($B29,'[1]Plant data'!$A$1:$AB$315,4,0)</f>
        <v>yellow</v>
      </c>
      <c r="W29" t="str">
        <f>VLOOKUP($B29,'[1]Plant data'!$A$1:$AB$315,5,0)</f>
        <v>YES</v>
      </c>
      <c r="X29" t="str">
        <f>VLOOKUP($B29,'[1]Plant data'!$A$1:$AB$315,6,0)</f>
        <v>NA</v>
      </c>
      <c r="Y29" t="str">
        <f>VLOOKUP($B29,'[1]Plant data'!$A$1:$AB$315,7,0)</f>
        <v>NA</v>
      </c>
      <c r="Z29" t="str">
        <f>VLOOKUP($B29,'[1]Plant data'!$A$1:$AB$315,8,0)</f>
        <v>NA</v>
      </c>
      <c r="AA29" t="str">
        <f>VLOOKUP($B29,'[1]Plant data'!$A$1:$AB$315,9,0)</f>
        <v>NA</v>
      </c>
      <c r="AB29" t="str">
        <f>VLOOKUP($B29,'[1]Plant data'!$A$1:$AB$315,10,0)</f>
        <v>NA</v>
      </c>
      <c r="AC29" t="str">
        <f>VLOOKUP($B29,'[1]Plant data'!$A$1:$AB$315,11,0)</f>
        <v>NA</v>
      </c>
      <c r="AD29" t="str">
        <f>VLOOKUP($B29,'[1]Plant data'!$A$1:$AB$315,12,0)</f>
        <v>NA</v>
      </c>
      <c r="AE29" t="str">
        <f>VLOOKUP($B29,'[1]Plant data'!$A$1:$AB$315,13,0)</f>
        <v>NA</v>
      </c>
      <c r="AF29" t="str">
        <f>VLOOKUP($B29,'[1]Plant data'!$A$1:$AB$315,14,0)</f>
        <v>NA</v>
      </c>
      <c r="AG29" t="str">
        <f>VLOOKUP($B29,'[1]Plant data'!$A$1:$AB$315,15,0)</f>
        <v>NA</v>
      </c>
      <c r="AH29" t="str">
        <f>VLOOKUP($B29,'[1]Plant data'!$A$1:$AB$315,16,0)</f>
        <v>NA</v>
      </c>
      <c r="AI29" t="str">
        <f>VLOOKUP($B29,'[1]Plant data'!$A$1:$AB$315,17,0)</f>
        <v>NA</v>
      </c>
      <c r="AJ29" t="str">
        <f>VLOOKUP($B29,'[1]Plant data'!$A$1:$AB$315,18,0)</f>
        <v>NA</v>
      </c>
      <c r="AK29" t="str">
        <f>VLOOKUP($B29,'[1]Plant data'!$A$1:$AB$315,19,0)</f>
        <v>NA</v>
      </c>
      <c r="AL29" t="str">
        <f>VLOOKUP($B29,'[1]Plant data'!$A$1:$AB$315,20,0)</f>
        <v>NA</v>
      </c>
      <c r="AM29" t="str">
        <f>VLOOKUP($B29,'[1]Plant data'!$A$1:$AB$315,21,0)</f>
        <v>NA</v>
      </c>
      <c r="AN29" t="str">
        <f>VLOOKUP($B29,'[1]Plant data'!$A$1:$AB$315,22,0)</f>
        <v>NA</v>
      </c>
      <c r="AO29" t="str">
        <f>VLOOKUP($B29,'[1]Plant data'!$A$1:$AB$315,23,0)</f>
        <v>NA</v>
      </c>
      <c r="AP29" t="str">
        <f>VLOOKUP($B29,'[1]Plant data'!$A$1:$AB$315,24,0)</f>
        <v>NA</v>
      </c>
      <c r="AQ29" t="str">
        <f>VLOOKUP($B29,'[1]Plant data'!$A$1:$AB$315,25,0)</f>
        <v>NA</v>
      </c>
      <c r="AR29" t="str">
        <f>VLOOKUP($B29,'[1]Plant data'!$A$1:$AB$315,26,0)</f>
        <v>NA</v>
      </c>
      <c r="AS29" t="str">
        <f>VLOOKUP($B29,'[1]Plant data'!$A$1:$AB$315,27,0)</f>
        <v>NA</v>
      </c>
      <c r="AT29" t="str">
        <f>VLOOKUP($B29,'[1]Plant data'!$A$1:$AB$315,28,0)</f>
        <v>NA</v>
      </c>
    </row>
    <row r="30" spans="1:46">
      <c r="A30" s="5" t="s">
        <v>41</v>
      </c>
      <c r="B30" s="14" t="s">
        <v>51</v>
      </c>
      <c r="C30">
        <v>1</v>
      </c>
      <c r="D30">
        <v>254</v>
      </c>
      <c r="E30" s="8">
        <f>C30/D30</f>
        <v>3.937007874015748E-3</v>
      </c>
      <c r="F30" t="s">
        <v>19</v>
      </c>
      <c r="G30" s="9" t="s">
        <v>19</v>
      </c>
      <c r="H30" s="9"/>
      <c r="I30" s="8" t="s">
        <v>19</v>
      </c>
      <c r="J30" t="s">
        <v>52</v>
      </c>
      <c r="K30" t="s">
        <v>53</v>
      </c>
      <c r="L30" t="s">
        <v>22</v>
      </c>
      <c r="M30" t="s">
        <v>30</v>
      </c>
      <c r="N30" s="11">
        <v>39</v>
      </c>
      <c r="O30" s="11">
        <v>8.2839869279999991</v>
      </c>
      <c r="P30" t="s">
        <v>24</v>
      </c>
      <c r="Q30" t="s">
        <v>25</v>
      </c>
      <c r="R30" t="s">
        <v>26</v>
      </c>
      <c r="S30" t="s">
        <v>31</v>
      </c>
      <c r="T30" t="str">
        <f>VLOOKUP(B30,'[1]Plant data'!$A$1:$AB$315,2,0)</f>
        <v>Anacardiaceae</v>
      </c>
      <c r="U30" t="str">
        <f>VLOOKUP($B30,'[1]Plant data'!$A$1:$AB$315,3,0)</f>
        <v>NA</v>
      </c>
      <c r="V30" t="str">
        <f>VLOOKUP($B30,'[1]Plant data'!$A$1:$AB$315,4,0)</f>
        <v>yellow</v>
      </c>
      <c r="W30" t="str">
        <f>VLOOKUP($B30,'[1]Plant data'!$A$1:$AB$315,5,0)</f>
        <v>YES</v>
      </c>
      <c r="X30" t="str">
        <f>VLOOKUP($B30,'[1]Plant data'!$A$1:$AB$315,6,0)</f>
        <v>NA</v>
      </c>
      <c r="Y30" t="str">
        <f>VLOOKUP($B30,'[1]Plant data'!$A$1:$AB$315,7,0)</f>
        <v>NA</v>
      </c>
      <c r="Z30" t="str">
        <f>VLOOKUP($B30,'[1]Plant data'!$A$1:$AB$315,8,0)</f>
        <v>NA</v>
      </c>
      <c r="AA30" t="str">
        <f>VLOOKUP($B30,'[1]Plant data'!$A$1:$AB$315,9,0)</f>
        <v>NA</v>
      </c>
      <c r="AB30" t="str">
        <f>VLOOKUP($B30,'[1]Plant data'!$A$1:$AB$315,10,0)</f>
        <v>NA</v>
      </c>
      <c r="AC30" t="str">
        <f>VLOOKUP($B30,'[1]Plant data'!$A$1:$AB$315,11,0)</f>
        <v>NA</v>
      </c>
      <c r="AD30" t="str">
        <f>VLOOKUP($B30,'[1]Plant data'!$A$1:$AB$315,12,0)</f>
        <v>NA</v>
      </c>
      <c r="AE30" t="str">
        <f>VLOOKUP($B30,'[1]Plant data'!$A$1:$AB$315,13,0)</f>
        <v>NA</v>
      </c>
      <c r="AF30" t="str">
        <f>VLOOKUP($B30,'[1]Plant data'!$A$1:$AB$315,14,0)</f>
        <v>NA</v>
      </c>
      <c r="AG30" t="str">
        <f>VLOOKUP($B30,'[1]Plant data'!$A$1:$AB$315,15,0)</f>
        <v>NA</v>
      </c>
      <c r="AH30" t="str">
        <f>VLOOKUP($B30,'[1]Plant data'!$A$1:$AB$315,16,0)</f>
        <v>NA</v>
      </c>
      <c r="AI30" t="str">
        <f>VLOOKUP($B30,'[1]Plant data'!$A$1:$AB$315,17,0)</f>
        <v>NA</v>
      </c>
      <c r="AJ30" t="str">
        <f>VLOOKUP($B30,'[1]Plant data'!$A$1:$AB$315,18,0)</f>
        <v>NA</v>
      </c>
      <c r="AK30" t="str">
        <f>VLOOKUP($B30,'[1]Plant data'!$A$1:$AB$315,19,0)</f>
        <v>NA</v>
      </c>
      <c r="AL30" t="str">
        <f>VLOOKUP($B30,'[1]Plant data'!$A$1:$AB$315,20,0)</f>
        <v>NA</v>
      </c>
      <c r="AM30" t="str">
        <f>VLOOKUP($B30,'[1]Plant data'!$A$1:$AB$315,21,0)</f>
        <v>NA</v>
      </c>
      <c r="AN30" t="str">
        <f>VLOOKUP($B30,'[1]Plant data'!$A$1:$AB$315,22,0)</f>
        <v>NA</v>
      </c>
      <c r="AO30" t="str">
        <f>VLOOKUP($B30,'[1]Plant data'!$A$1:$AB$315,23,0)</f>
        <v>NA</v>
      </c>
      <c r="AP30" t="str">
        <f>VLOOKUP($B30,'[1]Plant data'!$A$1:$AB$315,24,0)</f>
        <v>NA</v>
      </c>
      <c r="AQ30" t="str">
        <f>VLOOKUP($B30,'[1]Plant data'!$A$1:$AB$315,25,0)</f>
        <v>NA</v>
      </c>
      <c r="AR30" t="str">
        <f>VLOOKUP($B30,'[1]Plant data'!$A$1:$AB$315,26,0)</f>
        <v>NA</v>
      </c>
      <c r="AS30" t="str">
        <f>VLOOKUP($B30,'[1]Plant data'!$A$1:$AB$315,27,0)</f>
        <v>NA</v>
      </c>
      <c r="AT30" t="str">
        <f>VLOOKUP($B30,'[1]Plant data'!$A$1:$AB$315,28,0)</f>
        <v>NA</v>
      </c>
    </row>
    <row r="31" spans="1:46">
      <c r="A31" s="18" t="s">
        <v>28</v>
      </c>
      <c r="B31" s="6" t="s">
        <v>183</v>
      </c>
      <c r="C31" s="25">
        <v>6</v>
      </c>
      <c r="D31" s="25">
        <v>2</v>
      </c>
      <c r="E31" s="26">
        <f>C31/D31</f>
        <v>3</v>
      </c>
      <c r="F31" s="25" t="s">
        <v>19</v>
      </c>
      <c r="G31" s="27" t="s">
        <v>184</v>
      </c>
      <c r="H31" s="27"/>
      <c r="I31" s="8" t="s">
        <v>19</v>
      </c>
      <c r="J31" s="25" t="s">
        <v>180</v>
      </c>
      <c r="K31" s="25" t="s">
        <v>181</v>
      </c>
      <c r="L31" t="s">
        <v>22</v>
      </c>
      <c r="M31" t="s">
        <v>30</v>
      </c>
      <c r="N31" s="11">
        <v>18</v>
      </c>
      <c r="O31" s="11">
        <v>7.4188405800000004</v>
      </c>
      <c r="P31" t="s">
        <v>24</v>
      </c>
      <c r="Q31" s="13" t="s">
        <v>25</v>
      </c>
      <c r="R31" s="13" t="s">
        <v>26</v>
      </c>
      <c r="S31" s="13" t="s">
        <v>31</v>
      </c>
      <c r="T31" t="str">
        <f>VLOOKUP(B31,'[1]Plant data'!$A$1:$AB$315,2,0)</f>
        <v>Arecaceae</v>
      </c>
      <c r="U31" t="str">
        <f>VLOOKUP($B31,'[1]Plant data'!$A$1:$AB$315,3,0)</f>
        <v>NA</v>
      </c>
      <c r="V31" t="str">
        <f>VLOOKUP($B31,'[1]Plant data'!$A$1:$AB$315,4,0)</f>
        <v>red</v>
      </c>
      <c r="W31" t="str">
        <f>VLOOKUP($B31,'[1]Plant data'!$A$1:$AB$315,5,0)</f>
        <v>YES</v>
      </c>
      <c r="X31">
        <f>VLOOKUP($B31,'[1]Plant data'!$A$1:$AB$315,6,0)</f>
        <v>9.8000000000000007</v>
      </c>
      <c r="Y31">
        <f>VLOOKUP($B31,'[1]Plant data'!$A$1:$AB$315,7,0)</f>
        <v>12.6</v>
      </c>
      <c r="Z31">
        <f>VLOOKUP($B31,'[1]Plant data'!$A$1:$AB$315,8,0)</f>
        <v>8.26</v>
      </c>
      <c r="AA31">
        <f>VLOOKUP($B31,'[1]Plant data'!$A$1:$AB$315,9,0)</f>
        <v>11.274999999999999</v>
      </c>
      <c r="AB31">
        <f>VLOOKUP($B31,'[1]Plant data'!$A$1:$AB$315,10,0)</f>
        <v>0.9</v>
      </c>
      <c r="AC31" t="str">
        <f>VLOOKUP($B31,'[1]Plant data'!$A$1:$AB$315,11,0)</f>
        <v>NA</v>
      </c>
      <c r="AD31">
        <f>VLOOKUP($B31,'[1]Plant data'!$A$1:$AB$315,12,0)</f>
        <v>0.7</v>
      </c>
      <c r="AE31" t="str">
        <f>VLOOKUP($B31,'[1]Plant data'!$A$1:$AB$315,13,0)</f>
        <v>NA</v>
      </c>
      <c r="AF31" t="str">
        <f>VLOOKUP($B31,'[1]Plant data'!$A$1:$AB$315,14,0)</f>
        <v>NA</v>
      </c>
      <c r="AG31">
        <f>VLOOKUP($B31,'[1]Plant data'!$A$1:$AB$315,15,0)</f>
        <v>1</v>
      </c>
      <c r="AH31" t="str">
        <f>VLOOKUP($B31,'[1]Plant data'!$A$1:$AB$315,16,0)</f>
        <v>NA</v>
      </c>
      <c r="AI31" t="str">
        <f>VLOOKUP($B31,'[1]Plant data'!$A$1:$AB$315,17,0)</f>
        <v>NA</v>
      </c>
      <c r="AJ31" t="str">
        <f>VLOOKUP($B31,'[1]Plant data'!$A$1:$AB$315,18,0)</f>
        <v>Castro &amp; Galetti 2004, ATLANTIC</v>
      </c>
      <c r="AK31" t="str">
        <f>VLOOKUP($B31,'[1]Plant data'!$A$1:$AB$315,19,0)</f>
        <v>NA</v>
      </c>
      <c r="AL31" t="str">
        <f>VLOOKUP($B31,'[1]Plant data'!$A$1:$AB$315,20,0)</f>
        <v>NA</v>
      </c>
      <c r="AM31" t="str">
        <f>VLOOKUP($B31,'[1]Plant data'!$A$1:$AB$315,21,0)</f>
        <v>NA</v>
      </c>
      <c r="AN31" t="str">
        <f>VLOOKUP($B31,'[1]Plant data'!$A$1:$AB$315,22,0)</f>
        <v>NA</v>
      </c>
      <c r="AO31" t="str">
        <f>VLOOKUP($B31,'[1]Plant data'!$A$1:$AB$315,23,0)</f>
        <v>NA</v>
      </c>
      <c r="AP31" t="str">
        <f>VLOOKUP($B31,'[1]Plant data'!$A$1:$AB$315,24,0)</f>
        <v>NA</v>
      </c>
      <c r="AQ31" t="str">
        <f>VLOOKUP($B31,'[1]Plant data'!$A$1:$AB$315,25,0)</f>
        <v>NA</v>
      </c>
      <c r="AR31" t="str">
        <f>VLOOKUP($B31,'[1]Plant data'!$A$1:$AB$315,26,0)</f>
        <v>NA</v>
      </c>
      <c r="AS31" t="str">
        <f>VLOOKUP($B31,'[1]Plant data'!$A$1:$AB$315,27,0)</f>
        <v>NA</v>
      </c>
      <c r="AT31" t="str">
        <f>VLOOKUP($B31,'[1]Plant data'!$A$1:$AB$315,28,0)</f>
        <v>NA</v>
      </c>
    </row>
    <row r="32" spans="1:46">
      <c r="A32" s="5" t="s">
        <v>50</v>
      </c>
      <c r="B32" s="14" t="s">
        <v>183</v>
      </c>
      <c r="C32">
        <v>2</v>
      </c>
      <c r="D32">
        <v>2</v>
      </c>
      <c r="E32" s="8">
        <f>C32/2</f>
        <v>1</v>
      </c>
      <c r="F32" t="s">
        <v>19</v>
      </c>
      <c r="G32" s="19">
        <f>(2+3)/2</f>
        <v>2.5</v>
      </c>
      <c r="H32" s="19"/>
      <c r="I32" s="8">
        <f>E32*G32</f>
        <v>2.5</v>
      </c>
      <c r="J32" s="42" t="s">
        <v>180</v>
      </c>
      <c r="K32" t="s">
        <v>181</v>
      </c>
      <c r="L32" t="s">
        <v>22</v>
      </c>
      <c r="M32" t="s">
        <v>47</v>
      </c>
      <c r="N32" s="11">
        <v>69.5</v>
      </c>
      <c r="O32" s="11">
        <v>13.253214290000001</v>
      </c>
      <c r="P32" t="s">
        <v>48</v>
      </c>
      <c r="Q32" t="s">
        <v>25</v>
      </c>
      <c r="R32" t="s">
        <v>26</v>
      </c>
      <c r="S32" t="s">
        <v>31</v>
      </c>
      <c r="T32" t="str">
        <f>VLOOKUP(B32,'[1]Plant data'!$A$1:$AB$315,2,0)</f>
        <v>Arecaceae</v>
      </c>
      <c r="U32" t="str">
        <f>VLOOKUP($B32,'[1]Plant data'!$A$1:$AB$315,3,0)</f>
        <v>NA</v>
      </c>
      <c r="V32" t="str">
        <f>VLOOKUP($B32,'[1]Plant data'!$A$1:$AB$315,4,0)</f>
        <v>red</v>
      </c>
      <c r="W32" t="str">
        <f>VLOOKUP($B32,'[1]Plant data'!$A$1:$AB$315,5,0)</f>
        <v>YES</v>
      </c>
      <c r="X32">
        <f>VLOOKUP($B32,'[1]Plant data'!$A$1:$AB$315,6,0)</f>
        <v>9.8000000000000007</v>
      </c>
      <c r="Y32">
        <f>VLOOKUP($B32,'[1]Plant data'!$A$1:$AB$315,7,0)</f>
        <v>12.6</v>
      </c>
      <c r="Z32">
        <f>VLOOKUP($B32,'[1]Plant data'!$A$1:$AB$315,8,0)</f>
        <v>8.26</v>
      </c>
      <c r="AA32">
        <f>VLOOKUP($B32,'[1]Plant data'!$A$1:$AB$315,9,0)</f>
        <v>11.274999999999999</v>
      </c>
      <c r="AB32">
        <f>VLOOKUP($B32,'[1]Plant data'!$A$1:$AB$315,10,0)</f>
        <v>0.9</v>
      </c>
      <c r="AC32" t="str">
        <f>VLOOKUP($B32,'[1]Plant data'!$A$1:$AB$315,11,0)</f>
        <v>NA</v>
      </c>
      <c r="AD32">
        <f>VLOOKUP($B32,'[1]Plant data'!$A$1:$AB$315,12,0)</f>
        <v>0.7</v>
      </c>
      <c r="AE32" t="str">
        <f>VLOOKUP($B32,'[1]Plant data'!$A$1:$AB$315,13,0)</f>
        <v>NA</v>
      </c>
      <c r="AF32" t="str">
        <f>VLOOKUP($B32,'[1]Plant data'!$A$1:$AB$315,14,0)</f>
        <v>NA</v>
      </c>
      <c r="AG32">
        <f>VLOOKUP($B32,'[1]Plant data'!$A$1:$AB$315,15,0)</f>
        <v>1</v>
      </c>
      <c r="AH32" t="str">
        <f>VLOOKUP($B32,'[1]Plant data'!$A$1:$AB$315,16,0)</f>
        <v>NA</v>
      </c>
      <c r="AI32" t="str">
        <f>VLOOKUP($B32,'[1]Plant data'!$A$1:$AB$315,17,0)</f>
        <v>NA</v>
      </c>
      <c r="AJ32" t="str">
        <f>VLOOKUP($B32,'[1]Plant data'!$A$1:$AB$315,18,0)</f>
        <v>Castro &amp; Galetti 2004, ATLANTIC</v>
      </c>
      <c r="AK32" t="str">
        <f>VLOOKUP($B32,'[1]Plant data'!$A$1:$AB$315,19,0)</f>
        <v>NA</v>
      </c>
      <c r="AL32" t="str">
        <f>VLOOKUP($B32,'[1]Plant data'!$A$1:$AB$315,20,0)</f>
        <v>NA</v>
      </c>
      <c r="AM32" t="str">
        <f>VLOOKUP($B32,'[1]Plant data'!$A$1:$AB$315,21,0)</f>
        <v>NA</v>
      </c>
      <c r="AN32" t="str">
        <f>VLOOKUP($B32,'[1]Plant data'!$A$1:$AB$315,22,0)</f>
        <v>NA</v>
      </c>
      <c r="AO32" t="str">
        <f>VLOOKUP($B32,'[1]Plant data'!$A$1:$AB$315,23,0)</f>
        <v>NA</v>
      </c>
      <c r="AP32" t="str">
        <f>VLOOKUP($B32,'[1]Plant data'!$A$1:$AB$315,24,0)</f>
        <v>NA</v>
      </c>
      <c r="AQ32" t="str">
        <f>VLOOKUP($B32,'[1]Plant data'!$A$1:$AB$315,25,0)</f>
        <v>NA</v>
      </c>
      <c r="AR32" t="str">
        <f>VLOOKUP($B32,'[1]Plant data'!$A$1:$AB$315,26,0)</f>
        <v>NA</v>
      </c>
      <c r="AS32" t="str">
        <f>VLOOKUP($B32,'[1]Plant data'!$A$1:$AB$315,27,0)</f>
        <v>NA</v>
      </c>
      <c r="AT32" t="str">
        <f>VLOOKUP($B32,'[1]Plant data'!$A$1:$AB$315,28,0)</f>
        <v>NA</v>
      </c>
    </row>
    <row r="33" spans="1:46">
      <c r="A33" s="18" t="s">
        <v>28</v>
      </c>
      <c r="B33" s="14" t="s">
        <v>54</v>
      </c>
      <c r="C33">
        <v>1</v>
      </c>
      <c r="D33">
        <v>254</v>
      </c>
      <c r="E33" s="8">
        <f>C33/D33</f>
        <v>3.937007874015748E-3</v>
      </c>
      <c r="F33" t="s">
        <v>19</v>
      </c>
      <c r="G33" s="9" t="s">
        <v>19</v>
      </c>
      <c r="H33" s="9"/>
      <c r="I33" s="8" t="s">
        <v>19</v>
      </c>
      <c r="J33" t="s">
        <v>52</v>
      </c>
      <c r="K33" t="s">
        <v>53</v>
      </c>
      <c r="L33" t="s">
        <v>22</v>
      </c>
      <c r="M33" t="s">
        <v>30</v>
      </c>
      <c r="N33" s="11">
        <v>18</v>
      </c>
      <c r="O33" s="11">
        <v>7.4188405800000004</v>
      </c>
      <c r="P33" t="s">
        <v>24</v>
      </c>
      <c r="Q33" s="13" t="s">
        <v>25</v>
      </c>
      <c r="R33" s="13" t="s">
        <v>26</v>
      </c>
      <c r="S33" s="13" t="s">
        <v>31</v>
      </c>
      <c r="T33" t="str">
        <f>VLOOKUP(B33,'[1]Plant data'!$A$1:$AB$315,2,0)</f>
        <v>Malpighiaceae</v>
      </c>
      <c r="U33" t="str">
        <f>VLOOKUP($B33,'[1]Plant data'!$A$1:$AB$315,3,0)</f>
        <v>NA</v>
      </c>
      <c r="V33" t="str">
        <f>VLOOKUP($B33,'[1]Plant data'!$A$1:$AB$315,4,0)</f>
        <v>red</v>
      </c>
      <c r="W33" t="str">
        <f>VLOOKUP($B33,'[1]Plant data'!$A$1:$AB$315,5,0)</f>
        <v>YES</v>
      </c>
      <c r="X33">
        <f>VLOOKUP($B33,'[1]Plant data'!$A$1:$AB$315,6,0)</f>
        <v>7.42</v>
      </c>
      <c r="Y33">
        <f>VLOOKUP($B33,'[1]Plant data'!$A$1:$AB$315,7,0)</f>
        <v>7.7</v>
      </c>
      <c r="Z33">
        <f>VLOOKUP($B33,'[1]Plant data'!$A$1:$AB$315,8,0)</f>
        <v>5</v>
      </c>
      <c r="AA33">
        <f>VLOOKUP($B33,'[1]Plant data'!$A$1:$AB$315,9,0)</f>
        <v>6</v>
      </c>
      <c r="AB33">
        <f>VLOOKUP($B33,'[1]Plant data'!$A$1:$AB$315,10,0)</f>
        <v>0.54</v>
      </c>
      <c r="AC33" t="str">
        <f>VLOOKUP($B33,'[1]Plant data'!$A$1:$AB$315,11,0)</f>
        <v>NA</v>
      </c>
      <c r="AD33" t="str">
        <f>VLOOKUP($B33,'[1]Plant data'!$A$1:$AB$315,12,0)</f>
        <v>NA</v>
      </c>
      <c r="AE33" t="str">
        <f>VLOOKUP($B33,'[1]Plant data'!$A$1:$AB$315,13,0)</f>
        <v>NA</v>
      </c>
      <c r="AF33" t="str">
        <f>VLOOKUP($B33,'[1]Plant data'!$A$1:$AB$315,14,0)</f>
        <v>NA</v>
      </c>
      <c r="AG33">
        <f>VLOOKUP($B33,'[1]Plant data'!$A$1:$AB$315,15,0)</f>
        <v>1</v>
      </c>
      <c r="AH33" t="str">
        <f>VLOOKUP($B33,'[1]Plant data'!$A$1:$AB$315,16,0)</f>
        <v>NA</v>
      </c>
      <c r="AI33" t="str">
        <f>VLOOKUP($B33,'[1]Plant data'!$A$1:$AB$315,17,0)</f>
        <v>NA</v>
      </c>
      <c r="AJ33" t="str">
        <f>VLOOKUP($B33,'[1]Plant data'!$A$1:$AB$315,18,0)</f>
        <v>ATLANTIC, Santana et al. 2013</v>
      </c>
      <c r="AK33">
        <f>VLOOKUP($B33,'[1]Plant data'!$A$1:$AB$315,19,0)</f>
        <v>0.77180000000000004</v>
      </c>
      <c r="AL33">
        <f>VLOOKUP($B33,'[1]Plant data'!$A$1:$AB$315,20,0)</f>
        <v>0.21864999999999998</v>
      </c>
      <c r="AM33">
        <f>VLOOKUP($B33,'[1]Plant data'!$A$1:$AB$315,21,0)</f>
        <v>4.7850000000000004E-2</v>
      </c>
      <c r="AN33">
        <f>VLOOKUP($B33,'[1]Plant data'!$A$1:$AB$315,22,0)</f>
        <v>4.7500000000000001E-2</v>
      </c>
      <c r="AO33" t="str">
        <f>VLOOKUP($B33,'[1]Plant data'!$A$1:$AB$315,23,0)</f>
        <v>NA</v>
      </c>
      <c r="AP33" t="str">
        <f>VLOOKUP($B33,'[1]Plant data'!$A$1:$AB$315,24,0)</f>
        <v>NA</v>
      </c>
      <c r="AQ33" t="str">
        <f>VLOOKUP($B33,'[1]Plant data'!$A$1:$AB$315,25,0)</f>
        <v>NA</v>
      </c>
      <c r="AR33" t="str">
        <f>VLOOKUP($B33,'[1]Plant data'!$A$1:$AB$315,26,0)</f>
        <v>NA</v>
      </c>
      <c r="AS33" t="str">
        <f>VLOOKUP($B33,'[1]Plant data'!$A$1:$AB$315,27,0)</f>
        <v>NA</v>
      </c>
      <c r="AT33" t="str">
        <f>VLOOKUP($B33,'[1]Plant data'!$A$1:$AB$315,28,0)</f>
        <v>Gomes et al. 2010, Santana et al. 2013</v>
      </c>
    </row>
    <row r="34" spans="1:46">
      <c r="A34" s="5" t="s">
        <v>41</v>
      </c>
      <c r="B34" s="14" t="s">
        <v>54</v>
      </c>
      <c r="C34">
        <v>4</v>
      </c>
      <c r="D34">
        <v>254</v>
      </c>
      <c r="E34" s="8">
        <f>C34/D34</f>
        <v>1.5748031496062992E-2</v>
      </c>
      <c r="F34" t="s">
        <v>19</v>
      </c>
      <c r="G34" s="9" t="s">
        <v>19</v>
      </c>
      <c r="H34" s="9"/>
      <c r="I34" s="8" t="s">
        <v>19</v>
      </c>
      <c r="J34" t="s">
        <v>52</v>
      </c>
      <c r="K34" t="s">
        <v>53</v>
      </c>
      <c r="L34" t="s">
        <v>22</v>
      </c>
      <c r="M34" t="s">
        <v>30</v>
      </c>
      <c r="N34" s="11">
        <v>39</v>
      </c>
      <c r="O34" s="11">
        <v>8.2839869279999991</v>
      </c>
      <c r="P34" t="s">
        <v>24</v>
      </c>
      <c r="Q34" t="s">
        <v>25</v>
      </c>
      <c r="R34" t="s">
        <v>26</v>
      </c>
      <c r="S34" t="s">
        <v>31</v>
      </c>
      <c r="T34" t="str">
        <f>VLOOKUP(B34,'[1]Plant data'!$A$1:$AB$315,2,0)</f>
        <v>Malpighiaceae</v>
      </c>
      <c r="U34" t="str">
        <f>VLOOKUP($B34,'[1]Plant data'!$A$1:$AB$315,3,0)</f>
        <v>NA</v>
      </c>
      <c r="V34" t="str">
        <f>VLOOKUP($B34,'[1]Plant data'!$A$1:$AB$315,4,0)</f>
        <v>red</v>
      </c>
      <c r="W34" t="str">
        <f>VLOOKUP($B34,'[1]Plant data'!$A$1:$AB$315,5,0)</f>
        <v>YES</v>
      </c>
      <c r="X34">
        <f>VLOOKUP($B34,'[1]Plant data'!$A$1:$AB$315,6,0)</f>
        <v>7.42</v>
      </c>
      <c r="Y34">
        <f>VLOOKUP($B34,'[1]Plant data'!$A$1:$AB$315,7,0)</f>
        <v>7.7</v>
      </c>
      <c r="Z34">
        <f>VLOOKUP($B34,'[1]Plant data'!$A$1:$AB$315,8,0)</f>
        <v>5</v>
      </c>
      <c r="AA34">
        <f>VLOOKUP($B34,'[1]Plant data'!$A$1:$AB$315,9,0)</f>
        <v>6</v>
      </c>
      <c r="AB34">
        <f>VLOOKUP($B34,'[1]Plant data'!$A$1:$AB$315,10,0)</f>
        <v>0.54</v>
      </c>
      <c r="AC34" t="str">
        <f>VLOOKUP($B34,'[1]Plant data'!$A$1:$AB$315,11,0)</f>
        <v>NA</v>
      </c>
      <c r="AD34" t="str">
        <f>VLOOKUP($B34,'[1]Plant data'!$A$1:$AB$315,12,0)</f>
        <v>NA</v>
      </c>
      <c r="AE34" t="str">
        <f>VLOOKUP($B34,'[1]Plant data'!$A$1:$AB$315,13,0)</f>
        <v>NA</v>
      </c>
      <c r="AF34" t="str">
        <f>VLOOKUP($B34,'[1]Plant data'!$A$1:$AB$315,14,0)</f>
        <v>NA</v>
      </c>
      <c r="AG34">
        <f>VLOOKUP($B34,'[1]Plant data'!$A$1:$AB$315,15,0)</f>
        <v>1</v>
      </c>
      <c r="AH34" t="str">
        <f>VLOOKUP($B34,'[1]Plant data'!$A$1:$AB$315,16,0)</f>
        <v>NA</v>
      </c>
      <c r="AI34" t="str">
        <f>VLOOKUP($B34,'[1]Plant data'!$A$1:$AB$315,17,0)</f>
        <v>NA</v>
      </c>
      <c r="AJ34" t="str">
        <f>VLOOKUP($B34,'[1]Plant data'!$A$1:$AB$315,18,0)</f>
        <v>ATLANTIC, Santana et al. 2013</v>
      </c>
      <c r="AK34">
        <f>VLOOKUP($B34,'[1]Plant data'!$A$1:$AB$315,19,0)</f>
        <v>0.77180000000000004</v>
      </c>
      <c r="AL34">
        <f>VLOOKUP($B34,'[1]Plant data'!$A$1:$AB$315,20,0)</f>
        <v>0.21864999999999998</v>
      </c>
      <c r="AM34">
        <f>VLOOKUP($B34,'[1]Plant data'!$A$1:$AB$315,21,0)</f>
        <v>4.7850000000000004E-2</v>
      </c>
      <c r="AN34">
        <f>VLOOKUP($B34,'[1]Plant data'!$A$1:$AB$315,22,0)</f>
        <v>4.7500000000000001E-2</v>
      </c>
      <c r="AO34" t="str">
        <f>VLOOKUP($B34,'[1]Plant data'!$A$1:$AB$315,23,0)</f>
        <v>NA</v>
      </c>
      <c r="AP34" t="str">
        <f>VLOOKUP($B34,'[1]Plant data'!$A$1:$AB$315,24,0)</f>
        <v>NA</v>
      </c>
      <c r="AQ34" t="str">
        <f>VLOOKUP($B34,'[1]Plant data'!$A$1:$AB$315,25,0)</f>
        <v>NA</v>
      </c>
      <c r="AR34" t="str">
        <f>VLOOKUP($B34,'[1]Plant data'!$A$1:$AB$315,26,0)</f>
        <v>NA</v>
      </c>
      <c r="AS34" t="str">
        <f>VLOOKUP($B34,'[1]Plant data'!$A$1:$AB$315,27,0)</f>
        <v>NA</v>
      </c>
      <c r="AT34" t="str">
        <f>VLOOKUP($B34,'[1]Plant data'!$A$1:$AB$315,28,0)</f>
        <v>Gomes et al. 2010, Santana et al. 2013</v>
      </c>
    </row>
    <row r="35" spans="1:46">
      <c r="A35" s="5" t="s">
        <v>43</v>
      </c>
      <c r="B35" s="14" t="s">
        <v>54</v>
      </c>
      <c r="C35">
        <v>1</v>
      </c>
      <c r="D35">
        <v>254</v>
      </c>
      <c r="E35" s="8">
        <f>C35/D35</f>
        <v>3.937007874015748E-3</v>
      </c>
      <c r="F35" t="s">
        <v>19</v>
      </c>
      <c r="G35" s="9" t="s">
        <v>19</v>
      </c>
      <c r="H35" s="9"/>
      <c r="I35" s="8" t="s">
        <v>19</v>
      </c>
      <c r="J35" t="s">
        <v>52</v>
      </c>
      <c r="K35" t="s">
        <v>53</v>
      </c>
      <c r="L35" t="s">
        <v>22</v>
      </c>
      <c r="M35" t="s">
        <v>30</v>
      </c>
      <c r="N35" s="11">
        <v>32.5</v>
      </c>
      <c r="O35" s="11">
        <v>8.9205555560000001</v>
      </c>
      <c r="P35" t="s">
        <v>24</v>
      </c>
      <c r="Q35" t="s">
        <v>25</v>
      </c>
      <c r="R35" t="s">
        <v>26</v>
      </c>
      <c r="S35" t="s">
        <v>31</v>
      </c>
      <c r="T35" t="str">
        <f>VLOOKUP(B35,'[1]Plant data'!$A$1:$AB$315,2,0)</f>
        <v>Malpighiaceae</v>
      </c>
      <c r="U35" t="str">
        <f>VLOOKUP($B35,'[1]Plant data'!$A$1:$AB$315,3,0)</f>
        <v>NA</v>
      </c>
      <c r="V35" t="str">
        <f>VLOOKUP($B35,'[1]Plant data'!$A$1:$AB$315,4,0)</f>
        <v>red</v>
      </c>
      <c r="W35" t="str">
        <f>VLOOKUP($B35,'[1]Plant data'!$A$1:$AB$315,5,0)</f>
        <v>YES</v>
      </c>
      <c r="X35">
        <f>VLOOKUP($B35,'[1]Plant data'!$A$1:$AB$315,6,0)</f>
        <v>7.42</v>
      </c>
      <c r="Y35">
        <f>VLOOKUP($B35,'[1]Plant data'!$A$1:$AB$315,7,0)</f>
        <v>7.7</v>
      </c>
      <c r="Z35">
        <f>VLOOKUP($B35,'[1]Plant data'!$A$1:$AB$315,8,0)</f>
        <v>5</v>
      </c>
      <c r="AA35">
        <f>VLOOKUP($B35,'[1]Plant data'!$A$1:$AB$315,9,0)</f>
        <v>6</v>
      </c>
      <c r="AB35">
        <f>VLOOKUP($B35,'[1]Plant data'!$A$1:$AB$315,10,0)</f>
        <v>0.54</v>
      </c>
      <c r="AC35" t="str">
        <f>VLOOKUP($B35,'[1]Plant data'!$A$1:$AB$315,11,0)</f>
        <v>NA</v>
      </c>
      <c r="AD35" t="str">
        <f>VLOOKUP($B35,'[1]Plant data'!$A$1:$AB$315,12,0)</f>
        <v>NA</v>
      </c>
      <c r="AE35" t="str">
        <f>VLOOKUP($B35,'[1]Plant data'!$A$1:$AB$315,13,0)</f>
        <v>NA</v>
      </c>
      <c r="AF35" t="str">
        <f>VLOOKUP($B35,'[1]Plant data'!$A$1:$AB$315,14,0)</f>
        <v>NA</v>
      </c>
      <c r="AG35">
        <f>VLOOKUP($B35,'[1]Plant data'!$A$1:$AB$315,15,0)</f>
        <v>1</v>
      </c>
      <c r="AH35" t="str">
        <f>VLOOKUP($B35,'[1]Plant data'!$A$1:$AB$315,16,0)</f>
        <v>NA</v>
      </c>
      <c r="AI35" t="str">
        <f>VLOOKUP($B35,'[1]Plant data'!$A$1:$AB$315,17,0)</f>
        <v>NA</v>
      </c>
      <c r="AJ35" t="str">
        <f>VLOOKUP($B35,'[1]Plant data'!$A$1:$AB$315,18,0)</f>
        <v>ATLANTIC, Santana et al. 2013</v>
      </c>
      <c r="AK35">
        <f>VLOOKUP($B35,'[1]Plant data'!$A$1:$AB$315,19,0)</f>
        <v>0.77180000000000004</v>
      </c>
      <c r="AL35">
        <f>VLOOKUP($B35,'[1]Plant data'!$A$1:$AB$315,20,0)</f>
        <v>0.21864999999999998</v>
      </c>
      <c r="AM35">
        <f>VLOOKUP($B35,'[1]Plant data'!$A$1:$AB$315,21,0)</f>
        <v>4.7850000000000004E-2</v>
      </c>
      <c r="AN35">
        <f>VLOOKUP($B35,'[1]Plant data'!$A$1:$AB$315,22,0)</f>
        <v>4.7500000000000001E-2</v>
      </c>
      <c r="AO35" t="str">
        <f>VLOOKUP($B35,'[1]Plant data'!$A$1:$AB$315,23,0)</f>
        <v>NA</v>
      </c>
      <c r="AP35" t="str">
        <f>VLOOKUP($B35,'[1]Plant data'!$A$1:$AB$315,24,0)</f>
        <v>NA</v>
      </c>
      <c r="AQ35" t="str">
        <f>VLOOKUP($B35,'[1]Plant data'!$A$1:$AB$315,25,0)</f>
        <v>NA</v>
      </c>
      <c r="AR35" t="str">
        <f>VLOOKUP($B35,'[1]Plant data'!$A$1:$AB$315,26,0)</f>
        <v>NA</v>
      </c>
      <c r="AS35" t="str">
        <f>VLOOKUP($B35,'[1]Plant data'!$A$1:$AB$315,27,0)</f>
        <v>NA</v>
      </c>
      <c r="AT35" t="str">
        <f>VLOOKUP($B35,'[1]Plant data'!$A$1:$AB$315,28,0)</f>
        <v>Gomes et al. 2010, Santana et al. 2013</v>
      </c>
    </row>
    <row r="36" spans="1:46">
      <c r="A36" s="21" t="s">
        <v>104</v>
      </c>
      <c r="B36" s="22" t="s">
        <v>227</v>
      </c>
      <c r="C36" s="16">
        <v>5</v>
      </c>
      <c r="D36" s="16">
        <v>32</v>
      </c>
      <c r="E36" s="23">
        <f>C36/32</f>
        <v>0.15625</v>
      </c>
      <c r="F36" s="16">
        <v>90</v>
      </c>
      <c r="G36" s="19">
        <f>20</f>
        <v>20</v>
      </c>
      <c r="H36" s="19"/>
      <c r="I36" s="8">
        <f>E36*G36</f>
        <v>3.125</v>
      </c>
      <c r="J36" s="16" t="s">
        <v>224</v>
      </c>
      <c r="K36" s="16" t="s">
        <v>225</v>
      </c>
      <c r="L36" s="16" t="s">
        <v>93</v>
      </c>
      <c r="M36" s="16" t="s">
        <v>94</v>
      </c>
      <c r="N36" s="17">
        <v>343.5</v>
      </c>
      <c r="O36" s="17">
        <v>30.107272729999998</v>
      </c>
      <c r="P36" s="16" t="s">
        <v>48</v>
      </c>
      <c r="Q36" s="16" t="s">
        <v>25</v>
      </c>
      <c r="R36" s="16" t="s">
        <v>76</v>
      </c>
      <c r="S36" s="16" t="s">
        <v>27</v>
      </c>
      <c r="T36" t="str">
        <f>VLOOKUP(B36,'[1]Plant data'!$A$1:$AB$315,2,0)</f>
        <v>Meliaceae</v>
      </c>
      <c r="U36" t="str">
        <f>VLOOKUP($B36,'[1]Plant data'!$A$1:$AB$315,3,0)</f>
        <v>NA</v>
      </c>
      <c r="V36" t="str">
        <f>VLOOKUP($B36,'[1]Plant data'!$A$1:$AB$315,4,0)</f>
        <v>red</v>
      </c>
      <c r="W36" t="str">
        <f>VLOOKUP($B36,'[1]Plant data'!$A$1:$AB$315,5,0)</f>
        <v>YES</v>
      </c>
      <c r="X36">
        <f>VLOOKUP($B36,'[1]Plant data'!$A$1:$AB$315,6,0)</f>
        <v>9.7337500000000006</v>
      </c>
      <c r="Y36">
        <f>VLOOKUP($B36,'[1]Plant data'!$A$1:$AB$315,7,0)</f>
        <v>17.306249999999999</v>
      </c>
      <c r="Z36">
        <f>VLOOKUP($B36,'[1]Plant data'!$A$1:$AB$315,8,0)</f>
        <v>7.2966666666666669</v>
      </c>
      <c r="AA36">
        <f>VLOOKUP($B36,'[1]Plant data'!$A$1:$AB$315,9,0)</f>
        <v>9.4324999999999992</v>
      </c>
      <c r="AB36">
        <f>VLOOKUP($B36,'[1]Plant data'!$A$1:$AB$315,10,0)</f>
        <v>0.93490624999999994</v>
      </c>
      <c r="AC36">
        <f>VLOOKUP($B36,'[1]Plant data'!$A$1:$AB$315,11,0)</f>
        <v>0.39499999999999996</v>
      </c>
      <c r="AD36">
        <f>VLOOKUP($B36,'[1]Plant data'!$A$1:$AB$315,12,0)</f>
        <v>0.139125</v>
      </c>
      <c r="AE36">
        <f>VLOOKUP($B36,'[1]Plant data'!$A$1:$AB$315,13,0)</f>
        <v>0.51612499999999994</v>
      </c>
      <c r="AF36">
        <f>VLOOKUP($B36,'[1]Plant data'!$A$1:$AB$315,14,0)</f>
        <v>0.40368749999999998</v>
      </c>
      <c r="AG36">
        <f>VLOOKUP($B36,'[1]Plant data'!$A$1:$AB$315,15,0)</f>
        <v>3.0575000000000001</v>
      </c>
      <c r="AH36" t="str">
        <f>VLOOKUP($B36,'[1]Plant data'!$A$1:$AB$315,16,0)</f>
        <v>NA</v>
      </c>
      <c r="AI36">
        <f>VLOOKUP($B36,'[1]Plant data'!$A$1:$AB$315,17,0)</f>
        <v>1.7440896870929297</v>
      </c>
      <c r="AJ36" t="str">
        <f>VLOOKUP($B36,'[1]Plant data'!$A$1:$AB$315,18,0)</f>
        <v>Cazetta 2007, Erica&amp;Wesley, Motta Jr. 1981, Pizo &amp; Oliveira 2001</v>
      </c>
      <c r="AK36">
        <f>VLOOKUP($B36,'[1]Plant data'!$A$1:$AB$315,19,0)</f>
        <v>0.40903333333333336</v>
      </c>
      <c r="AL36">
        <f>VLOOKUP($B36,'[1]Plant data'!$A$1:$AB$315,20,0)</f>
        <v>0.71116666666666661</v>
      </c>
      <c r="AM36">
        <f>VLOOKUP($B36,'[1]Plant data'!$A$1:$AB$315,21,0)</f>
        <v>8.8350000000000012E-2</v>
      </c>
      <c r="AN36">
        <f>VLOOKUP($B36,'[1]Plant data'!$A$1:$AB$315,22,0)</f>
        <v>1.1599999999999999E-2</v>
      </c>
      <c r="AO36" t="str">
        <f>VLOOKUP($B36,'[1]Plant data'!$A$1:$AB$315,23,0)</f>
        <v>NA</v>
      </c>
      <c r="AP36" t="str">
        <f>VLOOKUP($B36,'[1]Plant data'!$A$1:$AB$315,24,0)</f>
        <v>NA</v>
      </c>
      <c r="AQ36">
        <f>VLOOKUP($B36,'[1]Plant data'!$A$1:$AB$315,25,0)</f>
        <v>0.16500000000000001</v>
      </c>
      <c r="AR36">
        <f>VLOOKUP($B36,'[1]Plant data'!$A$1:$AB$315,26,0)</f>
        <v>2.3E-2</v>
      </c>
      <c r="AS36" t="str">
        <f>VLOOKUP($B36,'[1]Plant data'!$A$1:$AB$315,27,0)</f>
        <v>NA</v>
      </c>
      <c r="AT36" t="str">
        <f>VLOOKUP($B36,'[1]Plant data'!$A$1:$AB$315,28,0)</f>
        <v>Cazetta 2007, Erica &amp; Wesley unpubl., Pizo &amp; Oliveira 2001, Motta Jr. 1981</v>
      </c>
    </row>
    <row r="37" spans="1:46">
      <c r="A37" s="21" t="s">
        <v>124</v>
      </c>
      <c r="B37" s="22" t="s">
        <v>227</v>
      </c>
      <c r="C37" s="16">
        <v>3</v>
      </c>
      <c r="D37" s="16">
        <v>32</v>
      </c>
      <c r="E37" s="23">
        <f>C37/32</f>
        <v>9.375E-2</v>
      </c>
      <c r="F37" s="16">
        <v>6</v>
      </c>
      <c r="G37" s="19">
        <f>F37/C37</f>
        <v>2</v>
      </c>
      <c r="H37" s="19"/>
      <c r="I37" s="8">
        <f>E37*G37</f>
        <v>0.1875</v>
      </c>
      <c r="J37" s="16" t="s">
        <v>224</v>
      </c>
      <c r="K37" s="16" t="s">
        <v>225</v>
      </c>
      <c r="L37" s="16" t="s">
        <v>108</v>
      </c>
      <c r="M37" s="16" t="s">
        <v>109</v>
      </c>
      <c r="N37" s="17">
        <v>73.3</v>
      </c>
      <c r="O37" s="17">
        <v>17.52380952</v>
      </c>
      <c r="P37" s="16" t="s">
        <v>48</v>
      </c>
      <c r="Q37" s="16" t="s">
        <v>49</v>
      </c>
      <c r="R37" s="16" t="s">
        <v>26</v>
      </c>
      <c r="S37" s="16" t="s">
        <v>27</v>
      </c>
      <c r="T37" t="str">
        <f>VLOOKUP(B37,'[1]Plant data'!$A$1:$AB$315,2,0)</f>
        <v>Meliaceae</v>
      </c>
      <c r="U37" t="str">
        <f>VLOOKUP($B37,'[1]Plant data'!$A$1:$AB$315,3,0)</f>
        <v>NA</v>
      </c>
      <c r="V37" t="str">
        <f>VLOOKUP($B37,'[1]Plant data'!$A$1:$AB$315,4,0)</f>
        <v>red</v>
      </c>
      <c r="W37" t="str">
        <f>VLOOKUP($B37,'[1]Plant data'!$A$1:$AB$315,5,0)</f>
        <v>YES</v>
      </c>
      <c r="X37">
        <f>VLOOKUP($B37,'[1]Plant data'!$A$1:$AB$315,6,0)</f>
        <v>9.7337500000000006</v>
      </c>
      <c r="Y37">
        <f>VLOOKUP($B37,'[1]Plant data'!$A$1:$AB$315,7,0)</f>
        <v>17.306249999999999</v>
      </c>
      <c r="Z37">
        <f>VLOOKUP($B37,'[1]Plant data'!$A$1:$AB$315,8,0)</f>
        <v>7.2966666666666669</v>
      </c>
      <c r="AA37">
        <f>VLOOKUP($B37,'[1]Plant data'!$A$1:$AB$315,9,0)</f>
        <v>9.4324999999999992</v>
      </c>
      <c r="AB37">
        <f>VLOOKUP($B37,'[1]Plant data'!$A$1:$AB$315,10,0)</f>
        <v>0.93490624999999994</v>
      </c>
      <c r="AC37">
        <f>VLOOKUP($B37,'[1]Plant data'!$A$1:$AB$315,11,0)</f>
        <v>0.39499999999999996</v>
      </c>
      <c r="AD37">
        <f>VLOOKUP($B37,'[1]Plant data'!$A$1:$AB$315,12,0)</f>
        <v>0.139125</v>
      </c>
      <c r="AE37">
        <f>VLOOKUP($B37,'[1]Plant data'!$A$1:$AB$315,13,0)</f>
        <v>0.51612499999999994</v>
      </c>
      <c r="AF37">
        <f>VLOOKUP($B37,'[1]Plant data'!$A$1:$AB$315,14,0)</f>
        <v>0.40368749999999998</v>
      </c>
      <c r="AG37">
        <f>VLOOKUP($B37,'[1]Plant data'!$A$1:$AB$315,15,0)</f>
        <v>3.0575000000000001</v>
      </c>
      <c r="AH37" t="str">
        <f>VLOOKUP($B37,'[1]Plant data'!$A$1:$AB$315,16,0)</f>
        <v>NA</v>
      </c>
      <c r="AI37">
        <f>VLOOKUP($B37,'[1]Plant data'!$A$1:$AB$315,17,0)</f>
        <v>1.7440896870929297</v>
      </c>
      <c r="AJ37" t="str">
        <f>VLOOKUP($B37,'[1]Plant data'!$A$1:$AB$315,18,0)</f>
        <v>Cazetta 2007, Erica&amp;Wesley, Motta Jr. 1981, Pizo &amp; Oliveira 2001</v>
      </c>
      <c r="AK37">
        <f>VLOOKUP($B37,'[1]Plant data'!$A$1:$AB$315,19,0)</f>
        <v>0.40903333333333336</v>
      </c>
      <c r="AL37">
        <f>VLOOKUP($B37,'[1]Plant data'!$A$1:$AB$315,20,0)</f>
        <v>0.71116666666666661</v>
      </c>
      <c r="AM37">
        <f>VLOOKUP($B37,'[1]Plant data'!$A$1:$AB$315,21,0)</f>
        <v>8.8350000000000012E-2</v>
      </c>
      <c r="AN37">
        <f>VLOOKUP($B37,'[1]Plant data'!$A$1:$AB$315,22,0)</f>
        <v>1.1599999999999999E-2</v>
      </c>
      <c r="AO37" t="str">
        <f>VLOOKUP($B37,'[1]Plant data'!$A$1:$AB$315,23,0)</f>
        <v>NA</v>
      </c>
      <c r="AP37" t="str">
        <f>VLOOKUP($B37,'[1]Plant data'!$A$1:$AB$315,24,0)</f>
        <v>NA</v>
      </c>
      <c r="AQ37">
        <f>VLOOKUP($B37,'[1]Plant data'!$A$1:$AB$315,25,0)</f>
        <v>0.16500000000000001</v>
      </c>
      <c r="AR37">
        <f>VLOOKUP($B37,'[1]Plant data'!$A$1:$AB$315,26,0)</f>
        <v>2.3E-2</v>
      </c>
      <c r="AS37" t="str">
        <f>VLOOKUP($B37,'[1]Plant data'!$A$1:$AB$315,27,0)</f>
        <v>NA</v>
      </c>
      <c r="AT37" t="str">
        <f>VLOOKUP($B37,'[1]Plant data'!$A$1:$AB$315,28,0)</f>
        <v>Cazetta 2007, Erica &amp; Wesley unpubl., Pizo &amp; Oliveira 2001, Motta Jr. 1981</v>
      </c>
    </row>
    <row r="38" spans="1:46">
      <c r="A38" s="21" t="s">
        <v>46</v>
      </c>
      <c r="B38" s="22" t="s">
        <v>227</v>
      </c>
      <c r="C38" s="16">
        <v>6</v>
      </c>
      <c r="D38" s="16">
        <v>32</v>
      </c>
      <c r="E38" s="23">
        <f>C38/32</f>
        <v>0.1875</v>
      </c>
      <c r="F38" s="16" t="s">
        <v>19</v>
      </c>
      <c r="G38" s="19">
        <v>1.7</v>
      </c>
      <c r="H38" s="19"/>
      <c r="I38" s="8">
        <f>E38*G38</f>
        <v>0.31874999999999998</v>
      </c>
      <c r="J38" s="16" t="s">
        <v>224</v>
      </c>
      <c r="K38" s="16" t="s">
        <v>225</v>
      </c>
      <c r="L38" s="16" t="s">
        <v>22</v>
      </c>
      <c r="M38" s="16" t="s">
        <v>47</v>
      </c>
      <c r="N38" s="17">
        <v>54</v>
      </c>
      <c r="O38" s="17">
        <v>11.14875</v>
      </c>
      <c r="P38" s="16" t="s">
        <v>48</v>
      </c>
      <c r="Q38" s="16" t="s">
        <v>49</v>
      </c>
      <c r="R38" s="16" t="s">
        <v>26</v>
      </c>
      <c r="S38" s="16" t="s">
        <v>31</v>
      </c>
      <c r="T38" t="str">
        <f>VLOOKUP(B38,'[1]Plant data'!$A$1:$AB$315,2,0)</f>
        <v>Meliaceae</v>
      </c>
      <c r="U38" t="str">
        <f>VLOOKUP($B38,'[1]Plant data'!$A$1:$AB$315,3,0)</f>
        <v>NA</v>
      </c>
      <c r="V38" t="str">
        <f>VLOOKUP($B38,'[1]Plant data'!$A$1:$AB$315,4,0)</f>
        <v>red</v>
      </c>
      <c r="W38" t="str">
        <f>VLOOKUP($B38,'[1]Plant data'!$A$1:$AB$315,5,0)</f>
        <v>YES</v>
      </c>
      <c r="X38">
        <f>VLOOKUP($B38,'[1]Plant data'!$A$1:$AB$315,6,0)</f>
        <v>9.7337500000000006</v>
      </c>
      <c r="Y38">
        <f>VLOOKUP($B38,'[1]Plant data'!$A$1:$AB$315,7,0)</f>
        <v>17.306249999999999</v>
      </c>
      <c r="Z38">
        <f>VLOOKUP($B38,'[1]Plant data'!$A$1:$AB$315,8,0)</f>
        <v>7.2966666666666669</v>
      </c>
      <c r="AA38">
        <f>VLOOKUP($B38,'[1]Plant data'!$A$1:$AB$315,9,0)</f>
        <v>9.4324999999999992</v>
      </c>
      <c r="AB38">
        <f>VLOOKUP($B38,'[1]Plant data'!$A$1:$AB$315,10,0)</f>
        <v>0.93490624999999994</v>
      </c>
      <c r="AC38">
        <f>VLOOKUP($B38,'[1]Plant data'!$A$1:$AB$315,11,0)</f>
        <v>0.39499999999999996</v>
      </c>
      <c r="AD38">
        <f>VLOOKUP($B38,'[1]Plant data'!$A$1:$AB$315,12,0)</f>
        <v>0.139125</v>
      </c>
      <c r="AE38">
        <f>VLOOKUP($B38,'[1]Plant data'!$A$1:$AB$315,13,0)</f>
        <v>0.51612499999999994</v>
      </c>
      <c r="AF38">
        <f>VLOOKUP($B38,'[1]Plant data'!$A$1:$AB$315,14,0)</f>
        <v>0.40368749999999998</v>
      </c>
      <c r="AG38">
        <f>VLOOKUP($B38,'[1]Plant data'!$A$1:$AB$315,15,0)</f>
        <v>3.0575000000000001</v>
      </c>
      <c r="AH38" t="str">
        <f>VLOOKUP($B38,'[1]Plant data'!$A$1:$AB$315,16,0)</f>
        <v>NA</v>
      </c>
      <c r="AI38">
        <f>VLOOKUP($B38,'[1]Plant data'!$A$1:$AB$315,17,0)</f>
        <v>1.7440896870929297</v>
      </c>
      <c r="AJ38" t="str">
        <f>VLOOKUP($B38,'[1]Plant data'!$A$1:$AB$315,18,0)</f>
        <v>Cazetta 2007, Erica&amp;Wesley, Motta Jr. 1981, Pizo &amp; Oliveira 2001</v>
      </c>
      <c r="AK38">
        <f>VLOOKUP($B38,'[1]Plant data'!$A$1:$AB$315,19,0)</f>
        <v>0.40903333333333336</v>
      </c>
      <c r="AL38">
        <f>VLOOKUP($B38,'[1]Plant data'!$A$1:$AB$315,20,0)</f>
        <v>0.71116666666666661</v>
      </c>
      <c r="AM38">
        <f>VLOOKUP($B38,'[1]Plant data'!$A$1:$AB$315,21,0)</f>
        <v>8.8350000000000012E-2</v>
      </c>
      <c r="AN38">
        <f>VLOOKUP($B38,'[1]Plant data'!$A$1:$AB$315,22,0)</f>
        <v>1.1599999999999999E-2</v>
      </c>
      <c r="AO38" t="str">
        <f>VLOOKUP($B38,'[1]Plant data'!$A$1:$AB$315,23,0)</f>
        <v>NA</v>
      </c>
      <c r="AP38" t="str">
        <f>VLOOKUP($B38,'[1]Plant data'!$A$1:$AB$315,24,0)</f>
        <v>NA</v>
      </c>
      <c r="AQ38">
        <f>VLOOKUP($B38,'[1]Plant data'!$A$1:$AB$315,25,0)</f>
        <v>0.16500000000000001</v>
      </c>
      <c r="AR38">
        <f>VLOOKUP($B38,'[1]Plant data'!$A$1:$AB$315,26,0)</f>
        <v>2.3E-2</v>
      </c>
      <c r="AS38" t="str">
        <f>VLOOKUP($B38,'[1]Plant data'!$A$1:$AB$315,27,0)</f>
        <v>NA</v>
      </c>
      <c r="AT38" t="str">
        <f>VLOOKUP($B38,'[1]Plant data'!$A$1:$AB$315,28,0)</f>
        <v>Cazetta 2007, Erica &amp; Wesley unpubl., Pizo &amp; Oliveira 2001, Motta Jr. 1981</v>
      </c>
    </row>
    <row r="39" spans="1:46">
      <c r="A39" s="21" t="s">
        <v>50</v>
      </c>
      <c r="B39" s="22" t="s">
        <v>227</v>
      </c>
      <c r="C39" s="16">
        <v>11</v>
      </c>
      <c r="D39" s="16">
        <v>32</v>
      </c>
      <c r="E39" s="23">
        <f>C39/32</f>
        <v>0.34375</v>
      </c>
      <c r="F39" s="16">
        <v>22</v>
      </c>
      <c r="G39" s="19">
        <v>2</v>
      </c>
      <c r="H39" s="19"/>
      <c r="I39" s="8">
        <f>E39*G39</f>
        <v>0.6875</v>
      </c>
      <c r="J39" s="16" t="s">
        <v>224</v>
      </c>
      <c r="K39" s="16" t="s">
        <v>225</v>
      </c>
      <c r="L39" s="16" t="s">
        <v>22</v>
      </c>
      <c r="M39" s="16" t="s">
        <v>47</v>
      </c>
      <c r="N39" s="17">
        <v>69.5</v>
      </c>
      <c r="O39" s="17">
        <v>13.253214290000001</v>
      </c>
      <c r="P39" s="16" t="s">
        <v>48</v>
      </c>
      <c r="Q39" s="16" t="s">
        <v>25</v>
      </c>
      <c r="R39" s="16" t="s">
        <v>26</v>
      </c>
      <c r="S39" s="16" t="s">
        <v>31</v>
      </c>
      <c r="T39" t="str">
        <f>VLOOKUP(B39,'[1]Plant data'!$A$1:$AB$315,2,0)</f>
        <v>Meliaceae</v>
      </c>
      <c r="U39" t="str">
        <f>VLOOKUP($B39,'[1]Plant data'!$A$1:$AB$315,3,0)</f>
        <v>NA</v>
      </c>
      <c r="V39" t="str">
        <f>VLOOKUP($B39,'[1]Plant data'!$A$1:$AB$315,4,0)</f>
        <v>red</v>
      </c>
      <c r="W39" t="str">
        <f>VLOOKUP($B39,'[1]Plant data'!$A$1:$AB$315,5,0)</f>
        <v>YES</v>
      </c>
      <c r="X39">
        <f>VLOOKUP($B39,'[1]Plant data'!$A$1:$AB$315,6,0)</f>
        <v>9.7337500000000006</v>
      </c>
      <c r="Y39">
        <f>VLOOKUP($B39,'[1]Plant data'!$A$1:$AB$315,7,0)</f>
        <v>17.306249999999999</v>
      </c>
      <c r="Z39">
        <f>VLOOKUP($B39,'[1]Plant data'!$A$1:$AB$315,8,0)</f>
        <v>7.2966666666666669</v>
      </c>
      <c r="AA39">
        <f>VLOOKUP($B39,'[1]Plant data'!$A$1:$AB$315,9,0)</f>
        <v>9.4324999999999992</v>
      </c>
      <c r="AB39">
        <f>VLOOKUP($B39,'[1]Plant data'!$A$1:$AB$315,10,0)</f>
        <v>0.93490624999999994</v>
      </c>
      <c r="AC39">
        <f>VLOOKUP($B39,'[1]Plant data'!$A$1:$AB$315,11,0)</f>
        <v>0.39499999999999996</v>
      </c>
      <c r="AD39">
        <f>VLOOKUP($B39,'[1]Plant data'!$A$1:$AB$315,12,0)</f>
        <v>0.139125</v>
      </c>
      <c r="AE39">
        <f>VLOOKUP($B39,'[1]Plant data'!$A$1:$AB$315,13,0)</f>
        <v>0.51612499999999994</v>
      </c>
      <c r="AF39">
        <f>VLOOKUP($B39,'[1]Plant data'!$A$1:$AB$315,14,0)</f>
        <v>0.40368749999999998</v>
      </c>
      <c r="AG39">
        <f>VLOOKUP($B39,'[1]Plant data'!$A$1:$AB$315,15,0)</f>
        <v>3.0575000000000001</v>
      </c>
      <c r="AH39" t="str">
        <f>VLOOKUP($B39,'[1]Plant data'!$A$1:$AB$315,16,0)</f>
        <v>NA</v>
      </c>
      <c r="AI39">
        <f>VLOOKUP($B39,'[1]Plant data'!$A$1:$AB$315,17,0)</f>
        <v>1.7440896870929297</v>
      </c>
      <c r="AJ39" t="str">
        <f>VLOOKUP($B39,'[1]Plant data'!$A$1:$AB$315,18,0)</f>
        <v>Cazetta 2007, Erica&amp;Wesley, Motta Jr. 1981, Pizo &amp; Oliveira 2001</v>
      </c>
      <c r="AK39">
        <f>VLOOKUP($B39,'[1]Plant data'!$A$1:$AB$315,19,0)</f>
        <v>0.40903333333333336</v>
      </c>
      <c r="AL39">
        <f>VLOOKUP($B39,'[1]Plant data'!$A$1:$AB$315,20,0)</f>
        <v>0.71116666666666661</v>
      </c>
      <c r="AM39">
        <f>VLOOKUP($B39,'[1]Plant data'!$A$1:$AB$315,21,0)</f>
        <v>8.8350000000000012E-2</v>
      </c>
      <c r="AN39">
        <f>VLOOKUP($B39,'[1]Plant data'!$A$1:$AB$315,22,0)</f>
        <v>1.1599999999999999E-2</v>
      </c>
      <c r="AO39" t="str">
        <f>VLOOKUP($B39,'[1]Plant data'!$A$1:$AB$315,23,0)</f>
        <v>NA</v>
      </c>
      <c r="AP39" t="str">
        <f>VLOOKUP($B39,'[1]Plant data'!$A$1:$AB$315,24,0)</f>
        <v>NA</v>
      </c>
      <c r="AQ39">
        <f>VLOOKUP($B39,'[1]Plant data'!$A$1:$AB$315,25,0)</f>
        <v>0.16500000000000001</v>
      </c>
      <c r="AR39">
        <f>VLOOKUP($B39,'[1]Plant data'!$A$1:$AB$315,26,0)</f>
        <v>2.3E-2</v>
      </c>
      <c r="AS39" t="str">
        <f>VLOOKUP($B39,'[1]Plant data'!$A$1:$AB$315,27,0)</f>
        <v>NA</v>
      </c>
      <c r="AT39" t="str">
        <f>VLOOKUP($B39,'[1]Plant data'!$A$1:$AB$315,28,0)</f>
        <v>Cazetta 2007, Erica &amp; Wesley unpubl., Pizo &amp; Oliveira 2001, Motta Jr. 1981</v>
      </c>
    </row>
    <row r="40" spans="1:46">
      <c r="A40" s="5" t="s">
        <v>144</v>
      </c>
      <c r="B40" s="15" t="s">
        <v>227</v>
      </c>
      <c r="C40">
        <v>12</v>
      </c>
      <c r="D40">
        <v>70.2</v>
      </c>
      <c r="E40" s="8">
        <f t="shared" ref="E40:E46" si="1">C40/70.2</f>
        <v>0.17094017094017094</v>
      </c>
      <c r="F40" t="s">
        <v>19</v>
      </c>
      <c r="G40" t="s">
        <v>19</v>
      </c>
      <c r="I40" s="8" t="s">
        <v>19</v>
      </c>
      <c r="J40" t="s">
        <v>264</v>
      </c>
      <c r="K40" t="s">
        <v>123</v>
      </c>
      <c r="L40" t="s">
        <v>93</v>
      </c>
      <c r="M40" t="s">
        <v>94</v>
      </c>
      <c r="N40" s="11">
        <v>146</v>
      </c>
      <c r="O40" s="11">
        <v>23.6</v>
      </c>
      <c r="P40" t="s">
        <v>48</v>
      </c>
      <c r="Q40" t="s">
        <v>25</v>
      </c>
      <c r="R40" t="s">
        <v>145</v>
      </c>
      <c r="S40" t="s">
        <v>27</v>
      </c>
      <c r="T40" t="str">
        <f>VLOOKUP(B40,'[1]Plant data'!$A$1:$AB$315,2,0)</f>
        <v>Meliaceae</v>
      </c>
      <c r="U40" t="str">
        <f>VLOOKUP($B40,'[1]Plant data'!$A$1:$AB$315,3,0)</f>
        <v>NA</v>
      </c>
      <c r="V40" t="str">
        <f>VLOOKUP($B40,'[1]Plant data'!$A$1:$AB$315,4,0)</f>
        <v>red</v>
      </c>
      <c r="W40" t="str">
        <f>VLOOKUP($B40,'[1]Plant data'!$A$1:$AB$315,5,0)</f>
        <v>YES</v>
      </c>
      <c r="X40">
        <f>VLOOKUP($B40,'[1]Plant data'!$A$1:$AB$315,6,0)</f>
        <v>9.7337500000000006</v>
      </c>
      <c r="Y40">
        <f>VLOOKUP($B40,'[1]Plant data'!$A$1:$AB$315,7,0)</f>
        <v>17.306249999999999</v>
      </c>
      <c r="Z40">
        <f>VLOOKUP($B40,'[1]Plant data'!$A$1:$AB$315,8,0)</f>
        <v>7.2966666666666669</v>
      </c>
      <c r="AA40">
        <f>VLOOKUP($B40,'[1]Plant data'!$A$1:$AB$315,9,0)</f>
        <v>9.4324999999999992</v>
      </c>
      <c r="AB40">
        <f>VLOOKUP($B40,'[1]Plant data'!$A$1:$AB$315,10,0)</f>
        <v>0.93490624999999994</v>
      </c>
      <c r="AC40">
        <f>VLOOKUP($B40,'[1]Plant data'!$A$1:$AB$315,11,0)</f>
        <v>0.39499999999999996</v>
      </c>
      <c r="AD40">
        <f>VLOOKUP($B40,'[1]Plant data'!$A$1:$AB$315,12,0)</f>
        <v>0.139125</v>
      </c>
      <c r="AE40">
        <f>VLOOKUP($B40,'[1]Plant data'!$A$1:$AB$315,13,0)</f>
        <v>0.51612499999999994</v>
      </c>
      <c r="AF40">
        <f>VLOOKUP($B40,'[1]Plant data'!$A$1:$AB$315,14,0)</f>
        <v>0.40368749999999998</v>
      </c>
      <c r="AG40">
        <f>VLOOKUP($B40,'[1]Plant data'!$A$1:$AB$315,15,0)</f>
        <v>3.0575000000000001</v>
      </c>
      <c r="AH40" t="str">
        <f>VLOOKUP($B40,'[1]Plant data'!$A$1:$AB$315,16,0)</f>
        <v>NA</v>
      </c>
      <c r="AI40">
        <f>VLOOKUP($B40,'[1]Plant data'!$A$1:$AB$315,17,0)</f>
        <v>1.7440896870929297</v>
      </c>
      <c r="AJ40" t="str">
        <f>VLOOKUP($B40,'[1]Plant data'!$A$1:$AB$315,18,0)</f>
        <v>Cazetta 2007, Erica&amp;Wesley, Motta Jr. 1981, Pizo &amp; Oliveira 2001</v>
      </c>
      <c r="AK40">
        <f>VLOOKUP($B40,'[1]Plant data'!$A$1:$AB$315,19,0)</f>
        <v>0.40903333333333336</v>
      </c>
      <c r="AL40">
        <f>VLOOKUP($B40,'[1]Plant data'!$A$1:$AB$315,20,0)</f>
        <v>0.71116666666666661</v>
      </c>
      <c r="AM40">
        <f>VLOOKUP($B40,'[1]Plant data'!$A$1:$AB$315,21,0)</f>
        <v>8.8350000000000012E-2</v>
      </c>
      <c r="AN40">
        <f>VLOOKUP($B40,'[1]Plant data'!$A$1:$AB$315,22,0)</f>
        <v>1.1599999999999999E-2</v>
      </c>
      <c r="AO40" t="str">
        <f>VLOOKUP($B40,'[1]Plant data'!$A$1:$AB$315,23,0)</f>
        <v>NA</v>
      </c>
      <c r="AP40" t="str">
        <f>VLOOKUP($B40,'[1]Plant data'!$A$1:$AB$315,24,0)</f>
        <v>NA</v>
      </c>
      <c r="AQ40">
        <f>VLOOKUP($B40,'[1]Plant data'!$A$1:$AB$315,25,0)</f>
        <v>0.16500000000000001</v>
      </c>
      <c r="AR40">
        <f>VLOOKUP($B40,'[1]Plant data'!$A$1:$AB$315,26,0)</f>
        <v>2.3E-2</v>
      </c>
      <c r="AS40" t="str">
        <f>VLOOKUP($B40,'[1]Plant data'!$A$1:$AB$315,27,0)</f>
        <v>NA</v>
      </c>
      <c r="AT40" t="str">
        <f>VLOOKUP($B40,'[1]Plant data'!$A$1:$AB$315,28,0)</f>
        <v>Cazetta 2007, Erica &amp; Wesley unpubl., Pizo &amp; Oliveira 2001, Motta Jr. 1981</v>
      </c>
    </row>
    <row r="41" spans="1:46">
      <c r="A41" s="5" t="s">
        <v>90</v>
      </c>
      <c r="B41" s="6" t="s">
        <v>227</v>
      </c>
      <c r="C41" s="25">
        <v>7</v>
      </c>
      <c r="D41" s="25">
        <v>70.2</v>
      </c>
      <c r="E41" s="26">
        <f t="shared" si="1"/>
        <v>9.9715099715099717E-2</v>
      </c>
      <c r="F41" t="s">
        <v>19</v>
      </c>
      <c r="G41" s="41">
        <v>20</v>
      </c>
      <c r="H41" s="41"/>
      <c r="I41" s="8">
        <f t="shared" ref="I41:I61" si="2">E41*G41</f>
        <v>1.9943019943019944</v>
      </c>
      <c r="J41" t="s">
        <v>264</v>
      </c>
      <c r="K41" t="s">
        <v>123</v>
      </c>
      <c r="L41" t="s">
        <v>93</v>
      </c>
      <c r="M41" t="s">
        <v>94</v>
      </c>
      <c r="N41" s="11">
        <v>331</v>
      </c>
      <c r="O41" s="11">
        <v>30.7</v>
      </c>
      <c r="P41" t="s">
        <v>48</v>
      </c>
      <c r="Q41" t="s">
        <v>95</v>
      </c>
      <c r="R41" t="s">
        <v>26</v>
      </c>
      <c r="S41" t="s">
        <v>27</v>
      </c>
      <c r="T41" t="str">
        <f>VLOOKUP(B41,'[1]Plant data'!$A$1:$AB$315,2,0)</f>
        <v>Meliaceae</v>
      </c>
      <c r="U41" t="str">
        <f>VLOOKUP($B41,'[1]Plant data'!$A$1:$AB$315,3,0)</f>
        <v>NA</v>
      </c>
      <c r="V41" t="str">
        <f>VLOOKUP($B41,'[1]Plant data'!$A$1:$AB$315,4,0)</f>
        <v>red</v>
      </c>
      <c r="W41" t="str">
        <f>VLOOKUP($B41,'[1]Plant data'!$A$1:$AB$315,5,0)</f>
        <v>YES</v>
      </c>
      <c r="X41">
        <f>VLOOKUP($B41,'[1]Plant data'!$A$1:$AB$315,6,0)</f>
        <v>9.7337500000000006</v>
      </c>
      <c r="Y41">
        <f>VLOOKUP($B41,'[1]Plant data'!$A$1:$AB$315,7,0)</f>
        <v>17.306249999999999</v>
      </c>
      <c r="Z41">
        <f>VLOOKUP($B41,'[1]Plant data'!$A$1:$AB$315,8,0)</f>
        <v>7.2966666666666669</v>
      </c>
      <c r="AA41">
        <f>VLOOKUP($B41,'[1]Plant data'!$A$1:$AB$315,9,0)</f>
        <v>9.4324999999999992</v>
      </c>
      <c r="AB41">
        <f>VLOOKUP($B41,'[1]Plant data'!$A$1:$AB$315,10,0)</f>
        <v>0.93490624999999994</v>
      </c>
      <c r="AC41">
        <f>VLOOKUP($B41,'[1]Plant data'!$A$1:$AB$315,11,0)</f>
        <v>0.39499999999999996</v>
      </c>
      <c r="AD41">
        <f>VLOOKUP($B41,'[1]Plant data'!$A$1:$AB$315,12,0)</f>
        <v>0.139125</v>
      </c>
      <c r="AE41">
        <f>VLOOKUP($B41,'[1]Plant data'!$A$1:$AB$315,13,0)</f>
        <v>0.51612499999999994</v>
      </c>
      <c r="AF41">
        <f>VLOOKUP($B41,'[1]Plant data'!$A$1:$AB$315,14,0)</f>
        <v>0.40368749999999998</v>
      </c>
      <c r="AG41">
        <f>VLOOKUP($B41,'[1]Plant data'!$A$1:$AB$315,15,0)</f>
        <v>3.0575000000000001</v>
      </c>
      <c r="AH41" t="str">
        <f>VLOOKUP($B41,'[1]Plant data'!$A$1:$AB$315,16,0)</f>
        <v>NA</v>
      </c>
      <c r="AI41">
        <f>VLOOKUP($B41,'[1]Plant data'!$A$1:$AB$315,17,0)</f>
        <v>1.7440896870929297</v>
      </c>
      <c r="AJ41" t="str">
        <f>VLOOKUP($B41,'[1]Plant data'!$A$1:$AB$315,18,0)</f>
        <v>Cazetta 2007, Erica&amp;Wesley, Motta Jr. 1981, Pizo &amp; Oliveira 2001</v>
      </c>
      <c r="AK41">
        <f>VLOOKUP($B41,'[1]Plant data'!$A$1:$AB$315,19,0)</f>
        <v>0.40903333333333336</v>
      </c>
      <c r="AL41">
        <f>VLOOKUP($B41,'[1]Plant data'!$A$1:$AB$315,20,0)</f>
        <v>0.71116666666666661</v>
      </c>
      <c r="AM41">
        <f>VLOOKUP($B41,'[1]Plant data'!$A$1:$AB$315,21,0)</f>
        <v>8.8350000000000012E-2</v>
      </c>
      <c r="AN41">
        <f>VLOOKUP($B41,'[1]Plant data'!$A$1:$AB$315,22,0)</f>
        <v>1.1599999999999999E-2</v>
      </c>
      <c r="AO41" t="str">
        <f>VLOOKUP($B41,'[1]Plant data'!$A$1:$AB$315,23,0)</f>
        <v>NA</v>
      </c>
      <c r="AP41" t="str">
        <f>VLOOKUP($B41,'[1]Plant data'!$A$1:$AB$315,24,0)</f>
        <v>NA</v>
      </c>
      <c r="AQ41">
        <f>VLOOKUP($B41,'[1]Plant data'!$A$1:$AB$315,25,0)</f>
        <v>0.16500000000000001</v>
      </c>
      <c r="AR41">
        <f>VLOOKUP($B41,'[1]Plant data'!$A$1:$AB$315,26,0)</f>
        <v>2.3E-2</v>
      </c>
      <c r="AS41" t="str">
        <f>VLOOKUP($B41,'[1]Plant data'!$A$1:$AB$315,27,0)</f>
        <v>NA</v>
      </c>
      <c r="AT41" t="str">
        <f>VLOOKUP($B41,'[1]Plant data'!$A$1:$AB$315,28,0)</f>
        <v>Cazetta 2007, Erica &amp; Wesley unpubl., Pizo &amp; Oliveira 2001, Motta Jr. 1981</v>
      </c>
    </row>
    <row r="42" spans="1:46">
      <c r="A42" s="5" t="s">
        <v>105</v>
      </c>
      <c r="B42" s="14" t="s">
        <v>227</v>
      </c>
      <c r="C42">
        <v>1</v>
      </c>
      <c r="D42" s="25">
        <v>70.2</v>
      </c>
      <c r="E42" s="8">
        <f t="shared" si="1"/>
        <v>1.4245014245014245E-2</v>
      </c>
      <c r="F42" t="s">
        <v>19</v>
      </c>
      <c r="G42" s="41">
        <f>20</f>
        <v>20</v>
      </c>
      <c r="H42" s="41"/>
      <c r="I42" s="8">
        <f t="shared" si="2"/>
        <v>0.28490028490028491</v>
      </c>
      <c r="J42" t="s">
        <v>264</v>
      </c>
      <c r="K42" t="s">
        <v>123</v>
      </c>
      <c r="L42" t="s">
        <v>93</v>
      </c>
      <c r="M42" t="s">
        <v>94</v>
      </c>
      <c r="N42" s="11">
        <v>164</v>
      </c>
      <c r="O42" s="11">
        <v>25.039000000000001</v>
      </c>
      <c r="P42" t="s">
        <v>48</v>
      </c>
      <c r="Q42" t="s">
        <v>25</v>
      </c>
      <c r="R42" t="s">
        <v>26</v>
      </c>
      <c r="S42" t="s">
        <v>27</v>
      </c>
      <c r="T42" t="str">
        <f>VLOOKUP(B42,'[1]Plant data'!$A$1:$AB$315,2,0)</f>
        <v>Meliaceae</v>
      </c>
      <c r="U42" t="str">
        <f>VLOOKUP($B42,'[1]Plant data'!$A$1:$AB$315,3,0)</f>
        <v>NA</v>
      </c>
      <c r="V42" t="str">
        <f>VLOOKUP($B42,'[1]Plant data'!$A$1:$AB$315,4,0)</f>
        <v>red</v>
      </c>
      <c r="W42" t="str">
        <f>VLOOKUP($B42,'[1]Plant data'!$A$1:$AB$315,5,0)</f>
        <v>YES</v>
      </c>
      <c r="X42">
        <f>VLOOKUP($B42,'[1]Plant data'!$A$1:$AB$315,6,0)</f>
        <v>9.7337500000000006</v>
      </c>
      <c r="Y42">
        <f>VLOOKUP($B42,'[1]Plant data'!$A$1:$AB$315,7,0)</f>
        <v>17.306249999999999</v>
      </c>
      <c r="Z42">
        <f>VLOOKUP($B42,'[1]Plant data'!$A$1:$AB$315,8,0)</f>
        <v>7.2966666666666669</v>
      </c>
      <c r="AA42">
        <f>VLOOKUP($B42,'[1]Plant data'!$A$1:$AB$315,9,0)</f>
        <v>9.4324999999999992</v>
      </c>
      <c r="AB42">
        <f>VLOOKUP($B42,'[1]Plant data'!$A$1:$AB$315,10,0)</f>
        <v>0.93490624999999994</v>
      </c>
      <c r="AC42">
        <f>VLOOKUP($B42,'[1]Plant data'!$A$1:$AB$315,11,0)</f>
        <v>0.39499999999999996</v>
      </c>
      <c r="AD42">
        <f>VLOOKUP($B42,'[1]Plant data'!$A$1:$AB$315,12,0)</f>
        <v>0.139125</v>
      </c>
      <c r="AE42">
        <f>VLOOKUP($B42,'[1]Plant data'!$A$1:$AB$315,13,0)</f>
        <v>0.51612499999999994</v>
      </c>
      <c r="AF42">
        <f>VLOOKUP($B42,'[1]Plant data'!$A$1:$AB$315,14,0)</f>
        <v>0.40368749999999998</v>
      </c>
      <c r="AG42">
        <f>VLOOKUP($B42,'[1]Plant data'!$A$1:$AB$315,15,0)</f>
        <v>3.0575000000000001</v>
      </c>
      <c r="AH42" t="str">
        <f>VLOOKUP($B42,'[1]Plant data'!$A$1:$AB$315,16,0)</f>
        <v>NA</v>
      </c>
      <c r="AI42">
        <f>VLOOKUP($B42,'[1]Plant data'!$A$1:$AB$315,17,0)</f>
        <v>1.7440896870929297</v>
      </c>
      <c r="AJ42" t="str">
        <f>VLOOKUP($B42,'[1]Plant data'!$A$1:$AB$315,18,0)</f>
        <v>Cazetta 2007, Erica&amp;Wesley, Motta Jr. 1981, Pizo &amp; Oliveira 2001</v>
      </c>
      <c r="AK42">
        <f>VLOOKUP($B42,'[1]Plant data'!$A$1:$AB$315,19,0)</f>
        <v>0.40903333333333336</v>
      </c>
      <c r="AL42">
        <f>VLOOKUP($B42,'[1]Plant data'!$A$1:$AB$315,20,0)</f>
        <v>0.71116666666666661</v>
      </c>
      <c r="AM42">
        <f>VLOOKUP($B42,'[1]Plant data'!$A$1:$AB$315,21,0)</f>
        <v>8.8350000000000012E-2</v>
      </c>
      <c r="AN42">
        <f>VLOOKUP($B42,'[1]Plant data'!$A$1:$AB$315,22,0)</f>
        <v>1.1599999999999999E-2</v>
      </c>
      <c r="AO42" t="str">
        <f>VLOOKUP($B42,'[1]Plant data'!$A$1:$AB$315,23,0)</f>
        <v>NA</v>
      </c>
      <c r="AP42" t="str">
        <f>VLOOKUP($B42,'[1]Plant data'!$A$1:$AB$315,24,0)</f>
        <v>NA</v>
      </c>
      <c r="AQ42">
        <f>VLOOKUP($B42,'[1]Plant data'!$A$1:$AB$315,25,0)</f>
        <v>0.16500000000000001</v>
      </c>
      <c r="AR42">
        <f>VLOOKUP($B42,'[1]Plant data'!$A$1:$AB$315,26,0)</f>
        <v>2.3E-2</v>
      </c>
      <c r="AS42" t="str">
        <f>VLOOKUP($B42,'[1]Plant data'!$A$1:$AB$315,27,0)</f>
        <v>NA</v>
      </c>
      <c r="AT42" t="str">
        <f>VLOOKUP($B42,'[1]Plant data'!$A$1:$AB$315,28,0)</f>
        <v>Cazetta 2007, Erica &amp; Wesley unpubl., Pizo &amp; Oliveira 2001, Motta Jr. 1981</v>
      </c>
    </row>
    <row r="43" spans="1:46">
      <c r="A43" s="5" t="s">
        <v>106</v>
      </c>
      <c r="B43" s="14" t="s">
        <v>227</v>
      </c>
      <c r="C43">
        <v>129</v>
      </c>
      <c r="D43" s="25">
        <v>70.2</v>
      </c>
      <c r="E43" s="8">
        <f t="shared" si="1"/>
        <v>1.8376068376068375</v>
      </c>
      <c r="F43" t="s">
        <v>19</v>
      </c>
      <c r="G43" s="19">
        <v>4.8</v>
      </c>
      <c r="H43" s="19"/>
      <c r="I43" s="8">
        <f t="shared" si="2"/>
        <v>8.8205128205128194</v>
      </c>
      <c r="J43" t="s">
        <v>264</v>
      </c>
      <c r="K43" t="s">
        <v>123</v>
      </c>
      <c r="L43" t="s">
        <v>22</v>
      </c>
      <c r="M43" t="s">
        <v>75</v>
      </c>
      <c r="N43" s="11">
        <v>68.099999999999994</v>
      </c>
      <c r="O43" s="11">
        <v>16.570370369999999</v>
      </c>
      <c r="P43" t="s">
        <v>48</v>
      </c>
      <c r="Q43" t="s">
        <v>49</v>
      </c>
      <c r="R43" t="s">
        <v>26</v>
      </c>
      <c r="S43" t="s">
        <v>27</v>
      </c>
      <c r="T43" t="str">
        <f>VLOOKUP(B43,'[1]Plant data'!$A$1:$AB$315,2,0)</f>
        <v>Meliaceae</v>
      </c>
      <c r="U43" t="str">
        <f>VLOOKUP($B43,'[1]Plant data'!$A$1:$AB$315,3,0)</f>
        <v>NA</v>
      </c>
      <c r="V43" t="str">
        <f>VLOOKUP($B43,'[1]Plant data'!$A$1:$AB$315,4,0)</f>
        <v>red</v>
      </c>
      <c r="W43" t="str">
        <f>VLOOKUP($B43,'[1]Plant data'!$A$1:$AB$315,5,0)</f>
        <v>YES</v>
      </c>
      <c r="X43">
        <f>VLOOKUP($B43,'[1]Plant data'!$A$1:$AB$315,6,0)</f>
        <v>9.7337500000000006</v>
      </c>
      <c r="Y43">
        <f>VLOOKUP($B43,'[1]Plant data'!$A$1:$AB$315,7,0)</f>
        <v>17.306249999999999</v>
      </c>
      <c r="Z43">
        <f>VLOOKUP($B43,'[1]Plant data'!$A$1:$AB$315,8,0)</f>
        <v>7.2966666666666669</v>
      </c>
      <c r="AA43">
        <f>VLOOKUP($B43,'[1]Plant data'!$A$1:$AB$315,9,0)</f>
        <v>9.4324999999999992</v>
      </c>
      <c r="AB43">
        <f>VLOOKUP($B43,'[1]Plant data'!$A$1:$AB$315,10,0)</f>
        <v>0.93490624999999994</v>
      </c>
      <c r="AC43">
        <f>VLOOKUP($B43,'[1]Plant data'!$A$1:$AB$315,11,0)</f>
        <v>0.39499999999999996</v>
      </c>
      <c r="AD43">
        <f>VLOOKUP($B43,'[1]Plant data'!$A$1:$AB$315,12,0)</f>
        <v>0.139125</v>
      </c>
      <c r="AE43">
        <f>VLOOKUP($B43,'[1]Plant data'!$A$1:$AB$315,13,0)</f>
        <v>0.51612499999999994</v>
      </c>
      <c r="AF43">
        <f>VLOOKUP($B43,'[1]Plant data'!$A$1:$AB$315,14,0)</f>
        <v>0.40368749999999998</v>
      </c>
      <c r="AG43">
        <f>VLOOKUP($B43,'[1]Plant data'!$A$1:$AB$315,15,0)</f>
        <v>3.0575000000000001</v>
      </c>
      <c r="AH43" t="str">
        <f>VLOOKUP($B43,'[1]Plant data'!$A$1:$AB$315,16,0)</f>
        <v>NA</v>
      </c>
      <c r="AI43">
        <f>VLOOKUP($B43,'[1]Plant data'!$A$1:$AB$315,17,0)</f>
        <v>1.7440896870929297</v>
      </c>
      <c r="AJ43" t="str">
        <f>VLOOKUP($B43,'[1]Plant data'!$A$1:$AB$315,18,0)</f>
        <v>Cazetta 2007, Erica&amp;Wesley, Motta Jr. 1981, Pizo &amp; Oliveira 2001</v>
      </c>
      <c r="AK43">
        <f>VLOOKUP($B43,'[1]Plant data'!$A$1:$AB$315,19,0)</f>
        <v>0.40903333333333336</v>
      </c>
      <c r="AL43">
        <f>VLOOKUP($B43,'[1]Plant data'!$A$1:$AB$315,20,0)</f>
        <v>0.71116666666666661</v>
      </c>
      <c r="AM43">
        <f>VLOOKUP($B43,'[1]Plant data'!$A$1:$AB$315,21,0)</f>
        <v>8.8350000000000012E-2</v>
      </c>
      <c r="AN43">
        <f>VLOOKUP($B43,'[1]Plant data'!$A$1:$AB$315,22,0)</f>
        <v>1.1599999999999999E-2</v>
      </c>
      <c r="AO43" t="str">
        <f>VLOOKUP($B43,'[1]Plant data'!$A$1:$AB$315,23,0)</f>
        <v>NA</v>
      </c>
      <c r="AP43" t="str">
        <f>VLOOKUP($B43,'[1]Plant data'!$A$1:$AB$315,24,0)</f>
        <v>NA</v>
      </c>
      <c r="AQ43">
        <f>VLOOKUP($B43,'[1]Plant data'!$A$1:$AB$315,25,0)</f>
        <v>0.16500000000000001</v>
      </c>
      <c r="AR43">
        <f>VLOOKUP($B43,'[1]Plant data'!$A$1:$AB$315,26,0)</f>
        <v>2.3E-2</v>
      </c>
      <c r="AS43" t="str">
        <f>VLOOKUP($B43,'[1]Plant data'!$A$1:$AB$315,27,0)</f>
        <v>NA</v>
      </c>
      <c r="AT43" t="str">
        <f>VLOOKUP($B43,'[1]Plant data'!$A$1:$AB$315,28,0)</f>
        <v>Cazetta 2007, Erica &amp; Wesley unpubl., Pizo &amp; Oliveira 2001, Motta Jr. 1981</v>
      </c>
    </row>
    <row r="44" spans="1:46">
      <c r="A44" s="5" t="s">
        <v>124</v>
      </c>
      <c r="B44" s="6" t="s">
        <v>227</v>
      </c>
      <c r="C44" s="25">
        <v>3</v>
      </c>
      <c r="D44" s="25">
        <v>70.2</v>
      </c>
      <c r="E44" s="26">
        <f t="shared" si="1"/>
        <v>4.2735042735042736E-2</v>
      </c>
      <c r="F44" t="s">
        <v>19</v>
      </c>
      <c r="G44" s="41">
        <v>2</v>
      </c>
      <c r="H44" s="41"/>
      <c r="I44" s="8">
        <f t="shared" si="2"/>
        <v>8.5470085470085472E-2</v>
      </c>
      <c r="J44" t="s">
        <v>264</v>
      </c>
      <c r="K44" t="s">
        <v>123</v>
      </c>
      <c r="L44" t="s">
        <v>108</v>
      </c>
      <c r="M44" t="s">
        <v>109</v>
      </c>
      <c r="N44" s="11">
        <v>73.3</v>
      </c>
      <c r="O44" s="11">
        <v>17.52380952</v>
      </c>
      <c r="P44" t="s">
        <v>48</v>
      </c>
      <c r="Q44" t="s">
        <v>49</v>
      </c>
      <c r="R44" t="s">
        <v>26</v>
      </c>
      <c r="S44" t="s">
        <v>27</v>
      </c>
      <c r="T44" t="str">
        <f>VLOOKUP(B44,'[1]Plant data'!$A$1:$AB$315,2,0)</f>
        <v>Meliaceae</v>
      </c>
      <c r="U44" t="str">
        <f>VLOOKUP($B44,'[1]Plant data'!$A$1:$AB$315,3,0)</f>
        <v>NA</v>
      </c>
      <c r="V44" t="str">
        <f>VLOOKUP($B44,'[1]Plant data'!$A$1:$AB$315,4,0)</f>
        <v>red</v>
      </c>
      <c r="W44" t="str">
        <f>VLOOKUP($B44,'[1]Plant data'!$A$1:$AB$315,5,0)</f>
        <v>YES</v>
      </c>
      <c r="X44">
        <f>VLOOKUP($B44,'[1]Plant data'!$A$1:$AB$315,6,0)</f>
        <v>9.7337500000000006</v>
      </c>
      <c r="Y44">
        <f>VLOOKUP($B44,'[1]Plant data'!$A$1:$AB$315,7,0)</f>
        <v>17.306249999999999</v>
      </c>
      <c r="Z44">
        <f>VLOOKUP($B44,'[1]Plant data'!$A$1:$AB$315,8,0)</f>
        <v>7.2966666666666669</v>
      </c>
      <c r="AA44">
        <f>VLOOKUP($B44,'[1]Plant data'!$A$1:$AB$315,9,0)</f>
        <v>9.4324999999999992</v>
      </c>
      <c r="AB44">
        <f>VLOOKUP($B44,'[1]Plant data'!$A$1:$AB$315,10,0)</f>
        <v>0.93490624999999994</v>
      </c>
      <c r="AC44">
        <f>VLOOKUP($B44,'[1]Plant data'!$A$1:$AB$315,11,0)</f>
        <v>0.39499999999999996</v>
      </c>
      <c r="AD44">
        <f>VLOOKUP($B44,'[1]Plant data'!$A$1:$AB$315,12,0)</f>
        <v>0.139125</v>
      </c>
      <c r="AE44">
        <f>VLOOKUP($B44,'[1]Plant data'!$A$1:$AB$315,13,0)</f>
        <v>0.51612499999999994</v>
      </c>
      <c r="AF44">
        <f>VLOOKUP($B44,'[1]Plant data'!$A$1:$AB$315,14,0)</f>
        <v>0.40368749999999998</v>
      </c>
      <c r="AG44">
        <f>VLOOKUP($B44,'[1]Plant data'!$A$1:$AB$315,15,0)</f>
        <v>3.0575000000000001</v>
      </c>
      <c r="AH44" t="str">
        <f>VLOOKUP($B44,'[1]Plant data'!$A$1:$AB$315,16,0)</f>
        <v>NA</v>
      </c>
      <c r="AI44">
        <f>VLOOKUP($B44,'[1]Plant data'!$A$1:$AB$315,17,0)</f>
        <v>1.7440896870929297</v>
      </c>
      <c r="AJ44" t="str">
        <f>VLOOKUP($B44,'[1]Plant data'!$A$1:$AB$315,18,0)</f>
        <v>Cazetta 2007, Erica&amp;Wesley, Motta Jr. 1981, Pizo &amp; Oliveira 2001</v>
      </c>
      <c r="AK44">
        <f>VLOOKUP($B44,'[1]Plant data'!$A$1:$AB$315,19,0)</f>
        <v>0.40903333333333336</v>
      </c>
      <c r="AL44">
        <f>VLOOKUP($B44,'[1]Plant data'!$A$1:$AB$315,20,0)</f>
        <v>0.71116666666666661</v>
      </c>
      <c r="AM44">
        <f>VLOOKUP($B44,'[1]Plant data'!$A$1:$AB$315,21,0)</f>
        <v>8.8350000000000012E-2</v>
      </c>
      <c r="AN44">
        <f>VLOOKUP($B44,'[1]Plant data'!$A$1:$AB$315,22,0)</f>
        <v>1.1599999999999999E-2</v>
      </c>
      <c r="AO44" t="str">
        <f>VLOOKUP($B44,'[1]Plant data'!$A$1:$AB$315,23,0)</f>
        <v>NA</v>
      </c>
      <c r="AP44" t="str">
        <f>VLOOKUP($B44,'[1]Plant data'!$A$1:$AB$315,24,0)</f>
        <v>NA</v>
      </c>
      <c r="AQ44">
        <f>VLOOKUP($B44,'[1]Plant data'!$A$1:$AB$315,25,0)</f>
        <v>0.16500000000000001</v>
      </c>
      <c r="AR44">
        <f>VLOOKUP($B44,'[1]Plant data'!$A$1:$AB$315,26,0)</f>
        <v>2.3E-2</v>
      </c>
      <c r="AS44" t="str">
        <f>VLOOKUP($B44,'[1]Plant data'!$A$1:$AB$315,27,0)</f>
        <v>NA</v>
      </c>
      <c r="AT44" t="str">
        <f>VLOOKUP($B44,'[1]Plant data'!$A$1:$AB$315,28,0)</f>
        <v>Cazetta 2007, Erica &amp; Wesley unpubl., Pizo &amp; Oliveira 2001, Motta Jr. 1981</v>
      </c>
    </row>
    <row r="45" spans="1:46">
      <c r="A45" s="5" t="s">
        <v>46</v>
      </c>
      <c r="B45" s="6" t="s">
        <v>227</v>
      </c>
      <c r="C45">
        <v>30</v>
      </c>
      <c r="D45" s="25">
        <v>70.2</v>
      </c>
      <c r="E45" s="8">
        <f t="shared" si="1"/>
        <v>0.42735042735042733</v>
      </c>
      <c r="F45" t="s">
        <v>19</v>
      </c>
      <c r="G45" s="41">
        <v>1.7</v>
      </c>
      <c r="H45" s="41"/>
      <c r="I45" s="8">
        <f t="shared" si="2"/>
        <v>0.72649572649572647</v>
      </c>
      <c r="J45" t="s">
        <v>264</v>
      </c>
      <c r="K45" t="s">
        <v>123</v>
      </c>
      <c r="L45" t="s">
        <v>22</v>
      </c>
      <c r="M45" t="s">
        <v>47</v>
      </c>
      <c r="N45" s="11">
        <v>54</v>
      </c>
      <c r="O45" s="11">
        <v>11.14875</v>
      </c>
      <c r="P45" t="s">
        <v>48</v>
      </c>
      <c r="Q45" t="s">
        <v>49</v>
      </c>
      <c r="R45" t="s">
        <v>26</v>
      </c>
      <c r="S45" t="s">
        <v>31</v>
      </c>
      <c r="T45" t="str">
        <f>VLOOKUP(B45,'[1]Plant data'!$A$1:$AB$315,2,0)</f>
        <v>Meliaceae</v>
      </c>
      <c r="U45" t="str">
        <f>VLOOKUP($B45,'[1]Plant data'!$A$1:$AB$315,3,0)</f>
        <v>NA</v>
      </c>
      <c r="V45" t="str">
        <f>VLOOKUP($B45,'[1]Plant data'!$A$1:$AB$315,4,0)</f>
        <v>red</v>
      </c>
      <c r="W45" t="str">
        <f>VLOOKUP($B45,'[1]Plant data'!$A$1:$AB$315,5,0)</f>
        <v>YES</v>
      </c>
      <c r="X45">
        <f>VLOOKUP($B45,'[1]Plant data'!$A$1:$AB$315,6,0)</f>
        <v>9.7337500000000006</v>
      </c>
      <c r="Y45">
        <f>VLOOKUP($B45,'[1]Plant data'!$A$1:$AB$315,7,0)</f>
        <v>17.306249999999999</v>
      </c>
      <c r="Z45">
        <f>VLOOKUP($B45,'[1]Plant data'!$A$1:$AB$315,8,0)</f>
        <v>7.2966666666666669</v>
      </c>
      <c r="AA45">
        <f>VLOOKUP($B45,'[1]Plant data'!$A$1:$AB$315,9,0)</f>
        <v>9.4324999999999992</v>
      </c>
      <c r="AB45">
        <f>VLOOKUP($B45,'[1]Plant data'!$A$1:$AB$315,10,0)</f>
        <v>0.93490624999999994</v>
      </c>
      <c r="AC45">
        <f>VLOOKUP($B45,'[1]Plant data'!$A$1:$AB$315,11,0)</f>
        <v>0.39499999999999996</v>
      </c>
      <c r="AD45">
        <f>VLOOKUP($B45,'[1]Plant data'!$A$1:$AB$315,12,0)</f>
        <v>0.139125</v>
      </c>
      <c r="AE45">
        <f>VLOOKUP($B45,'[1]Plant data'!$A$1:$AB$315,13,0)</f>
        <v>0.51612499999999994</v>
      </c>
      <c r="AF45">
        <f>VLOOKUP($B45,'[1]Plant data'!$A$1:$AB$315,14,0)</f>
        <v>0.40368749999999998</v>
      </c>
      <c r="AG45">
        <f>VLOOKUP($B45,'[1]Plant data'!$A$1:$AB$315,15,0)</f>
        <v>3.0575000000000001</v>
      </c>
      <c r="AH45" t="str">
        <f>VLOOKUP($B45,'[1]Plant data'!$A$1:$AB$315,16,0)</f>
        <v>NA</v>
      </c>
      <c r="AI45">
        <f>VLOOKUP($B45,'[1]Plant data'!$A$1:$AB$315,17,0)</f>
        <v>1.7440896870929297</v>
      </c>
      <c r="AJ45" t="str">
        <f>VLOOKUP($B45,'[1]Plant data'!$A$1:$AB$315,18,0)</f>
        <v>Cazetta 2007, Erica&amp;Wesley, Motta Jr. 1981, Pizo &amp; Oliveira 2001</v>
      </c>
      <c r="AK45">
        <f>VLOOKUP($B45,'[1]Plant data'!$A$1:$AB$315,19,0)</f>
        <v>0.40903333333333336</v>
      </c>
      <c r="AL45">
        <f>VLOOKUP($B45,'[1]Plant data'!$A$1:$AB$315,20,0)</f>
        <v>0.71116666666666661</v>
      </c>
      <c r="AM45">
        <f>VLOOKUP($B45,'[1]Plant data'!$A$1:$AB$315,21,0)</f>
        <v>8.8350000000000012E-2</v>
      </c>
      <c r="AN45">
        <f>VLOOKUP($B45,'[1]Plant data'!$A$1:$AB$315,22,0)</f>
        <v>1.1599999999999999E-2</v>
      </c>
      <c r="AO45" t="str">
        <f>VLOOKUP($B45,'[1]Plant data'!$A$1:$AB$315,23,0)</f>
        <v>NA</v>
      </c>
      <c r="AP45" t="str">
        <f>VLOOKUP($B45,'[1]Plant data'!$A$1:$AB$315,24,0)</f>
        <v>NA</v>
      </c>
      <c r="AQ45">
        <f>VLOOKUP($B45,'[1]Plant data'!$A$1:$AB$315,25,0)</f>
        <v>0.16500000000000001</v>
      </c>
      <c r="AR45">
        <f>VLOOKUP($B45,'[1]Plant data'!$A$1:$AB$315,26,0)</f>
        <v>2.3E-2</v>
      </c>
      <c r="AS45" t="str">
        <f>VLOOKUP($B45,'[1]Plant data'!$A$1:$AB$315,27,0)</f>
        <v>NA</v>
      </c>
      <c r="AT45" t="str">
        <f>VLOOKUP($B45,'[1]Plant data'!$A$1:$AB$315,28,0)</f>
        <v>Cazetta 2007, Erica &amp; Wesley unpubl., Pizo &amp; Oliveira 2001, Motta Jr. 1981</v>
      </c>
    </row>
    <row r="46" spans="1:46">
      <c r="A46" s="5" t="s">
        <v>50</v>
      </c>
      <c r="B46" s="14" t="s">
        <v>227</v>
      </c>
      <c r="C46">
        <v>13</v>
      </c>
      <c r="D46" s="25">
        <v>70.2</v>
      </c>
      <c r="E46" s="8">
        <f t="shared" si="1"/>
        <v>0.18518518518518517</v>
      </c>
      <c r="F46" t="s">
        <v>19</v>
      </c>
      <c r="G46" s="41">
        <v>2</v>
      </c>
      <c r="H46" s="41"/>
      <c r="I46" s="8">
        <f t="shared" si="2"/>
        <v>0.37037037037037035</v>
      </c>
      <c r="J46" t="s">
        <v>264</v>
      </c>
      <c r="K46" t="s">
        <v>123</v>
      </c>
      <c r="L46" t="s">
        <v>22</v>
      </c>
      <c r="M46" t="s">
        <v>47</v>
      </c>
      <c r="N46" s="11">
        <v>69.5</v>
      </c>
      <c r="O46" s="11">
        <v>13.253214290000001</v>
      </c>
      <c r="P46" t="s">
        <v>48</v>
      </c>
      <c r="Q46" t="s">
        <v>25</v>
      </c>
      <c r="R46" t="s">
        <v>26</v>
      </c>
      <c r="S46" t="s">
        <v>31</v>
      </c>
      <c r="T46" t="str">
        <f>VLOOKUP(B46,'[1]Plant data'!$A$1:$AB$315,2,0)</f>
        <v>Meliaceae</v>
      </c>
      <c r="U46" t="str">
        <f>VLOOKUP($B46,'[1]Plant data'!$A$1:$AB$315,3,0)</f>
        <v>NA</v>
      </c>
      <c r="V46" t="str">
        <f>VLOOKUP($B46,'[1]Plant data'!$A$1:$AB$315,4,0)</f>
        <v>red</v>
      </c>
      <c r="W46" t="str">
        <f>VLOOKUP($B46,'[1]Plant data'!$A$1:$AB$315,5,0)</f>
        <v>YES</v>
      </c>
      <c r="X46">
        <f>VLOOKUP($B46,'[1]Plant data'!$A$1:$AB$315,6,0)</f>
        <v>9.7337500000000006</v>
      </c>
      <c r="Y46">
        <f>VLOOKUP($B46,'[1]Plant data'!$A$1:$AB$315,7,0)</f>
        <v>17.306249999999999</v>
      </c>
      <c r="Z46">
        <f>VLOOKUP($B46,'[1]Plant data'!$A$1:$AB$315,8,0)</f>
        <v>7.2966666666666669</v>
      </c>
      <c r="AA46">
        <f>VLOOKUP($B46,'[1]Plant data'!$A$1:$AB$315,9,0)</f>
        <v>9.4324999999999992</v>
      </c>
      <c r="AB46">
        <f>VLOOKUP($B46,'[1]Plant data'!$A$1:$AB$315,10,0)</f>
        <v>0.93490624999999994</v>
      </c>
      <c r="AC46">
        <f>VLOOKUP($B46,'[1]Plant data'!$A$1:$AB$315,11,0)</f>
        <v>0.39499999999999996</v>
      </c>
      <c r="AD46">
        <f>VLOOKUP($B46,'[1]Plant data'!$A$1:$AB$315,12,0)</f>
        <v>0.139125</v>
      </c>
      <c r="AE46">
        <f>VLOOKUP($B46,'[1]Plant data'!$A$1:$AB$315,13,0)</f>
        <v>0.51612499999999994</v>
      </c>
      <c r="AF46">
        <f>VLOOKUP($B46,'[1]Plant data'!$A$1:$AB$315,14,0)</f>
        <v>0.40368749999999998</v>
      </c>
      <c r="AG46">
        <f>VLOOKUP($B46,'[1]Plant data'!$A$1:$AB$315,15,0)</f>
        <v>3.0575000000000001</v>
      </c>
      <c r="AH46" t="str">
        <f>VLOOKUP($B46,'[1]Plant data'!$A$1:$AB$315,16,0)</f>
        <v>NA</v>
      </c>
      <c r="AI46">
        <f>VLOOKUP($B46,'[1]Plant data'!$A$1:$AB$315,17,0)</f>
        <v>1.7440896870929297</v>
      </c>
      <c r="AJ46" t="str">
        <f>VLOOKUP($B46,'[1]Plant data'!$A$1:$AB$315,18,0)</f>
        <v>Cazetta 2007, Erica&amp;Wesley, Motta Jr. 1981, Pizo &amp; Oliveira 2001</v>
      </c>
      <c r="AK46">
        <f>VLOOKUP($B46,'[1]Plant data'!$A$1:$AB$315,19,0)</f>
        <v>0.40903333333333336</v>
      </c>
      <c r="AL46">
        <f>VLOOKUP($B46,'[1]Plant data'!$A$1:$AB$315,20,0)</f>
        <v>0.71116666666666661</v>
      </c>
      <c r="AM46">
        <f>VLOOKUP($B46,'[1]Plant data'!$A$1:$AB$315,21,0)</f>
        <v>8.8350000000000012E-2</v>
      </c>
      <c r="AN46">
        <f>VLOOKUP($B46,'[1]Plant data'!$A$1:$AB$315,22,0)</f>
        <v>1.1599999999999999E-2</v>
      </c>
      <c r="AO46" t="str">
        <f>VLOOKUP($B46,'[1]Plant data'!$A$1:$AB$315,23,0)</f>
        <v>NA</v>
      </c>
      <c r="AP46" t="str">
        <f>VLOOKUP($B46,'[1]Plant data'!$A$1:$AB$315,24,0)</f>
        <v>NA</v>
      </c>
      <c r="AQ46">
        <f>VLOOKUP($B46,'[1]Plant data'!$A$1:$AB$315,25,0)</f>
        <v>0.16500000000000001</v>
      </c>
      <c r="AR46">
        <f>VLOOKUP($B46,'[1]Plant data'!$A$1:$AB$315,26,0)</f>
        <v>2.3E-2</v>
      </c>
      <c r="AS46" t="str">
        <f>VLOOKUP($B46,'[1]Plant data'!$A$1:$AB$315,27,0)</f>
        <v>NA</v>
      </c>
      <c r="AT46" t="str">
        <f>VLOOKUP($B46,'[1]Plant data'!$A$1:$AB$315,28,0)</f>
        <v>Cazetta 2007, Erica &amp; Wesley unpubl., Pizo &amp; Oliveira 2001, Motta Jr. 1981</v>
      </c>
    </row>
    <row r="47" spans="1:46">
      <c r="A47" s="5" t="s">
        <v>28</v>
      </c>
      <c r="B47" s="15" t="s">
        <v>82</v>
      </c>
      <c r="C47" s="7">
        <v>5</v>
      </c>
      <c r="D47" s="7">
        <v>22</v>
      </c>
      <c r="E47" s="8">
        <f>C47/D47</f>
        <v>0.22727272727272727</v>
      </c>
      <c r="F47">
        <v>17</v>
      </c>
      <c r="G47" s="19">
        <f>F47/C47</f>
        <v>3.4</v>
      </c>
      <c r="H47" s="19"/>
      <c r="I47" s="8">
        <f t="shared" si="2"/>
        <v>0.77272727272727271</v>
      </c>
      <c r="J47" t="s">
        <v>79</v>
      </c>
      <c r="K47" t="s">
        <v>80</v>
      </c>
      <c r="L47" t="s">
        <v>22</v>
      </c>
      <c r="M47" t="s">
        <v>30</v>
      </c>
      <c r="N47" s="11">
        <v>18</v>
      </c>
      <c r="O47" s="11">
        <v>7.4188405800000004</v>
      </c>
      <c r="P47" t="s">
        <v>24</v>
      </c>
      <c r="Q47" s="13" t="s">
        <v>25</v>
      </c>
      <c r="R47" s="13" t="s">
        <v>26</v>
      </c>
      <c r="S47" s="13" t="s">
        <v>31</v>
      </c>
      <c r="T47" t="str">
        <f>VLOOKUP(B47,'[1]Plant data'!$A$1:$AB$315,2,0)</f>
        <v>Salicaceae</v>
      </c>
      <c r="U47" t="str">
        <f>VLOOKUP($B47,'[1]Plant data'!$A$1:$AB$315,3,0)</f>
        <v>NA</v>
      </c>
      <c r="V47" t="str">
        <f>VLOOKUP($B47,'[1]Plant data'!$A$1:$AB$315,4,0)</f>
        <v>red</v>
      </c>
      <c r="W47" t="str">
        <f>VLOOKUP($B47,'[1]Plant data'!$A$1:$AB$315,5,0)</f>
        <v>YES</v>
      </c>
      <c r="X47">
        <f>VLOOKUP($B47,'[1]Plant data'!$A$1:$AB$315,6,0)</f>
        <v>5</v>
      </c>
      <c r="Y47">
        <f>VLOOKUP($B47,'[1]Plant data'!$A$1:$AB$315,7,0)</f>
        <v>4.5</v>
      </c>
      <c r="Z47">
        <f>VLOOKUP($B47,'[1]Plant data'!$A$1:$AB$315,8,0)</f>
        <v>1.335</v>
      </c>
      <c r="AA47">
        <f>VLOOKUP($B47,'[1]Plant data'!$A$1:$AB$315,9,0)</f>
        <v>2.1349999999999998</v>
      </c>
      <c r="AB47">
        <f>VLOOKUP($B47,'[1]Plant data'!$A$1:$AB$315,10,0)</f>
        <v>0.02</v>
      </c>
      <c r="AC47" t="str">
        <f>VLOOKUP($B47,'[1]Plant data'!$A$1:$AB$315,11,0)</f>
        <v>NA</v>
      </c>
      <c r="AD47">
        <f>VLOOKUP($B47,'[1]Plant data'!$A$1:$AB$315,12,0)</f>
        <v>3.3E-3</v>
      </c>
      <c r="AE47" t="str">
        <f>VLOOKUP($B47,'[1]Plant data'!$A$1:$AB$315,13,0)</f>
        <v>NA</v>
      </c>
      <c r="AF47" t="str">
        <f>VLOOKUP($B47,'[1]Plant data'!$A$1:$AB$315,14,0)</f>
        <v>NA</v>
      </c>
      <c r="AG47">
        <f>VLOOKUP($B47,'[1]Plant data'!$A$1:$AB$315,15,0)</f>
        <v>4</v>
      </c>
      <c r="AH47" t="str">
        <f>VLOOKUP($B47,'[1]Plant data'!$A$1:$AB$315,16,0)</f>
        <v>NA</v>
      </c>
      <c r="AI47" t="str">
        <f>VLOOKUP($B47,'[1]Plant data'!$A$1:$AB$315,17,0)</f>
        <v>NA</v>
      </c>
      <c r="AJ47" t="str">
        <f>VLOOKUP($B47,'[1]Plant data'!$A$1:$AB$315,18,0)</f>
        <v>ATLANTIC, Erica&amp;Wesley, Athie &amp; Dias 2012</v>
      </c>
      <c r="AK47" t="str">
        <f>VLOOKUP($B47,'[1]Plant data'!$A$1:$AB$315,19,0)</f>
        <v>NA</v>
      </c>
      <c r="AL47" t="str">
        <f>VLOOKUP($B47,'[1]Plant data'!$A$1:$AB$315,20,0)</f>
        <v>NA</v>
      </c>
      <c r="AM47" t="str">
        <f>VLOOKUP($B47,'[1]Plant data'!$A$1:$AB$315,21,0)</f>
        <v>NA</v>
      </c>
      <c r="AN47" t="str">
        <f>VLOOKUP($B47,'[1]Plant data'!$A$1:$AB$315,22,0)</f>
        <v>NA</v>
      </c>
      <c r="AO47" t="str">
        <f>VLOOKUP($B47,'[1]Plant data'!$A$1:$AB$315,23,0)</f>
        <v>NA</v>
      </c>
      <c r="AP47" t="str">
        <f>VLOOKUP($B47,'[1]Plant data'!$A$1:$AB$315,24,0)</f>
        <v>NA</v>
      </c>
      <c r="AQ47" t="str">
        <f>VLOOKUP($B47,'[1]Plant data'!$A$1:$AB$315,25,0)</f>
        <v>NA</v>
      </c>
      <c r="AR47" t="str">
        <f>VLOOKUP($B47,'[1]Plant data'!$A$1:$AB$315,26,0)</f>
        <v>NA</v>
      </c>
      <c r="AS47" t="str">
        <f>VLOOKUP($B47,'[1]Plant data'!$A$1:$AB$315,27,0)</f>
        <v>NA</v>
      </c>
      <c r="AT47" t="str">
        <f>VLOOKUP($B47,'[1]Plant data'!$A$1:$AB$315,28,0)</f>
        <v>NA</v>
      </c>
    </row>
    <row r="48" spans="1:46">
      <c r="A48" s="5" t="s">
        <v>43</v>
      </c>
      <c r="B48" s="14" t="s">
        <v>82</v>
      </c>
      <c r="C48">
        <v>9</v>
      </c>
      <c r="D48" s="7">
        <v>22</v>
      </c>
      <c r="E48" s="8">
        <f>C48/22</f>
        <v>0.40909090909090912</v>
      </c>
      <c r="F48">
        <v>17</v>
      </c>
      <c r="G48" s="19">
        <v>1</v>
      </c>
      <c r="H48" s="19"/>
      <c r="I48" s="8">
        <f t="shared" si="2"/>
        <v>0.40909090909090912</v>
      </c>
      <c r="J48" t="s">
        <v>79</v>
      </c>
      <c r="K48" t="s">
        <v>80</v>
      </c>
      <c r="L48" t="s">
        <v>22</v>
      </c>
      <c r="M48" t="s">
        <v>30</v>
      </c>
      <c r="N48" s="11">
        <v>32.5</v>
      </c>
      <c r="O48" s="11">
        <v>8.9205555560000001</v>
      </c>
      <c r="P48" t="s">
        <v>24</v>
      </c>
      <c r="Q48" t="s">
        <v>25</v>
      </c>
      <c r="R48" t="s">
        <v>26</v>
      </c>
      <c r="S48" t="s">
        <v>31</v>
      </c>
      <c r="T48" t="str">
        <f>VLOOKUP(B48,'[1]Plant data'!$A$1:$AB$315,2,0)</f>
        <v>Salicaceae</v>
      </c>
      <c r="U48" t="str">
        <f>VLOOKUP($B48,'[1]Plant data'!$A$1:$AB$315,3,0)</f>
        <v>NA</v>
      </c>
      <c r="V48" t="str">
        <f>VLOOKUP($B48,'[1]Plant data'!$A$1:$AB$315,4,0)</f>
        <v>red</v>
      </c>
      <c r="W48" t="str">
        <f>VLOOKUP($B48,'[1]Plant data'!$A$1:$AB$315,5,0)</f>
        <v>YES</v>
      </c>
      <c r="X48">
        <f>VLOOKUP($B48,'[1]Plant data'!$A$1:$AB$315,6,0)</f>
        <v>5</v>
      </c>
      <c r="Y48">
        <f>VLOOKUP($B48,'[1]Plant data'!$A$1:$AB$315,7,0)</f>
        <v>4.5</v>
      </c>
      <c r="Z48">
        <f>VLOOKUP($B48,'[1]Plant data'!$A$1:$AB$315,8,0)</f>
        <v>1.335</v>
      </c>
      <c r="AA48">
        <f>VLOOKUP($B48,'[1]Plant data'!$A$1:$AB$315,9,0)</f>
        <v>2.1349999999999998</v>
      </c>
      <c r="AB48">
        <f>VLOOKUP($B48,'[1]Plant data'!$A$1:$AB$315,10,0)</f>
        <v>0.02</v>
      </c>
      <c r="AC48" t="str">
        <f>VLOOKUP($B48,'[1]Plant data'!$A$1:$AB$315,11,0)</f>
        <v>NA</v>
      </c>
      <c r="AD48">
        <f>VLOOKUP($B48,'[1]Plant data'!$A$1:$AB$315,12,0)</f>
        <v>3.3E-3</v>
      </c>
      <c r="AE48" t="str">
        <f>VLOOKUP($B48,'[1]Plant data'!$A$1:$AB$315,13,0)</f>
        <v>NA</v>
      </c>
      <c r="AF48" t="str">
        <f>VLOOKUP($B48,'[1]Plant data'!$A$1:$AB$315,14,0)</f>
        <v>NA</v>
      </c>
      <c r="AG48">
        <f>VLOOKUP($B48,'[1]Plant data'!$A$1:$AB$315,15,0)</f>
        <v>4</v>
      </c>
      <c r="AH48" t="str">
        <f>VLOOKUP($B48,'[1]Plant data'!$A$1:$AB$315,16,0)</f>
        <v>NA</v>
      </c>
      <c r="AI48" t="str">
        <f>VLOOKUP($B48,'[1]Plant data'!$A$1:$AB$315,17,0)</f>
        <v>NA</v>
      </c>
      <c r="AJ48" t="str">
        <f>VLOOKUP($B48,'[1]Plant data'!$A$1:$AB$315,18,0)</f>
        <v>ATLANTIC, Erica&amp;Wesley, Athie &amp; Dias 2012</v>
      </c>
      <c r="AK48" t="str">
        <f>VLOOKUP($B48,'[1]Plant data'!$A$1:$AB$315,19,0)</f>
        <v>NA</v>
      </c>
      <c r="AL48" t="str">
        <f>VLOOKUP($B48,'[1]Plant data'!$A$1:$AB$315,20,0)</f>
        <v>NA</v>
      </c>
      <c r="AM48" t="str">
        <f>VLOOKUP($B48,'[1]Plant data'!$A$1:$AB$315,21,0)</f>
        <v>NA</v>
      </c>
      <c r="AN48" t="str">
        <f>VLOOKUP($B48,'[1]Plant data'!$A$1:$AB$315,22,0)</f>
        <v>NA</v>
      </c>
      <c r="AO48" t="str">
        <f>VLOOKUP($B48,'[1]Plant data'!$A$1:$AB$315,23,0)</f>
        <v>NA</v>
      </c>
      <c r="AP48" t="str">
        <f>VLOOKUP($B48,'[1]Plant data'!$A$1:$AB$315,24,0)</f>
        <v>NA</v>
      </c>
      <c r="AQ48" t="str">
        <f>VLOOKUP($B48,'[1]Plant data'!$A$1:$AB$315,25,0)</f>
        <v>NA</v>
      </c>
      <c r="AR48" t="str">
        <f>VLOOKUP($B48,'[1]Plant data'!$A$1:$AB$315,26,0)</f>
        <v>NA</v>
      </c>
      <c r="AS48" t="str">
        <f>VLOOKUP($B48,'[1]Plant data'!$A$1:$AB$315,27,0)</f>
        <v>NA</v>
      </c>
      <c r="AT48" t="str">
        <f>VLOOKUP($B48,'[1]Plant data'!$A$1:$AB$315,28,0)</f>
        <v>NA</v>
      </c>
    </row>
    <row r="49" spans="1:46">
      <c r="A49" s="5" t="s">
        <v>43</v>
      </c>
      <c r="B49" s="14" t="s">
        <v>82</v>
      </c>
      <c r="C49">
        <v>2</v>
      </c>
      <c r="D49">
        <v>0.5</v>
      </c>
      <c r="E49" s="8">
        <f>C49/0.5</f>
        <v>4</v>
      </c>
      <c r="F49" t="s">
        <v>19</v>
      </c>
      <c r="G49" s="41">
        <v>9.6230936819172115</v>
      </c>
      <c r="H49" s="27"/>
      <c r="I49" s="8">
        <f t="shared" si="2"/>
        <v>38.492374727668846</v>
      </c>
      <c r="J49" s="25" t="s">
        <v>180</v>
      </c>
      <c r="K49" s="25" t="s">
        <v>181</v>
      </c>
      <c r="L49" t="s">
        <v>22</v>
      </c>
      <c r="M49" t="s">
        <v>30</v>
      </c>
      <c r="N49" s="11">
        <v>32.5</v>
      </c>
      <c r="O49" s="11">
        <v>8.9205555560000001</v>
      </c>
      <c r="P49" t="s">
        <v>24</v>
      </c>
      <c r="Q49" t="s">
        <v>25</v>
      </c>
      <c r="R49" t="s">
        <v>26</v>
      </c>
      <c r="S49" t="s">
        <v>31</v>
      </c>
      <c r="T49" t="str">
        <f>VLOOKUP(B49,'[1]Plant data'!$A$1:$AB$315,2,0)</f>
        <v>Salicaceae</v>
      </c>
      <c r="U49" t="str">
        <f>VLOOKUP($B49,'[1]Plant data'!$A$1:$AB$315,3,0)</f>
        <v>NA</v>
      </c>
      <c r="V49" t="str">
        <f>VLOOKUP($B49,'[1]Plant data'!$A$1:$AB$315,4,0)</f>
        <v>red</v>
      </c>
      <c r="W49" t="str">
        <f>VLOOKUP($B49,'[1]Plant data'!$A$1:$AB$315,5,0)</f>
        <v>YES</v>
      </c>
      <c r="X49">
        <f>VLOOKUP($B49,'[1]Plant data'!$A$1:$AB$315,6,0)</f>
        <v>5</v>
      </c>
      <c r="Y49">
        <f>VLOOKUP($B49,'[1]Plant data'!$A$1:$AB$315,7,0)</f>
        <v>4.5</v>
      </c>
      <c r="Z49">
        <f>VLOOKUP($B49,'[1]Plant data'!$A$1:$AB$315,8,0)</f>
        <v>1.335</v>
      </c>
      <c r="AA49">
        <f>VLOOKUP($B49,'[1]Plant data'!$A$1:$AB$315,9,0)</f>
        <v>2.1349999999999998</v>
      </c>
      <c r="AB49">
        <f>VLOOKUP($B49,'[1]Plant data'!$A$1:$AB$315,10,0)</f>
        <v>0.02</v>
      </c>
      <c r="AC49" t="str">
        <f>VLOOKUP($B49,'[1]Plant data'!$A$1:$AB$315,11,0)</f>
        <v>NA</v>
      </c>
      <c r="AD49">
        <f>VLOOKUP($B49,'[1]Plant data'!$A$1:$AB$315,12,0)</f>
        <v>3.3E-3</v>
      </c>
      <c r="AE49" t="str">
        <f>VLOOKUP($B49,'[1]Plant data'!$A$1:$AB$315,13,0)</f>
        <v>NA</v>
      </c>
      <c r="AF49" t="str">
        <f>VLOOKUP($B49,'[1]Plant data'!$A$1:$AB$315,14,0)</f>
        <v>NA</v>
      </c>
      <c r="AG49">
        <f>VLOOKUP($B49,'[1]Plant data'!$A$1:$AB$315,15,0)</f>
        <v>4</v>
      </c>
      <c r="AH49" t="str">
        <f>VLOOKUP($B49,'[1]Plant data'!$A$1:$AB$315,16,0)</f>
        <v>NA</v>
      </c>
      <c r="AI49" t="str">
        <f>VLOOKUP($B49,'[1]Plant data'!$A$1:$AB$315,17,0)</f>
        <v>NA</v>
      </c>
      <c r="AJ49" t="str">
        <f>VLOOKUP($B49,'[1]Plant data'!$A$1:$AB$315,18,0)</f>
        <v>ATLANTIC, Erica&amp;Wesley, Athie &amp; Dias 2012</v>
      </c>
      <c r="AK49" t="str">
        <f>VLOOKUP($B49,'[1]Plant data'!$A$1:$AB$315,19,0)</f>
        <v>NA</v>
      </c>
      <c r="AL49" t="str">
        <f>VLOOKUP($B49,'[1]Plant data'!$A$1:$AB$315,20,0)</f>
        <v>NA</v>
      </c>
      <c r="AM49" t="str">
        <f>VLOOKUP($B49,'[1]Plant data'!$A$1:$AB$315,21,0)</f>
        <v>NA</v>
      </c>
      <c r="AN49" t="str">
        <f>VLOOKUP($B49,'[1]Plant data'!$A$1:$AB$315,22,0)</f>
        <v>NA</v>
      </c>
      <c r="AO49" t="str">
        <f>VLOOKUP($B49,'[1]Plant data'!$A$1:$AB$315,23,0)</f>
        <v>NA</v>
      </c>
      <c r="AP49" t="str">
        <f>VLOOKUP($B49,'[1]Plant data'!$A$1:$AB$315,24,0)</f>
        <v>NA</v>
      </c>
      <c r="AQ49" t="str">
        <f>VLOOKUP($B49,'[1]Plant data'!$A$1:$AB$315,25,0)</f>
        <v>NA</v>
      </c>
      <c r="AR49" t="str">
        <f>VLOOKUP($B49,'[1]Plant data'!$A$1:$AB$315,26,0)</f>
        <v>NA</v>
      </c>
      <c r="AS49" t="str">
        <f>VLOOKUP($B49,'[1]Plant data'!$A$1:$AB$315,27,0)</f>
        <v>NA</v>
      </c>
      <c r="AT49" t="str">
        <f>VLOOKUP($B49,'[1]Plant data'!$A$1:$AB$315,28,0)</f>
        <v>NA</v>
      </c>
    </row>
    <row r="50" spans="1:46">
      <c r="A50" s="5" t="s">
        <v>28</v>
      </c>
      <c r="B50" s="14" t="s">
        <v>82</v>
      </c>
      <c r="C50">
        <v>2</v>
      </c>
      <c r="D50" s="25">
        <v>102.3</v>
      </c>
      <c r="E50" s="8">
        <f>C50/D50</f>
        <v>1.9550342130987292E-2</v>
      </c>
      <c r="F50" t="s">
        <v>19</v>
      </c>
      <c r="G50" s="41">
        <v>3.4</v>
      </c>
      <c r="H50" s="41"/>
      <c r="I50" s="8">
        <f t="shared" si="2"/>
        <v>6.647116324535679E-2</v>
      </c>
      <c r="J50" s="25" t="s">
        <v>265</v>
      </c>
      <c r="K50" t="s">
        <v>266</v>
      </c>
      <c r="L50" t="s">
        <v>22</v>
      </c>
      <c r="M50" t="s">
        <v>30</v>
      </c>
      <c r="N50" s="11">
        <v>18</v>
      </c>
      <c r="O50" s="11">
        <v>7.4188405800000004</v>
      </c>
      <c r="P50" t="s">
        <v>24</v>
      </c>
      <c r="Q50" s="13" t="s">
        <v>25</v>
      </c>
      <c r="R50" s="13" t="s">
        <v>26</v>
      </c>
      <c r="S50" s="13" t="s">
        <v>31</v>
      </c>
      <c r="T50" t="str">
        <f>VLOOKUP(B50,'[1]Plant data'!$A$1:$AB$315,2,0)</f>
        <v>Salicaceae</v>
      </c>
      <c r="U50" t="str">
        <f>VLOOKUP($B50,'[1]Plant data'!$A$1:$AB$315,3,0)</f>
        <v>NA</v>
      </c>
      <c r="V50" t="str">
        <f>VLOOKUP($B50,'[1]Plant data'!$A$1:$AB$315,4,0)</f>
        <v>red</v>
      </c>
      <c r="W50" t="str">
        <f>VLOOKUP($B50,'[1]Plant data'!$A$1:$AB$315,5,0)</f>
        <v>YES</v>
      </c>
      <c r="X50">
        <f>VLOOKUP($B50,'[1]Plant data'!$A$1:$AB$315,6,0)</f>
        <v>5</v>
      </c>
      <c r="Y50">
        <f>VLOOKUP($B50,'[1]Plant data'!$A$1:$AB$315,7,0)</f>
        <v>4.5</v>
      </c>
      <c r="Z50">
        <f>VLOOKUP($B50,'[1]Plant data'!$A$1:$AB$315,8,0)</f>
        <v>1.335</v>
      </c>
      <c r="AA50">
        <f>VLOOKUP($B50,'[1]Plant data'!$A$1:$AB$315,9,0)</f>
        <v>2.1349999999999998</v>
      </c>
      <c r="AB50">
        <f>VLOOKUP($B50,'[1]Plant data'!$A$1:$AB$315,10,0)</f>
        <v>0.02</v>
      </c>
      <c r="AC50" t="str">
        <f>VLOOKUP($B50,'[1]Plant data'!$A$1:$AB$315,11,0)</f>
        <v>NA</v>
      </c>
      <c r="AD50">
        <f>VLOOKUP($B50,'[1]Plant data'!$A$1:$AB$315,12,0)</f>
        <v>3.3E-3</v>
      </c>
      <c r="AE50" t="str">
        <f>VLOOKUP($B50,'[1]Plant data'!$A$1:$AB$315,13,0)</f>
        <v>NA</v>
      </c>
      <c r="AF50" t="str">
        <f>VLOOKUP($B50,'[1]Plant data'!$A$1:$AB$315,14,0)</f>
        <v>NA</v>
      </c>
      <c r="AG50">
        <f>VLOOKUP($B50,'[1]Plant data'!$A$1:$AB$315,15,0)</f>
        <v>4</v>
      </c>
      <c r="AH50" t="str">
        <f>VLOOKUP($B50,'[1]Plant data'!$A$1:$AB$315,16,0)</f>
        <v>NA</v>
      </c>
      <c r="AI50" t="str">
        <f>VLOOKUP($B50,'[1]Plant data'!$A$1:$AB$315,17,0)</f>
        <v>NA</v>
      </c>
      <c r="AJ50" t="str">
        <f>VLOOKUP($B50,'[1]Plant data'!$A$1:$AB$315,18,0)</f>
        <v>ATLANTIC, Erica&amp;Wesley, Athie &amp; Dias 2012</v>
      </c>
      <c r="AK50" t="str">
        <f>VLOOKUP($B50,'[1]Plant data'!$A$1:$AB$315,19,0)</f>
        <v>NA</v>
      </c>
      <c r="AL50" t="str">
        <f>VLOOKUP($B50,'[1]Plant data'!$A$1:$AB$315,20,0)</f>
        <v>NA</v>
      </c>
      <c r="AM50" t="str">
        <f>VLOOKUP($B50,'[1]Plant data'!$A$1:$AB$315,21,0)</f>
        <v>NA</v>
      </c>
      <c r="AN50" t="str">
        <f>VLOOKUP($B50,'[1]Plant data'!$A$1:$AB$315,22,0)</f>
        <v>NA</v>
      </c>
      <c r="AO50" t="str">
        <f>VLOOKUP($B50,'[1]Plant data'!$A$1:$AB$315,23,0)</f>
        <v>NA</v>
      </c>
      <c r="AP50" t="str">
        <f>VLOOKUP($B50,'[1]Plant data'!$A$1:$AB$315,24,0)</f>
        <v>NA</v>
      </c>
      <c r="AQ50" t="str">
        <f>VLOOKUP($B50,'[1]Plant data'!$A$1:$AB$315,25,0)</f>
        <v>NA</v>
      </c>
      <c r="AR50" t="str">
        <f>VLOOKUP($B50,'[1]Plant data'!$A$1:$AB$315,26,0)</f>
        <v>NA</v>
      </c>
      <c r="AS50" t="str">
        <f>VLOOKUP($B50,'[1]Plant data'!$A$1:$AB$315,27,0)</f>
        <v>NA</v>
      </c>
      <c r="AT50" t="str">
        <f>VLOOKUP($B50,'[1]Plant data'!$A$1:$AB$315,28,0)</f>
        <v>NA</v>
      </c>
    </row>
    <row r="51" spans="1:46">
      <c r="A51" s="5" t="s">
        <v>43</v>
      </c>
      <c r="B51" s="14" t="s">
        <v>82</v>
      </c>
      <c r="C51">
        <v>51</v>
      </c>
      <c r="D51" s="25">
        <v>102.3</v>
      </c>
      <c r="E51" s="8">
        <f>C51/102.3</f>
        <v>0.49853372434017595</v>
      </c>
      <c r="F51">
        <v>1325</v>
      </c>
      <c r="G51" s="9">
        <f>F51/C51</f>
        <v>25.980392156862745</v>
      </c>
      <c r="H51" s="9"/>
      <c r="I51" s="8">
        <f t="shared" si="2"/>
        <v>12.952101661779082</v>
      </c>
      <c r="J51" s="25" t="s">
        <v>265</v>
      </c>
      <c r="K51" t="s">
        <v>266</v>
      </c>
      <c r="L51" t="s">
        <v>22</v>
      </c>
      <c r="M51" t="s">
        <v>30</v>
      </c>
      <c r="N51" s="11">
        <v>32.5</v>
      </c>
      <c r="O51" s="11">
        <v>8.9205555560000001</v>
      </c>
      <c r="P51" t="s">
        <v>24</v>
      </c>
      <c r="Q51" t="s">
        <v>25</v>
      </c>
      <c r="R51" t="s">
        <v>26</v>
      </c>
      <c r="S51" t="s">
        <v>31</v>
      </c>
      <c r="T51" t="str">
        <f>VLOOKUP(B51,'[1]Plant data'!$A$1:$AB$315,2,0)</f>
        <v>Salicaceae</v>
      </c>
      <c r="U51" t="str">
        <f>VLOOKUP($B51,'[1]Plant data'!$A$1:$AB$315,3,0)</f>
        <v>NA</v>
      </c>
      <c r="V51" t="str">
        <f>VLOOKUP($B51,'[1]Plant data'!$A$1:$AB$315,4,0)</f>
        <v>red</v>
      </c>
      <c r="W51" t="str">
        <f>VLOOKUP($B51,'[1]Plant data'!$A$1:$AB$315,5,0)</f>
        <v>YES</v>
      </c>
      <c r="X51">
        <f>VLOOKUP($B51,'[1]Plant data'!$A$1:$AB$315,6,0)</f>
        <v>5</v>
      </c>
      <c r="Y51">
        <f>VLOOKUP($B51,'[1]Plant data'!$A$1:$AB$315,7,0)</f>
        <v>4.5</v>
      </c>
      <c r="Z51">
        <f>VLOOKUP($B51,'[1]Plant data'!$A$1:$AB$315,8,0)</f>
        <v>1.335</v>
      </c>
      <c r="AA51">
        <f>VLOOKUP($B51,'[1]Plant data'!$A$1:$AB$315,9,0)</f>
        <v>2.1349999999999998</v>
      </c>
      <c r="AB51">
        <f>VLOOKUP($B51,'[1]Plant data'!$A$1:$AB$315,10,0)</f>
        <v>0.02</v>
      </c>
      <c r="AC51" t="str">
        <f>VLOOKUP($B51,'[1]Plant data'!$A$1:$AB$315,11,0)</f>
        <v>NA</v>
      </c>
      <c r="AD51">
        <f>VLOOKUP($B51,'[1]Plant data'!$A$1:$AB$315,12,0)</f>
        <v>3.3E-3</v>
      </c>
      <c r="AE51" t="str">
        <f>VLOOKUP($B51,'[1]Plant data'!$A$1:$AB$315,13,0)</f>
        <v>NA</v>
      </c>
      <c r="AF51" t="str">
        <f>VLOOKUP($B51,'[1]Plant data'!$A$1:$AB$315,14,0)</f>
        <v>NA</v>
      </c>
      <c r="AG51">
        <f>VLOOKUP($B51,'[1]Plant data'!$A$1:$AB$315,15,0)</f>
        <v>4</v>
      </c>
      <c r="AH51" t="str">
        <f>VLOOKUP($B51,'[1]Plant data'!$A$1:$AB$315,16,0)</f>
        <v>NA</v>
      </c>
      <c r="AI51" t="str">
        <f>VLOOKUP($B51,'[1]Plant data'!$A$1:$AB$315,17,0)</f>
        <v>NA</v>
      </c>
      <c r="AJ51" t="str">
        <f>VLOOKUP($B51,'[1]Plant data'!$A$1:$AB$315,18,0)</f>
        <v>ATLANTIC, Erica&amp;Wesley, Athie &amp; Dias 2012</v>
      </c>
      <c r="AK51" t="str">
        <f>VLOOKUP($B51,'[1]Plant data'!$A$1:$AB$315,19,0)</f>
        <v>NA</v>
      </c>
      <c r="AL51" t="str">
        <f>VLOOKUP($B51,'[1]Plant data'!$A$1:$AB$315,20,0)</f>
        <v>NA</v>
      </c>
      <c r="AM51" t="str">
        <f>VLOOKUP($B51,'[1]Plant data'!$A$1:$AB$315,21,0)</f>
        <v>NA</v>
      </c>
      <c r="AN51" t="str">
        <f>VLOOKUP($B51,'[1]Plant data'!$A$1:$AB$315,22,0)</f>
        <v>NA</v>
      </c>
      <c r="AO51" t="str">
        <f>VLOOKUP($B51,'[1]Plant data'!$A$1:$AB$315,23,0)</f>
        <v>NA</v>
      </c>
      <c r="AP51" t="str">
        <f>VLOOKUP($B51,'[1]Plant data'!$A$1:$AB$315,24,0)</f>
        <v>NA</v>
      </c>
      <c r="AQ51" t="str">
        <f>VLOOKUP($B51,'[1]Plant data'!$A$1:$AB$315,25,0)</f>
        <v>NA</v>
      </c>
      <c r="AR51" t="str">
        <f>VLOOKUP($B51,'[1]Plant data'!$A$1:$AB$315,26,0)</f>
        <v>NA</v>
      </c>
      <c r="AS51" t="str">
        <f>VLOOKUP($B51,'[1]Plant data'!$A$1:$AB$315,27,0)</f>
        <v>NA</v>
      </c>
      <c r="AT51" t="str">
        <f>VLOOKUP($B51,'[1]Plant data'!$A$1:$AB$315,28,0)</f>
        <v>NA</v>
      </c>
    </row>
    <row r="52" spans="1:46">
      <c r="A52" s="5" t="s">
        <v>110</v>
      </c>
      <c r="B52" s="14" t="s">
        <v>121</v>
      </c>
      <c r="C52">
        <v>1</v>
      </c>
      <c r="D52">
        <v>150</v>
      </c>
      <c r="E52" s="8">
        <f t="shared" ref="E52:E60" si="3">C52/D52</f>
        <v>6.6666666666666671E-3</v>
      </c>
      <c r="F52" s="9" t="s">
        <v>19</v>
      </c>
      <c r="G52" s="9">
        <v>1</v>
      </c>
      <c r="H52" s="27">
        <f t="shared" ref="H52:H79" si="4">G52/(Y52/O52)</f>
        <v>0.12950542005420054</v>
      </c>
      <c r="I52" s="8">
        <f t="shared" si="2"/>
        <v>6.6666666666666671E-3</v>
      </c>
      <c r="J52" s="16" t="s">
        <v>122</v>
      </c>
      <c r="K52" s="16" t="s">
        <v>123</v>
      </c>
      <c r="L52" t="s">
        <v>100</v>
      </c>
      <c r="M52" t="s">
        <v>101</v>
      </c>
      <c r="N52" s="11">
        <v>1250</v>
      </c>
      <c r="O52" s="11">
        <v>19.114999999999998</v>
      </c>
      <c r="P52" t="s">
        <v>48</v>
      </c>
      <c r="Q52" t="s">
        <v>95</v>
      </c>
      <c r="R52" t="s">
        <v>114</v>
      </c>
      <c r="S52" t="s">
        <v>27</v>
      </c>
      <c r="T52" t="str">
        <f>VLOOKUP(B52,'[1]Plant data'!$A$1:$AB$315,2,0)</f>
        <v>Urticaceae</v>
      </c>
      <c r="U52" t="str">
        <f>VLOOKUP($B52,'[1]Plant data'!$A$1:$AB$315,3,0)</f>
        <v>NA</v>
      </c>
      <c r="V52" t="str">
        <f>VLOOKUP($B52,'[1]Plant data'!$A$1:$AB$315,4,0)</f>
        <v>green</v>
      </c>
      <c r="W52" t="str">
        <f>VLOOKUP($B52,'[1]Plant data'!$A$1:$AB$315,5,0)</f>
        <v>YES</v>
      </c>
      <c r="X52">
        <f>VLOOKUP($B52,'[1]Plant data'!$A$1:$AB$315,6,0)</f>
        <v>11.2</v>
      </c>
      <c r="Y52">
        <f>VLOOKUP($B52,'[1]Plant data'!$A$1:$AB$315,7,0)</f>
        <v>147.6</v>
      </c>
      <c r="Z52">
        <f>VLOOKUP($B52,'[1]Plant data'!$A$1:$AB$315,8,0)</f>
        <v>1.37</v>
      </c>
      <c r="AA52">
        <f>VLOOKUP($B52,'[1]Plant data'!$A$1:$AB$315,9,0)</f>
        <v>2.4</v>
      </c>
      <c r="AB52">
        <f>VLOOKUP($B52,'[1]Plant data'!$A$1:$AB$315,10,0)</f>
        <v>14.87</v>
      </c>
      <c r="AC52" t="str">
        <f>VLOOKUP($B52,'[1]Plant data'!$A$1:$AB$315,11,0)</f>
        <v>NA</v>
      </c>
      <c r="AD52">
        <f>VLOOKUP($B52,'[1]Plant data'!$A$1:$AB$315,12,0)</f>
        <v>1.0000000000000002E-3</v>
      </c>
      <c r="AE52" t="str">
        <f>VLOOKUP($B52,'[1]Plant data'!$A$1:$AB$315,13,0)</f>
        <v>NA</v>
      </c>
      <c r="AF52" t="str">
        <f>VLOOKUP($B52,'[1]Plant data'!$A$1:$AB$315,14,0)</f>
        <v>NA</v>
      </c>
      <c r="AG52">
        <f>VLOOKUP($B52,'[1]Plant data'!$A$1:$AB$315,15,0)</f>
        <v>2964</v>
      </c>
      <c r="AH52" t="str">
        <f>VLOOKUP($B52,'[1]Plant data'!$A$1:$AB$315,16,0)</f>
        <v>NA</v>
      </c>
      <c r="AI52" t="str">
        <f>VLOOKUP($B52,'[1]Plant data'!$A$1:$AB$315,17,0)</f>
        <v>NA</v>
      </c>
      <c r="AJ52" t="str">
        <f>VLOOKUP($B52,'[1]Plant data'!$A$1:$AB$315,18,0)</f>
        <v>Erica&amp;Wesley</v>
      </c>
      <c r="AK52" t="str">
        <f>VLOOKUP($B52,'[1]Plant data'!$A$1:$AB$315,19,0)</f>
        <v>NA</v>
      </c>
      <c r="AL52">
        <f>VLOOKUP($B52,'[1]Plant data'!$A$1:$AB$315,20,0)</f>
        <v>3.7072243346005632E-2</v>
      </c>
      <c r="AM52">
        <f>VLOOKUP($B52,'[1]Plant data'!$A$1:$AB$315,21,0)</f>
        <v>0.12086333333333334</v>
      </c>
      <c r="AN52">
        <f>VLOOKUP($B52,'[1]Plant data'!$A$1:$AB$315,22,0)</f>
        <v>7.6045627376425846E-3</v>
      </c>
      <c r="AO52">
        <f>VLOOKUP($B52,'[1]Plant data'!$A$1:$AB$315,23,0)</f>
        <v>7.6846874408169827E-2</v>
      </c>
      <c r="AP52" t="str">
        <f>VLOOKUP($B52,'[1]Plant data'!$A$1:$AB$315,24,0)</f>
        <v>NA</v>
      </c>
      <c r="AQ52" t="str">
        <f>VLOOKUP($B52,'[1]Plant data'!$A$1:$AB$315,25,0)</f>
        <v>NA</v>
      </c>
      <c r="AR52" t="str">
        <f>VLOOKUP($B52,'[1]Plant data'!$A$1:$AB$315,26,0)</f>
        <v>NA</v>
      </c>
      <c r="AS52" t="str">
        <f>VLOOKUP($B52,'[1]Plant data'!$A$1:$AB$315,27,0)</f>
        <v>NA</v>
      </c>
      <c r="AT52" t="str">
        <f>VLOOKUP($B52,'[1]Plant data'!$A$1:$AB$315,28,0)</f>
        <v>Erica &amp; Wesley</v>
      </c>
    </row>
    <row r="53" spans="1:46">
      <c r="A53" s="5" t="s">
        <v>70</v>
      </c>
      <c r="B53" s="6" t="s">
        <v>121</v>
      </c>
      <c r="C53" s="29">
        <v>1</v>
      </c>
      <c r="D53">
        <v>150</v>
      </c>
      <c r="E53" s="8">
        <f t="shared" si="3"/>
        <v>6.6666666666666671E-3</v>
      </c>
      <c r="F53" s="27" t="s">
        <v>19</v>
      </c>
      <c r="G53" s="9">
        <v>1</v>
      </c>
      <c r="H53" s="27">
        <f t="shared" si="4"/>
        <v>4.6907665508130081E-2</v>
      </c>
      <c r="I53" s="8">
        <f t="shared" si="2"/>
        <v>6.6666666666666671E-3</v>
      </c>
      <c r="J53" s="16" t="s">
        <v>122</v>
      </c>
      <c r="K53" s="16" t="s">
        <v>123</v>
      </c>
      <c r="L53" t="s">
        <v>22</v>
      </c>
      <c r="M53" t="s">
        <v>23</v>
      </c>
      <c r="N53" s="11">
        <v>15</v>
      </c>
      <c r="O53" s="11">
        <v>6.9235714289999999</v>
      </c>
      <c r="P53" t="s">
        <v>24</v>
      </c>
      <c r="Q53" t="s">
        <v>25</v>
      </c>
      <c r="R53" t="s">
        <v>26</v>
      </c>
      <c r="S53" t="s">
        <v>27</v>
      </c>
      <c r="T53" t="str">
        <f>VLOOKUP(B53,'[1]Plant data'!$A$1:$AB$315,2,0)</f>
        <v>Urticaceae</v>
      </c>
      <c r="U53" t="str">
        <f>VLOOKUP($B53,'[1]Plant data'!$A$1:$AB$315,3,0)</f>
        <v>NA</v>
      </c>
      <c r="V53" t="str">
        <f>VLOOKUP($B53,'[1]Plant data'!$A$1:$AB$315,4,0)</f>
        <v>green</v>
      </c>
      <c r="W53" t="str">
        <f>VLOOKUP($B53,'[1]Plant data'!$A$1:$AB$315,5,0)</f>
        <v>YES</v>
      </c>
      <c r="X53">
        <f>VLOOKUP($B53,'[1]Plant data'!$A$1:$AB$315,6,0)</f>
        <v>11.2</v>
      </c>
      <c r="Y53">
        <f>VLOOKUP($B53,'[1]Plant data'!$A$1:$AB$315,7,0)</f>
        <v>147.6</v>
      </c>
      <c r="Z53">
        <f>VLOOKUP($B53,'[1]Plant data'!$A$1:$AB$315,8,0)</f>
        <v>1.37</v>
      </c>
      <c r="AA53">
        <f>VLOOKUP($B53,'[1]Plant data'!$A$1:$AB$315,9,0)</f>
        <v>2.4</v>
      </c>
      <c r="AB53">
        <f>VLOOKUP($B53,'[1]Plant data'!$A$1:$AB$315,10,0)</f>
        <v>14.87</v>
      </c>
      <c r="AC53" t="str">
        <f>VLOOKUP($B53,'[1]Plant data'!$A$1:$AB$315,11,0)</f>
        <v>NA</v>
      </c>
      <c r="AD53">
        <f>VLOOKUP($B53,'[1]Plant data'!$A$1:$AB$315,12,0)</f>
        <v>1.0000000000000002E-3</v>
      </c>
      <c r="AE53" t="str">
        <f>VLOOKUP($B53,'[1]Plant data'!$A$1:$AB$315,13,0)</f>
        <v>NA</v>
      </c>
      <c r="AF53" t="str">
        <f>VLOOKUP($B53,'[1]Plant data'!$A$1:$AB$315,14,0)</f>
        <v>NA</v>
      </c>
      <c r="AG53">
        <f>VLOOKUP($B53,'[1]Plant data'!$A$1:$AB$315,15,0)</f>
        <v>2964</v>
      </c>
      <c r="AH53" t="str">
        <f>VLOOKUP($B53,'[1]Plant data'!$A$1:$AB$315,16,0)</f>
        <v>NA</v>
      </c>
      <c r="AI53" t="str">
        <f>VLOOKUP($B53,'[1]Plant data'!$A$1:$AB$315,17,0)</f>
        <v>NA</v>
      </c>
      <c r="AJ53" t="str">
        <f>VLOOKUP($B53,'[1]Plant data'!$A$1:$AB$315,18,0)</f>
        <v>Erica&amp;Wesley</v>
      </c>
      <c r="AK53" t="str">
        <f>VLOOKUP($B53,'[1]Plant data'!$A$1:$AB$315,19,0)</f>
        <v>NA</v>
      </c>
      <c r="AL53">
        <f>VLOOKUP($B53,'[1]Plant data'!$A$1:$AB$315,20,0)</f>
        <v>3.7072243346005632E-2</v>
      </c>
      <c r="AM53">
        <f>VLOOKUP($B53,'[1]Plant data'!$A$1:$AB$315,21,0)</f>
        <v>0.12086333333333334</v>
      </c>
      <c r="AN53">
        <f>VLOOKUP($B53,'[1]Plant data'!$A$1:$AB$315,22,0)</f>
        <v>7.6045627376425846E-3</v>
      </c>
      <c r="AO53">
        <f>VLOOKUP($B53,'[1]Plant data'!$A$1:$AB$315,23,0)</f>
        <v>7.6846874408169827E-2</v>
      </c>
      <c r="AP53" t="str">
        <f>VLOOKUP($B53,'[1]Plant data'!$A$1:$AB$315,24,0)</f>
        <v>NA</v>
      </c>
      <c r="AQ53" t="str">
        <f>VLOOKUP($B53,'[1]Plant data'!$A$1:$AB$315,25,0)</f>
        <v>NA</v>
      </c>
      <c r="AR53" t="str">
        <f>VLOOKUP($B53,'[1]Plant data'!$A$1:$AB$315,26,0)</f>
        <v>NA</v>
      </c>
      <c r="AS53" t="str">
        <f>VLOOKUP($B53,'[1]Plant data'!$A$1:$AB$315,27,0)</f>
        <v>NA</v>
      </c>
      <c r="AT53" t="str">
        <f>VLOOKUP($B53,'[1]Plant data'!$A$1:$AB$315,28,0)</f>
        <v>Erica &amp; Wesley</v>
      </c>
    </row>
    <row r="54" spans="1:46">
      <c r="A54" s="5" t="s">
        <v>105</v>
      </c>
      <c r="B54" s="14" t="s">
        <v>121</v>
      </c>
      <c r="C54">
        <v>1</v>
      </c>
      <c r="D54">
        <v>150</v>
      </c>
      <c r="E54" s="8">
        <f t="shared" si="3"/>
        <v>6.6666666666666671E-3</v>
      </c>
      <c r="F54" s="27" t="s">
        <v>19</v>
      </c>
      <c r="G54" s="9">
        <v>1</v>
      </c>
      <c r="H54" s="27">
        <f t="shared" si="4"/>
        <v>0.16964092140921411</v>
      </c>
      <c r="I54" s="8">
        <f t="shared" si="2"/>
        <v>6.6666666666666671E-3</v>
      </c>
      <c r="J54" s="16" t="s">
        <v>122</v>
      </c>
      <c r="K54" s="16" t="s">
        <v>123</v>
      </c>
      <c r="L54" t="s">
        <v>93</v>
      </c>
      <c r="M54" t="s">
        <v>94</v>
      </c>
      <c r="N54" s="11">
        <v>164</v>
      </c>
      <c r="O54" s="11">
        <v>25.039000000000001</v>
      </c>
      <c r="P54" t="s">
        <v>48</v>
      </c>
      <c r="Q54" t="s">
        <v>25</v>
      </c>
      <c r="R54" t="s">
        <v>26</v>
      </c>
      <c r="S54" t="s">
        <v>27</v>
      </c>
      <c r="T54" t="str">
        <f>VLOOKUP(B54,'[1]Plant data'!$A$1:$AB$315,2,0)</f>
        <v>Urticaceae</v>
      </c>
      <c r="U54" t="str">
        <f>VLOOKUP($B54,'[1]Plant data'!$A$1:$AB$315,3,0)</f>
        <v>NA</v>
      </c>
      <c r="V54" t="str">
        <f>VLOOKUP($B54,'[1]Plant data'!$A$1:$AB$315,4,0)</f>
        <v>green</v>
      </c>
      <c r="W54" t="str">
        <f>VLOOKUP($B54,'[1]Plant data'!$A$1:$AB$315,5,0)</f>
        <v>YES</v>
      </c>
      <c r="X54">
        <f>VLOOKUP($B54,'[1]Plant data'!$A$1:$AB$315,6,0)</f>
        <v>11.2</v>
      </c>
      <c r="Y54">
        <f>VLOOKUP($B54,'[1]Plant data'!$A$1:$AB$315,7,0)</f>
        <v>147.6</v>
      </c>
      <c r="Z54">
        <f>VLOOKUP($B54,'[1]Plant data'!$A$1:$AB$315,8,0)</f>
        <v>1.37</v>
      </c>
      <c r="AA54">
        <f>VLOOKUP($B54,'[1]Plant data'!$A$1:$AB$315,9,0)</f>
        <v>2.4</v>
      </c>
      <c r="AB54">
        <f>VLOOKUP($B54,'[1]Plant data'!$A$1:$AB$315,10,0)</f>
        <v>14.87</v>
      </c>
      <c r="AC54" t="str">
        <f>VLOOKUP($B54,'[1]Plant data'!$A$1:$AB$315,11,0)</f>
        <v>NA</v>
      </c>
      <c r="AD54">
        <f>VLOOKUP($B54,'[1]Plant data'!$A$1:$AB$315,12,0)</f>
        <v>1.0000000000000002E-3</v>
      </c>
      <c r="AE54" t="str">
        <f>VLOOKUP($B54,'[1]Plant data'!$A$1:$AB$315,13,0)</f>
        <v>NA</v>
      </c>
      <c r="AF54" t="str">
        <f>VLOOKUP($B54,'[1]Plant data'!$A$1:$AB$315,14,0)</f>
        <v>NA</v>
      </c>
      <c r="AG54">
        <f>VLOOKUP($B54,'[1]Plant data'!$A$1:$AB$315,15,0)</f>
        <v>2964</v>
      </c>
      <c r="AH54" t="str">
        <f>VLOOKUP($B54,'[1]Plant data'!$A$1:$AB$315,16,0)</f>
        <v>NA</v>
      </c>
      <c r="AI54" t="str">
        <f>VLOOKUP($B54,'[1]Plant data'!$A$1:$AB$315,17,0)</f>
        <v>NA</v>
      </c>
      <c r="AJ54" t="str">
        <f>VLOOKUP($B54,'[1]Plant data'!$A$1:$AB$315,18,0)</f>
        <v>Erica&amp;Wesley</v>
      </c>
      <c r="AK54" t="str">
        <f>VLOOKUP($B54,'[1]Plant data'!$A$1:$AB$315,19,0)</f>
        <v>NA</v>
      </c>
      <c r="AL54">
        <f>VLOOKUP($B54,'[1]Plant data'!$A$1:$AB$315,20,0)</f>
        <v>3.7072243346005632E-2</v>
      </c>
      <c r="AM54">
        <f>VLOOKUP($B54,'[1]Plant data'!$A$1:$AB$315,21,0)</f>
        <v>0.12086333333333334</v>
      </c>
      <c r="AN54">
        <f>VLOOKUP($B54,'[1]Plant data'!$A$1:$AB$315,22,0)</f>
        <v>7.6045627376425846E-3</v>
      </c>
      <c r="AO54">
        <f>VLOOKUP($B54,'[1]Plant data'!$A$1:$AB$315,23,0)</f>
        <v>7.6846874408169827E-2</v>
      </c>
      <c r="AP54" t="str">
        <f>VLOOKUP($B54,'[1]Plant data'!$A$1:$AB$315,24,0)</f>
        <v>NA</v>
      </c>
      <c r="AQ54" t="str">
        <f>VLOOKUP($B54,'[1]Plant data'!$A$1:$AB$315,25,0)</f>
        <v>NA</v>
      </c>
      <c r="AR54" t="str">
        <f>VLOOKUP($B54,'[1]Plant data'!$A$1:$AB$315,26,0)</f>
        <v>NA</v>
      </c>
      <c r="AS54" t="str">
        <f>VLOOKUP($B54,'[1]Plant data'!$A$1:$AB$315,27,0)</f>
        <v>NA</v>
      </c>
      <c r="AT54" t="str">
        <f>VLOOKUP($B54,'[1]Plant data'!$A$1:$AB$315,28,0)</f>
        <v>Erica &amp; Wesley</v>
      </c>
    </row>
    <row r="55" spans="1:46">
      <c r="A55" s="5" t="s">
        <v>62</v>
      </c>
      <c r="B55" s="6" t="s">
        <v>121</v>
      </c>
      <c r="C55" s="7">
        <v>10</v>
      </c>
      <c r="D55">
        <v>150</v>
      </c>
      <c r="E55" s="8">
        <f t="shared" si="3"/>
        <v>6.6666666666666666E-2</v>
      </c>
      <c r="F55" s="27" t="s">
        <v>19</v>
      </c>
      <c r="G55" s="9">
        <v>1</v>
      </c>
      <c r="H55" s="27">
        <f t="shared" si="4"/>
        <v>4.1453735968834692E-2</v>
      </c>
      <c r="I55" s="8">
        <f t="shared" si="2"/>
        <v>6.6666666666666666E-2</v>
      </c>
      <c r="J55" s="43" t="s">
        <v>122</v>
      </c>
      <c r="K55" s="16" t="s">
        <v>123</v>
      </c>
      <c r="L55" t="s">
        <v>22</v>
      </c>
      <c r="M55" t="s">
        <v>30</v>
      </c>
      <c r="N55" s="11">
        <v>18.7</v>
      </c>
      <c r="O55" s="11">
        <v>6.1185714290000002</v>
      </c>
      <c r="P55" t="s">
        <v>24</v>
      </c>
      <c r="Q55" t="s">
        <v>25</v>
      </c>
      <c r="R55" t="s">
        <v>26</v>
      </c>
      <c r="S55" t="s">
        <v>31</v>
      </c>
      <c r="T55" t="str">
        <f>VLOOKUP(B55,'[1]Plant data'!$A$1:$AB$315,2,0)</f>
        <v>Urticaceae</v>
      </c>
      <c r="U55" t="str">
        <f>VLOOKUP($B55,'[1]Plant data'!$A$1:$AB$315,3,0)</f>
        <v>NA</v>
      </c>
      <c r="V55" t="str">
        <f>VLOOKUP($B55,'[1]Plant data'!$A$1:$AB$315,4,0)</f>
        <v>green</v>
      </c>
      <c r="W55" t="str">
        <f>VLOOKUP($B55,'[1]Plant data'!$A$1:$AB$315,5,0)</f>
        <v>YES</v>
      </c>
      <c r="X55">
        <f>VLOOKUP($B55,'[1]Plant data'!$A$1:$AB$315,6,0)</f>
        <v>11.2</v>
      </c>
      <c r="Y55">
        <f>VLOOKUP($B55,'[1]Plant data'!$A$1:$AB$315,7,0)</f>
        <v>147.6</v>
      </c>
      <c r="Z55">
        <f>VLOOKUP($B55,'[1]Plant data'!$A$1:$AB$315,8,0)</f>
        <v>1.37</v>
      </c>
      <c r="AA55">
        <f>VLOOKUP($B55,'[1]Plant data'!$A$1:$AB$315,9,0)</f>
        <v>2.4</v>
      </c>
      <c r="AB55">
        <f>VLOOKUP($B55,'[1]Plant data'!$A$1:$AB$315,10,0)</f>
        <v>14.87</v>
      </c>
      <c r="AC55" t="str">
        <f>VLOOKUP($B55,'[1]Plant data'!$A$1:$AB$315,11,0)</f>
        <v>NA</v>
      </c>
      <c r="AD55">
        <f>VLOOKUP($B55,'[1]Plant data'!$A$1:$AB$315,12,0)</f>
        <v>1.0000000000000002E-3</v>
      </c>
      <c r="AE55" t="str">
        <f>VLOOKUP($B55,'[1]Plant data'!$A$1:$AB$315,13,0)</f>
        <v>NA</v>
      </c>
      <c r="AF55" t="str">
        <f>VLOOKUP($B55,'[1]Plant data'!$A$1:$AB$315,14,0)</f>
        <v>NA</v>
      </c>
      <c r="AG55">
        <f>VLOOKUP($B55,'[1]Plant data'!$A$1:$AB$315,15,0)</f>
        <v>2964</v>
      </c>
      <c r="AH55" t="str">
        <f>VLOOKUP($B55,'[1]Plant data'!$A$1:$AB$315,16,0)</f>
        <v>NA</v>
      </c>
      <c r="AI55" t="str">
        <f>VLOOKUP($B55,'[1]Plant data'!$A$1:$AB$315,17,0)</f>
        <v>NA</v>
      </c>
      <c r="AJ55" t="str">
        <f>VLOOKUP($B55,'[1]Plant data'!$A$1:$AB$315,18,0)</f>
        <v>Erica&amp;Wesley</v>
      </c>
      <c r="AK55" t="str">
        <f>VLOOKUP($B55,'[1]Plant data'!$A$1:$AB$315,19,0)</f>
        <v>NA</v>
      </c>
      <c r="AL55">
        <f>VLOOKUP($B55,'[1]Plant data'!$A$1:$AB$315,20,0)</f>
        <v>3.7072243346005632E-2</v>
      </c>
      <c r="AM55">
        <f>VLOOKUP($B55,'[1]Plant data'!$A$1:$AB$315,21,0)</f>
        <v>0.12086333333333334</v>
      </c>
      <c r="AN55">
        <f>VLOOKUP($B55,'[1]Plant data'!$A$1:$AB$315,22,0)</f>
        <v>7.6045627376425846E-3</v>
      </c>
      <c r="AO55">
        <f>VLOOKUP($B55,'[1]Plant data'!$A$1:$AB$315,23,0)</f>
        <v>7.6846874408169827E-2</v>
      </c>
      <c r="AP55" t="str">
        <f>VLOOKUP($B55,'[1]Plant data'!$A$1:$AB$315,24,0)</f>
        <v>NA</v>
      </c>
      <c r="AQ55" t="str">
        <f>VLOOKUP($B55,'[1]Plant data'!$A$1:$AB$315,25,0)</f>
        <v>NA</v>
      </c>
      <c r="AR55" t="str">
        <f>VLOOKUP($B55,'[1]Plant data'!$A$1:$AB$315,26,0)</f>
        <v>NA</v>
      </c>
      <c r="AS55" t="str">
        <f>VLOOKUP($B55,'[1]Plant data'!$A$1:$AB$315,27,0)</f>
        <v>NA</v>
      </c>
      <c r="AT55" t="str">
        <f>VLOOKUP($B55,'[1]Plant data'!$A$1:$AB$315,28,0)</f>
        <v>Erica &amp; Wesley</v>
      </c>
    </row>
    <row r="56" spans="1:46">
      <c r="A56" s="21" t="s">
        <v>41</v>
      </c>
      <c r="B56" s="14" t="s">
        <v>121</v>
      </c>
      <c r="C56" s="16">
        <v>29</v>
      </c>
      <c r="D56">
        <v>150</v>
      </c>
      <c r="E56" s="8">
        <f t="shared" si="3"/>
        <v>0.19333333333333333</v>
      </c>
      <c r="F56" s="16" t="s">
        <v>19</v>
      </c>
      <c r="G56" s="19">
        <v>1.07</v>
      </c>
      <c r="H56" s="27">
        <f t="shared" si="4"/>
        <v>6.0053292770731716E-2</v>
      </c>
      <c r="I56" s="8">
        <f t="shared" si="2"/>
        <v>0.20686666666666667</v>
      </c>
      <c r="J56" s="16" t="s">
        <v>122</v>
      </c>
      <c r="K56" s="16" t="s">
        <v>123</v>
      </c>
      <c r="L56" s="16" t="s">
        <v>22</v>
      </c>
      <c r="M56" s="16" t="s">
        <v>30</v>
      </c>
      <c r="N56" s="17">
        <v>39</v>
      </c>
      <c r="O56" s="17">
        <v>8.2839869279999991</v>
      </c>
      <c r="P56" s="16" t="s">
        <v>24</v>
      </c>
      <c r="Q56" s="16" t="s">
        <v>25</v>
      </c>
      <c r="R56" s="16" t="s">
        <v>26</v>
      </c>
      <c r="S56" s="16" t="s">
        <v>31</v>
      </c>
      <c r="T56" t="str">
        <f>VLOOKUP(B56,'[1]Plant data'!$A$1:$AB$315,2,0)</f>
        <v>Urticaceae</v>
      </c>
      <c r="U56" t="str">
        <f>VLOOKUP($B56,'[1]Plant data'!$A$1:$AB$315,3,0)</f>
        <v>NA</v>
      </c>
      <c r="V56" t="str">
        <f>VLOOKUP($B56,'[1]Plant data'!$A$1:$AB$315,4,0)</f>
        <v>green</v>
      </c>
      <c r="W56" t="str">
        <f>VLOOKUP($B56,'[1]Plant data'!$A$1:$AB$315,5,0)</f>
        <v>YES</v>
      </c>
      <c r="X56">
        <f>VLOOKUP($B56,'[1]Plant data'!$A$1:$AB$315,6,0)</f>
        <v>11.2</v>
      </c>
      <c r="Y56">
        <f>VLOOKUP($B56,'[1]Plant data'!$A$1:$AB$315,7,0)</f>
        <v>147.6</v>
      </c>
      <c r="Z56">
        <f>VLOOKUP($B56,'[1]Plant data'!$A$1:$AB$315,8,0)</f>
        <v>1.37</v>
      </c>
      <c r="AA56">
        <f>VLOOKUP($B56,'[1]Plant data'!$A$1:$AB$315,9,0)</f>
        <v>2.4</v>
      </c>
      <c r="AB56">
        <f>VLOOKUP($B56,'[1]Plant data'!$A$1:$AB$315,10,0)</f>
        <v>14.87</v>
      </c>
      <c r="AC56" t="str">
        <f>VLOOKUP($B56,'[1]Plant data'!$A$1:$AB$315,11,0)</f>
        <v>NA</v>
      </c>
      <c r="AD56">
        <f>VLOOKUP($B56,'[1]Plant data'!$A$1:$AB$315,12,0)</f>
        <v>1.0000000000000002E-3</v>
      </c>
      <c r="AE56" t="str">
        <f>VLOOKUP($B56,'[1]Plant data'!$A$1:$AB$315,13,0)</f>
        <v>NA</v>
      </c>
      <c r="AF56" t="str">
        <f>VLOOKUP($B56,'[1]Plant data'!$A$1:$AB$315,14,0)</f>
        <v>NA</v>
      </c>
      <c r="AG56">
        <f>VLOOKUP($B56,'[1]Plant data'!$A$1:$AB$315,15,0)</f>
        <v>2964</v>
      </c>
      <c r="AH56" t="str">
        <f>VLOOKUP($B56,'[1]Plant data'!$A$1:$AB$315,16,0)</f>
        <v>NA</v>
      </c>
      <c r="AI56" t="str">
        <f>VLOOKUP($B56,'[1]Plant data'!$A$1:$AB$315,17,0)</f>
        <v>NA</v>
      </c>
      <c r="AJ56" t="str">
        <f>VLOOKUP($B56,'[1]Plant data'!$A$1:$AB$315,18,0)</f>
        <v>Erica&amp;Wesley</v>
      </c>
      <c r="AK56" t="str">
        <f>VLOOKUP($B56,'[1]Plant data'!$A$1:$AB$315,19,0)</f>
        <v>NA</v>
      </c>
      <c r="AL56">
        <f>VLOOKUP($B56,'[1]Plant data'!$A$1:$AB$315,20,0)</f>
        <v>3.7072243346005632E-2</v>
      </c>
      <c r="AM56">
        <f>VLOOKUP($B56,'[1]Plant data'!$A$1:$AB$315,21,0)</f>
        <v>0.12086333333333334</v>
      </c>
      <c r="AN56">
        <f>VLOOKUP($B56,'[1]Plant data'!$A$1:$AB$315,22,0)</f>
        <v>7.6045627376425846E-3</v>
      </c>
      <c r="AO56">
        <f>VLOOKUP($B56,'[1]Plant data'!$A$1:$AB$315,23,0)</f>
        <v>7.6846874408169827E-2</v>
      </c>
      <c r="AP56" t="str">
        <f>VLOOKUP($B56,'[1]Plant data'!$A$1:$AB$315,24,0)</f>
        <v>NA</v>
      </c>
      <c r="AQ56" t="str">
        <f>VLOOKUP($B56,'[1]Plant data'!$A$1:$AB$315,25,0)</f>
        <v>NA</v>
      </c>
      <c r="AR56" t="str">
        <f>VLOOKUP($B56,'[1]Plant data'!$A$1:$AB$315,26,0)</f>
        <v>NA</v>
      </c>
      <c r="AS56" t="str">
        <f>VLOOKUP($B56,'[1]Plant data'!$A$1:$AB$315,27,0)</f>
        <v>NA</v>
      </c>
      <c r="AT56" t="str">
        <f>VLOOKUP($B56,'[1]Plant data'!$A$1:$AB$315,28,0)</f>
        <v>Erica &amp; Wesley</v>
      </c>
    </row>
    <row r="57" spans="1:46">
      <c r="A57" s="5" t="s">
        <v>106</v>
      </c>
      <c r="B57" s="14" t="s">
        <v>121</v>
      </c>
      <c r="C57">
        <v>1</v>
      </c>
      <c r="D57">
        <v>150</v>
      </c>
      <c r="E57" s="8">
        <f t="shared" si="3"/>
        <v>6.6666666666666671E-3</v>
      </c>
      <c r="F57" s="27" t="s">
        <v>19</v>
      </c>
      <c r="G57" s="9">
        <v>3</v>
      </c>
      <c r="H57" s="27">
        <f t="shared" si="4"/>
        <v>0.3367961457317073</v>
      </c>
      <c r="I57" s="8">
        <f t="shared" si="2"/>
        <v>0.02</v>
      </c>
      <c r="J57" s="16" t="s">
        <v>122</v>
      </c>
      <c r="K57" s="16" t="s">
        <v>123</v>
      </c>
      <c r="L57" t="s">
        <v>22</v>
      </c>
      <c r="M57" t="s">
        <v>75</v>
      </c>
      <c r="N57" s="11">
        <v>68.099999999999994</v>
      </c>
      <c r="O57" s="11">
        <v>16.570370369999999</v>
      </c>
      <c r="P57" t="s">
        <v>48</v>
      </c>
      <c r="Q57" t="s">
        <v>49</v>
      </c>
      <c r="R57" t="s">
        <v>26</v>
      </c>
      <c r="S57" t="s">
        <v>27</v>
      </c>
      <c r="T57" t="str">
        <f>VLOOKUP(B57,'[1]Plant data'!$A$1:$AB$315,2,0)</f>
        <v>Urticaceae</v>
      </c>
      <c r="U57" t="str">
        <f>VLOOKUP($B57,'[1]Plant data'!$A$1:$AB$315,3,0)</f>
        <v>NA</v>
      </c>
      <c r="V57" t="str">
        <f>VLOOKUP($B57,'[1]Plant data'!$A$1:$AB$315,4,0)</f>
        <v>green</v>
      </c>
      <c r="W57" t="str">
        <f>VLOOKUP($B57,'[1]Plant data'!$A$1:$AB$315,5,0)</f>
        <v>YES</v>
      </c>
      <c r="X57">
        <f>VLOOKUP($B57,'[1]Plant data'!$A$1:$AB$315,6,0)</f>
        <v>11.2</v>
      </c>
      <c r="Y57">
        <f>VLOOKUP($B57,'[1]Plant data'!$A$1:$AB$315,7,0)</f>
        <v>147.6</v>
      </c>
      <c r="Z57">
        <f>VLOOKUP($B57,'[1]Plant data'!$A$1:$AB$315,8,0)</f>
        <v>1.37</v>
      </c>
      <c r="AA57">
        <f>VLOOKUP($B57,'[1]Plant data'!$A$1:$AB$315,9,0)</f>
        <v>2.4</v>
      </c>
      <c r="AB57">
        <f>VLOOKUP($B57,'[1]Plant data'!$A$1:$AB$315,10,0)</f>
        <v>14.87</v>
      </c>
      <c r="AC57" t="str">
        <f>VLOOKUP($B57,'[1]Plant data'!$A$1:$AB$315,11,0)</f>
        <v>NA</v>
      </c>
      <c r="AD57">
        <f>VLOOKUP($B57,'[1]Plant data'!$A$1:$AB$315,12,0)</f>
        <v>1.0000000000000002E-3</v>
      </c>
      <c r="AE57" t="str">
        <f>VLOOKUP($B57,'[1]Plant data'!$A$1:$AB$315,13,0)</f>
        <v>NA</v>
      </c>
      <c r="AF57" t="str">
        <f>VLOOKUP($B57,'[1]Plant data'!$A$1:$AB$315,14,0)</f>
        <v>NA</v>
      </c>
      <c r="AG57">
        <f>VLOOKUP($B57,'[1]Plant data'!$A$1:$AB$315,15,0)</f>
        <v>2964</v>
      </c>
      <c r="AH57" t="str">
        <f>VLOOKUP($B57,'[1]Plant data'!$A$1:$AB$315,16,0)</f>
        <v>NA</v>
      </c>
      <c r="AI57" t="str">
        <f>VLOOKUP($B57,'[1]Plant data'!$A$1:$AB$315,17,0)</f>
        <v>NA</v>
      </c>
      <c r="AJ57" t="str">
        <f>VLOOKUP($B57,'[1]Plant data'!$A$1:$AB$315,18,0)</f>
        <v>Erica&amp;Wesley</v>
      </c>
      <c r="AK57" t="str">
        <f>VLOOKUP($B57,'[1]Plant data'!$A$1:$AB$315,19,0)</f>
        <v>NA</v>
      </c>
      <c r="AL57">
        <f>VLOOKUP($B57,'[1]Plant data'!$A$1:$AB$315,20,0)</f>
        <v>3.7072243346005632E-2</v>
      </c>
      <c r="AM57">
        <f>VLOOKUP($B57,'[1]Plant data'!$A$1:$AB$315,21,0)</f>
        <v>0.12086333333333334</v>
      </c>
      <c r="AN57">
        <f>VLOOKUP($B57,'[1]Plant data'!$A$1:$AB$315,22,0)</f>
        <v>7.6045627376425846E-3</v>
      </c>
      <c r="AO57">
        <f>VLOOKUP($B57,'[1]Plant data'!$A$1:$AB$315,23,0)</f>
        <v>7.6846874408169827E-2</v>
      </c>
      <c r="AP57" t="str">
        <f>VLOOKUP($B57,'[1]Plant data'!$A$1:$AB$315,24,0)</f>
        <v>NA</v>
      </c>
      <c r="AQ57" t="str">
        <f>VLOOKUP($B57,'[1]Plant data'!$A$1:$AB$315,25,0)</f>
        <v>NA</v>
      </c>
      <c r="AR57" t="str">
        <f>VLOOKUP($B57,'[1]Plant data'!$A$1:$AB$315,26,0)</f>
        <v>NA</v>
      </c>
      <c r="AS57" t="str">
        <f>VLOOKUP($B57,'[1]Plant data'!$A$1:$AB$315,27,0)</f>
        <v>NA</v>
      </c>
      <c r="AT57" t="str">
        <f>VLOOKUP($B57,'[1]Plant data'!$A$1:$AB$315,28,0)</f>
        <v>Erica &amp; Wesley</v>
      </c>
    </row>
    <row r="58" spans="1:46">
      <c r="A58" s="5" t="s">
        <v>124</v>
      </c>
      <c r="B58" s="6" t="s">
        <v>121</v>
      </c>
      <c r="C58" s="25">
        <v>1</v>
      </c>
      <c r="D58">
        <v>150</v>
      </c>
      <c r="E58" s="8">
        <f t="shared" si="3"/>
        <v>6.6666666666666671E-3</v>
      </c>
      <c r="F58" s="25" t="s">
        <v>19</v>
      </c>
      <c r="G58" s="27">
        <v>1</v>
      </c>
      <c r="H58" s="27">
        <f t="shared" si="4"/>
        <v>0.11872499674796749</v>
      </c>
      <c r="I58" s="8">
        <f t="shared" si="2"/>
        <v>6.6666666666666671E-3</v>
      </c>
      <c r="J58" s="16" t="s">
        <v>122</v>
      </c>
      <c r="K58" s="16" t="s">
        <v>123</v>
      </c>
      <c r="L58" t="s">
        <v>108</v>
      </c>
      <c r="M58" t="s">
        <v>109</v>
      </c>
      <c r="N58" s="11">
        <v>73.3</v>
      </c>
      <c r="O58" s="11">
        <v>17.52380952</v>
      </c>
      <c r="P58" t="s">
        <v>48</v>
      </c>
      <c r="Q58" t="s">
        <v>49</v>
      </c>
      <c r="R58" t="s">
        <v>26</v>
      </c>
      <c r="S58" t="s">
        <v>27</v>
      </c>
      <c r="T58" t="str">
        <f>VLOOKUP(B58,'[1]Plant data'!$A$1:$AB$315,2,0)</f>
        <v>Urticaceae</v>
      </c>
      <c r="U58" t="str">
        <f>VLOOKUP($B58,'[1]Plant data'!$A$1:$AB$315,3,0)</f>
        <v>NA</v>
      </c>
      <c r="V58" t="str">
        <f>VLOOKUP($B58,'[1]Plant data'!$A$1:$AB$315,4,0)</f>
        <v>green</v>
      </c>
      <c r="W58" t="str">
        <f>VLOOKUP($B58,'[1]Plant data'!$A$1:$AB$315,5,0)</f>
        <v>YES</v>
      </c>
      <c r="X58">
        <f>VLOOKUP($B58,'[1]Plant data'!$A$1:$AB$315,6,0)</f>
        <v>11.2</v>
      </c>
      <c r="Y58">
        <f>VLOOKUP($B58,'[1]Plant data'!$A$1:$AB$315,7,0)</f>
        <v>147.6</v>
      </c>
      <c r="Z58">
        <f>VLOOKUP($B58,'[1]Plant data'!$A$1:$AB$315,8,0)</f>
        <v>1.37</v>
      </c>
      <c r="AA58">
        <f>VLOOKUP($B58,'[1]Plant data'!$A$1:$AB$315,9,0)</f>
        <v>2.4</v>
      </c>
      <c r="AB58">
        <f>VLOOKUP($B58,'[1]Plant data'!$A$1:$AB$315,10,0)</f>
        <v>14.87</v>
      </c>
      <c r="AC58" t="str">
        <f>VLOOKUP($B58,'[1]Plant data'!$A$1:$AB$315,11,0)</f>
        <v>NA</v>
      </c>
      <c r="AD58">
        <f>VLOOKUP($B58,'[1]Plant data'!$A$1:$AB$315,12,0)</f>
        <v>1.0000000000000002E-3</v>
      </c>
      <c r="AE58" t="str">
        <f>VLOOKUP($B58,'[1]Plant data'!$A$1:$AB$315,13,0)</f>
        <v>NA</v>
      </c>
      <c r="AF58" t="str">
        <f>VLOOKUP($B58,'[1]Plant data'!$A$1:$AB$315,14,0)</f>
        <v>NA</v>
      </c>
      <c r="AG58">
        <f>VLOOKUP($B58,'[1]Plant data'!$A$1:$AB$315,15,0)</f>
        <v>2964</v>
      </c>
      <c r="AH58" t="str">
        <f>VLOOKUP($B58,'[1]Plant data'!$A$1:$AB$315,16,0)</f>
        <v>NA</v>
      </c>
      <c r="AI58" t="str">
        <f>VLOOKUP($B58,'[1]Plant data'!$A$1:$AB$315,17,0)</f>
        <v>NA</v>
      </c>
      <c r="AJ58" t="str">
        <f>VLOOKUP($B58,'[1]Plant data'!$A$1:$AB$315,18,0)</f>
        <v>Erica&amp;Wesley</v>
      </c>
      <c r="AK58" t="str">
        <f>VLOOKUP($B58,'[1]Plant data'!$A$1:$AB$315,19,0)</f>
        <v>NA</v>
      </c>
      <c r="AL58">
        <f>VLOOKUP($B58,'[1]Plant data'!$A$1:$AB$315,20,0)</f>
        <v>3.7072243346005632E-2</v>
      </c>
      <c r="AM58">
        <f>VLOOKUP($B58,'[1]Plant data'!$A$1:$AB$315,21,0)</f>
        <v>0.12086333333333334</v>
      </c>
      <c r="AN58">
        <f>VLOOKUP($B58,'[1]Plant data'!$A$1:$AB$315,22,0)</f>
        <v>7.6045627376425846E-3</v>
      </c>
      <c r="AO58">
        <f>VLOOKUP($B58,'[1]Plant data'!$A$1:$AB$315,23,0)</f>
        <v>7.6846874408169827E-2</v>
      </c>
      <c r="AP58" t="str">
        <f>VLOOKUP($B58,'[1]Plant data'!$A$1:$AB$315,24,0)</f>
        <v>NA</v>
      </c>
      <c r="AQ58" t="str">
        <f>VLOOKUP($B58,'[1]Plant data'!$A$1:$AB$315,25,0)</f>
        <v>NA</v>
      </c>
      <c r="AR58" t="str">
        <f>VLOOKUP($B58,'[1]Plant data'!$A$1:$AB$315,26,0)</f>
        <v>NA</v>
      </c>
      <c r="AS58" t="str">
        <f>VLOOKUP($B58,'[1]Plant data'!$A$1:$AB$315,27,0)</f>
        <v>NA</v>
      </c>
      <c r="AT58" t="str">
        <f>VLOOKUP($B58,'[1]Plant data'!$A$1:$AB$315,28,0)</f>
        <v>Erica &amp; Wesley</v>
      </c>
    </row>
    <row r="59" spans="1:46">
      <c r="A59" s="5" t="s">
        <v>107</v>
      </c>
      <c r="B59" s="14" t="s">
        <v>121</v>
      </c>
      <c r="C59">
        <v>4</v>
      </c>
      <c r="D59">
        <v>150</v>
      </c>
      <c r="E59" s="8">
        <f t="shared" si="3"/>
        <v>2.6666666666666668E-2</v>
      </c>
      <c r="F59" s="27" t="s">
        <v>19</v>
      </c>
      <c r="G59" s="9">
        <v>1</v>
      </c>
      <c r="H59" s="27">
        <f t="shared" si="4"/>
        <v>0.13881436314363144</v>
      </c>
      <c r="I59" s="8">
        <f t="shared" si="2"/>
        <v>2.6666666666666668E-2</v>
      </c>
      <c r="J59" s="16" t="s">
        <v>122</v>
      </c>
      <c r="K59" s="16" t="s">
        <v>123</v>
      </c>
      <c r="L59" t="s">
        <v>108</v>
      </c>
      <c r="M59" t="s">
        <v>109</v>
      </c>
      <c r="N59" s="11">
        <v>89.7</v>
      </c>
      <c r="O59" s="11">
        <v>20.489000000000001</v>
      </c>
      <c r="P59" t="s">
        <v>48</v>
      </c>
      <c r="Q59" t="s">
        <v>25</v>
      </c>
      <c r="R59" t="s">
        <v>26</v>
      </c>
      <c r="S59" t="s">
        <v>31</v>
      </c>
      <c r="T59" t="str">
        <f>VLOOKUP(B59,'[1]Plant data'!$A$1:$AB$315,2,0)</f>
        <v>Urticaceae</v>
      </c>
      <c r="U59" t="str">
        <f>VLOOKUP($B59,'[1]Plant data'!$A$1:$AB$315,3,0)</f>
        <v>NA</v>
      </c>
      <c r="V59" t="str">
        <f>VLOOKUP($B59,'[1]Plant data'!$A$1:$AB$315,4,0)</f>
        <v>green</v>
      </c>
      <c r="W59" t="str">
        <f>VLOOKUP($B59,'[1]Plant data'!$A$1:$AB$315,5,0)</f>
        <v>YES</v>
      </c>
      <c r="X59">
        <f>VLOOKUP($B59,'[1]Plant data'!$A$1:$AB$315,6,0)</f>
        <v>11.2</v>
      </c>
      <c r="Y59">
        <f>VLOOKUP($B59,'[1]Plant data'!$A$1:$AB$315,7,0)</f>
        <v>147.6</v>
      </c>
      <c r="Z59">
        <f>VLOOKUP($B59,'[1]Plant data'!$A$1:$AB$315,8,0)</f>
        <v>1.37</v>
      </c>
      <c r="AA59">
        <f>VLOOKUP($B59,'[1]Plant data'!$A$1:$AB$315,9,0)</f>
        <v>2.4</v>
      </c>
      <c r="AB59">
        <f>VLOOKUP($B59,'[1]Plant data'!$A$1:$AB$315,10,0)</f>
        <v>14.87</v>
      </c>
      <c r="AC59" t="str">
        <f>VLOOKUP($B59,'[1]Plant data'!$A$1:$AB$315,11,0)</f>
        <v>NA</v>
      </c>
      <c r="AD59">
        <f>VLOOKUP($B59,'[1]Plant data'!$A$1:$AB$315,12,0)</f>
        <v>1.0000000000000002E-3</v>
      </c>
      <c r="AE59" t="str">
        <f>VLOOKUP($B59,'[1]Plant data'!$A$1:$AB$315,13,0)</f>
        <v>NA</v>
      </c>
      <c r="AF59" t="str">
        <f>VLOOKUP($B59,'[1]Plant data'!$A$1:$AB$315,14,0)</f>
        <v>NA</v>
      </c>
      <c r="AG59">
        <f>VLOOKUP($B59,'[1]Plant data'!$A$1:$AB$315,15,0)</f>
        <v>2964</v>
      </c>
      <c r="AH59" t="str">
        <f>VLOOKUP($B59,'[1]Plant data'!$A$1:$AB$315,16,0)</f>
        <v>NA</v>
      </c>
      <c r="AI59" t="str">
        <f>VLOOKUP($B59,'[1]Plant data'!$A$1:$AB$315,17,0)</f>
        <v>NA</v>
      </c>
      <c r="AJ59" t="str">
        <f>VLOOKUP($B59,'[1]Plant data'!$A$1:$AB$315,18,0)</f>
        <v>Erica&amp;Wesley</v>
      </c>
      <c r="AK59" t="str">
        <f>VLOOKUP($B59,'[1]Plant data'!$A$1:$AB$315,19,0)</f>
        <v>NA</v>
      </c>
      <c r="AL59">
        <f>VLOOKUP($B59,'[1]Plant data'!$A$1:$AB$315,20,0)</f>
        <v>3.7072243346005632E-2</v>
      </c>
      <c r="AM59">
        <f>VLOOKUP($B59,'[1]Plant data'!$A$1:$AB$315,21,0)</f>
        <v>0.12086333333333334</v>
      </c>
      <c r="AN59">
        <f>VLOOKUP($B59,'[1]Plant data'!$A$1:$AB$315,22,0)</f>
        <v>7.6045627376425846E-3</v>
      </c>
      <c r="AO59">
        <f>VLOOKUP($B59,'[1]Plant data'!$A$1:$AB$315,23,0)</f>
        <v>7.6846874408169827E-2</v>
      </c>
      <c r="AP59" t="str">
        <f>VLOOKUP($B59,'[1]Plant data'!$A$1:$AB$315,24,0)</f>
        <v>NA</v>
      </c>
      <c r="AQ59" t="str">
        <f>VLOOKUP($B59,'[1]Plant data'!$A$1:$AB$315,25,0)</f>
        <v>NA</v>
      </c>
      <c r="AR59" t="str">
        <f>VLOOKUP($B59,'[1]Plant data'!$A$1:$AB$315,26,0)</f>
        <v>NA</v>
      </c>
      <c r="AS59" t="str">
        <f>VLOOKUP($B59,'[1]Plant data'!$A$1:$AB$315,27,0)</f>
        <v>NA</v>
      </c>
      <c r="AT59" t="str">
        <f>VLOOKUP($B59,'[1]Plant data'!$A$1:$AB$315,28,0)</f>
        <v>Erica &amp; Wesley</v>
      </c>
    </row>
    <row r="60" spans="1:46">
      <c r="A60" s="5" t="s">
        <v>50</v>
      </c>
      <c r="B60" s="14" t="s">
        <v>121</v>
      </c>
      <c r="C60">
        <v>2</v>
      </c>
      <c r="D60">
        <v>150</v>
      </c>
      <c r="E60" s="8">
        <f t="shared" si="3"/>
        <v>1.3333333333333334E-2</v>
      </c>
      <c r="F60" t="s">
        <v>19</v>
      </c>
      <c r="G60" s="9">
        <v>1</v>
      </c>
      <c r="H60" s="27">
        <f t="shared" si="4"/>
        <v>8.9791424728997302E-2</v>
      </c>
      <c r="I60" s="8">
        <f t="shared" si="2"/>
        <v>1.3333333333333334E-2</v>
      </c>
      <c r="J60" s="16" t="s">
        <v>122</v>
      </c>
      <c r="K60" s="16" t="s">
        <v>123</v>
      </c>
      <c r="L60" t="s">
        <v>22</v>
      </c>
      <c r="M60" t="s">
        <v>47</v>
      </c>
      <c r="N60" s="11">
        <v>69.5</v>
      </c>
      <c r="O60" s="11">
        <v>13.253214290000001</v>
      </c>
      <c r="P60" t="s">
        <v>48</v>
      </c>
      <c r="Q60" t="s">
        <v>25</v>
      </c>
      <c r="R60" t="s">
        <v>26</v>
      </c>
      <c r="S60" t="s">
        <v>31</v>
      </c>
      <c r="T60" t="str">
        <f>VLOOKUP(B60,'[1]Plant data'!$A$1:$AB$315,2,0)</f>
        <v>Urticaceae</v>
      </c>
      <c r="U60" t="str">
        <f>VLOOKUP($B60,'[1]Plant data'!$A$1:$AB$315,3,0)</f>
        <v>NA</v>
      </c>
      <c r="V60" t="str">
        <f>VLOOKUP($B60,'[1]Plant data'!$A$1:$AB$315,4,0)</f>
        <v>green</v>
      </c>
      <c r="W60" t="str">
        <f>VLOOKUP($B60,'[1]Plant data'!$A$1:$AB$315,5,0)</f>
        <v>YES</v>
      </c>
      <c r="X60">
        <f>VLOOKUP($B60,'[1]Plant data'!$A$1:$AB$315,6,0)</f>
        <v>11.2</v>
      </c>
      <c r="Y60">
        <f>VLOOKUP($B60,'[1]Plant data'!$A$1:$AB$315,7,0)</f>
        <v>147.6</v>
      </c>
      <c r="Z60">
        <f>VLOOKUP($B60,'[1]Plant data'!$A$1:$AB$315,8,0)</f>
        <v>1.37</v>
      </c>
      <c r="AA60">
        <f>VLOOKUP($B60,'[1]Plant data'!$A$1:$AB$315,9,0)</f>
        <v>2.4</v>
      </c>
      <c r="AB60">
        <f>VLOOKUP($B60,'[1]Plant data'!$A$1:$AB$315,10,0)</f>
        <v>14.87</v>
      </c>
      <c r="AC60" t="str">
        <f>VLOOKUP($B60,'[1]Plant data'!$A$1:$AB$315,11,0)</f>
        <v>NA</v>
      </c>
      <c r="AD60">
        <f>VLOOKUP($B60,'[1]Plant data'!$A$1:$AB$315,12,0)</f>
        <v>1.0000000000000002E-3</v>
      </c>
      <c r="AE60" t="str">
        <f>VLOOKUP($B60,'[1]Plant data'!$A$1:$AB$315,13,0)</f>
        <v>NA</v>
      </c>
      <c r="AF60" t="str">
        <f>VLOOKUP($B60,'[1]Plant data'!$A$1:$AB$315,14,0)</f>
        <v>NA</v>
      </c>
      <c r="AG60">
        <f>VLOOKUP($B60,'[1]Plant data'!$A$1:$AB$315,15,0)</f>
        <v>2964</v>
      </c>
      <c r="AH60" t="str">
        <f>VLOOKUP($B60,'[1]Plant data'!$A$1:$AB$315,16,0)</f>
        <v>NA</v>
      </c>
      <c r="AI60" t="str">
        <f>VLOOKUP($B60,'[1]Plant data'!$A$1:$AB$315,17,0)</f>
        <v>NA</v>
      </c>
      <c r="AJ60" t="str">
        <f>VLOOKUP($B60,'[1]Plant data'!$A$1:$AB$315,18,0)</f>
        <v>Erica&amp;Wesley</v>
      </c>
      <c r="AK60" t="str">
        <f>VLOOKUP($B60,'[1]Plant data'!$A$1:$AB$315,19,0)</f>
        <v>NA</v>
      </c>
      <c r="AL60">
        <f>VLOOKUP($B60,'[1]Plant data'!$A$1:$AB$315,20,0)</f>
        <v>3.7072243346005632E-2</v>
      </c>
      <c r="AM60">
        <f>VLOOKUP($B60,'[1]Plant data'!$A$1:$AB$315,21,0)</f>
        <v>0.12086333333333334</v>
      </c>
      <c r="AN60">
        <f>VLOOKUP($B60,'[1]Plant data'!$A$1:$AB$315,22,0)</f>
        <v>7.6045627376425846E-3</v>
      </c>
      <c r="AO60">
        <f>VLOOKUP($B60,'[1]Plant data'!$A$1:$AB$315,23,0)</f>
        <v>7.6846874408169827E-2</v>
      </c>
      <c r="AP60" t="str">
        <f>VLOOKUP($B60,'[1]Plant data'!$A$1:$AB$315,24,0)</f>
        <v>NA</v>
      </c>
      <c r="AQ60" t="str">
        <f>VLOOKUP($B60,'[1]Plant data'!$A$1:$AB$315,25,0)</f>
        <v>NA</v>
      </c>
      <c r="AR60" t="str">
        <f>VLOOKUP($B60,'[1]Plant data'!$A$1:$AB$315,26,0)</f>
        <v>NA</v>
      </c>
      <c r="AS60" t="str">
        <f>VLOOKUP($B60,'[1]Plant data'!$A$1:$AB$315,27,0)</f>
        <v>NA</v>
      </c>
      <c r="AT60" t="str">
        <f>VLOOKUP($B60,'[1]Plant data'!$A$1:$AB$315,28,0)</f>
        <v>Erica &amp; Wesley</v>
      </c>
    </row>
    <row r="61" spans="1:46">
      <c r="A61" s="5" t="s">
        <v>43</v>
      </c>
      <c r="B61" s="14" t="s">
        <v>121</v>
      </c>
      <c r="C61">
        <v>1</v>
      </c>
      <c r="D61" s="7">
        <v>250</v>
      </c>
      <c r="E61" s="8">
        <f>C61/250</f>
        <v>4.0000000000000001E-3</v>
      </c>
      <c r="F61" s="8" t="s">
        <v>19</v>
      </c>
      <c r="G61" s="41">
        <v>8</v>
      </c>
      <c r="H61" s="41">
        <f t="shared" si="4"/>
        <v>0.48349894612466132</v>
      </c>
      <c r="I61" s="8">
        <f t="shared" si="2"/>
        <v>3.2000000000000001E-2</v>
      </c>
      <c r="J61" s="25" t="s">
        <v>146</v>
      </c>
      <c r="K61" s="25" t="s">
        <v>147</v>
      </c>
      <c r="L61" t="s">
        <v>22</v>
      </c>
      <c r="M61" t="s">
        <v>30</v>
      </c>
      <c r="N61" s="11">
        <v>32.5</v>
      </c>
      <c r="O61" s="11">
        <v>8.9205555560000001</v>
      </c>
      <c r="P61" t="s">
        <v>24</v>
      </c>
      <c r="Q61" t="s">
        <v>25</v>
      </c>
      <c r="R61" t="s">
        <v>26</v>
      </c>
      <c r="S61" t="s">
        <v>31</v>
      </c>
      <c r="T61" t="str">
        <f>VLOOKUP(B61,'[1]Plant data'!$A$1:$AB$315,2,0)</f>
        <v>Urticaceae</v>
      </c>
      <c r="U61" t="str">
        <f>VLOOKUP($B61,'[1]Plant data'!$A$1:$AB$315,3,0)</f>
        <v>NA</v>
      </c>
      <c r="V61" t="str">
        <f>VLOOKUP($B61,'[1]Plant data'!$A$1:$AB$315,4,0)</f>
        <v>green</v>
      </c>
      <c r="W61" t="str">
        <f>VLOOKUP($B61,'[1]Plant data'!$A$1:$AB$315,5,0)</f>
        <v>YES</v>
      </c>
      <c r="X61">
        <f>VLOOKUP($B61,'[1]Plant data'!$A$1:$AB$315,6,0)</f>
        <v>11.2</v>
      </c>
      <c r="Y61">
        <f>VLOOKUP($B61,'[1]Plant data'!$A$1:$AB$315,7,0)</f>
        <v>147.6</v>
      </c>
      <c r="Z61">
        <f>VLOOKUP($B61,'[1]Plant data'!$A$1:$AB$315,8,0)</f>
        <v>1.37</v>
      </c>
      <c r="AA61">
        <f>VLOOKUP($B61,'[1]Plant data'!$A$1:$AB$315,9,0)</f>
        <v>2.4</v>
      </c>
      <c r="AB61">
        <f>VLOOKUP($B61,'[1]Plant data'!$A$1:$AB$315,10,0)</f>
        <v>14.87</v>
      </c>
      <c r="AC61" t="str">
        <f>VLOOKUP($B61,'[1]Plant data'!$A$1:$AB$315,11,0)</f>
        <v>NA</v>
      </c>
      <c r="AD61">
        <f>VLOOKUP($B61,'[1]Plant data'!$A$1:$AB$315,12,0)</f>
        <v>1.0000000000000002E-3</v>
      </c>
      <c r="AE61" t="str">
        <f>VLOOKUP($B61,'[1]Plant data'!$A$1:$AB$315,13,0)</f>
        <v>NA</v>
      </c>
      <c r="AF61" t="str">
        <f>VLOOKUP($B61,'[1]Plant data'!$A$1:$AB$315,14,0)</f>
        <v>NA</v>
      </c>
      <c r="AG61">
        <f>VLOOKUP($B61,'[1]Plant data'!$A$1:$AB$315,15,0)</f>
        <v>2964</v>
      </c>
      <c r="AH61" t="str">
        <f>VLOOKUP($B61,'[1]Plant data'!$A$1:$AB$315,16,0)</f>
        <v>NA</v>
      </c>
      <c r="AI61" t="str">
        <f>VLOOKUP($B61,'[1]Plant data'!$A$1:$AB$315,17,0)</f>
        <v>NA</v>
      </c>
      <c r="AJ61" t="str">
        <f>VLOOKUP($B61,'[1]Plant data'!$A$1:$AB$315,18,0)</f>
        <v>Erica&amp;Wesley</v>
      </c>
      <c r="AK61" t="str">
        <f>VLOOKUP($B61,'[1]Plant data'!$A$1:$AB$315,19,0)</f>
        <v>NA</v>
      </c>
      <c r="AL61">
        <f>VLOOKUP($B61,'[1]Plant data'!$A$1:$AB$315,20,0)</f>
        <v>3.7072243346005632E-2</v>
      </c>
      <c r="AM61">
        <f>VLOOKUP($B61,'[1]Plant data'!$A$1:$AB$315,21,0)</f>
        <v>0.12086333333333334</v>
      </c>
      <c r="AN61">
        <f>VLOOKUP($B61,'[1]Plant data'!$A$1:$AB$315,22,0)</f>
        <v>7.6045627376425846E-3</v>
      </c>
      <c r="AO61">
        <f>VLOOKUP($B61,'[1]Plant data'!$A$1:$AB$315,23,0)</f>
        <v>7.6846874408169827E-2</v>
      </c>
      <c r="AP61" t="str">
        <f>VLOOKUP($B61,'[1]Plant data'!$A$1:$AB$315,24,0)</f>
        <v>NA</v>
      </c>
      <c r="AQ61" t="str">
        <f>VLOOKUP($B61,'[1]Plant data'!$A$1:$AB$315,25,0)</f>
        <v>NA</v>
      </c>
      <c r="AR61" t="str">
        <f>VLOOKUP($B61,'[1]Plant data'!$A$1:$AB$315,26,0)</f>
        <v>NA</v>
      </c>
      <c r="AS61" t="str">
        <f>VLOOKUP($B61,'[1]Plant data'!$A$1:$AB$315,27,0)</f>
        <v>NA</v>
      </c>
      <c r="AT61" t="str">
        <f>VLOOKUP($B61,'[1]Plant data'!$A$1:$AB$315,28,0)</f>
        <v>Erica &amp; Wesley</v>
      </c>
    </row>
    <row r="62" spans="1:46">
      <c r="A62" s="5" t="s">
        <v>110</v>
      </c>
      <c r="B62" s="14" t="s">
        <v>121</v>
      </c>
      <c r="C62">
        <v>4</v>
      </c>
      <c r="D62" t="s">
        <v>19</v>
      </c>
      <c r="E62" s="9" t="s">
        <v>19</v>
      </c>
      <c r="F62" s="9" t="s">
        <v>19</v>
      </c>
      <c r="G62" s="41">
        <v>1</v>
      </c>
      <c r="H62" s="41">
        <f t="shared" si="4"/>
        <v>0.12950542005420054</v>
      </c>
      <c r="I62" s="8" t="s">
        <v>19</v>
      </c>
      <c r="J62" t="s">
        <v>157</v>
      </c>
      <c r="K62" t="s">
        <v>123</v>
      </c>
      <c r="L62" t="s">
        <v>100</v>
      </c>
      <c r="M62" t="s">
        <v>101</v>
      </c>
      <c r="N62" s="11">
        <v>1250</v>
      </c>
      <c r="O62" s="11">
        <v>19.114999999999998</v>
      </c>
      <c r="P62" t="s">
        <v>48</v>
      </c>
      <c r="Q62" t="s">
        <v>95</v>
      </c>
      <c r="R62" t="s">
        <v>114</v>
      </c>
      <c r="S62" t="s">
        <v>27</v>
      </c>
      <c r="T62" t="str">
        <f>VLOOKUP(B62,'[1]Plant data'!$A$1:$AB$315,2,0)</f>
        <v>Urticaceae</v>
      </c>
      <c r="U62" t="str">
        <f>VLOOKUP($B62,'[1]Plant data'!$A$1:$AB$315,3,0)</f>
        <v>NA</v>
      </c>
      <c r="V62" t="str">
        <f>VLOOKUP($B62,'[1]Plant data'!$A$1:$AB$315,4,0)</f>
        <v>green</v>
      </c>
      <c r="W62" t="str">
        <f>VLOOKUP($B62,'[1]Plant data'!$A$1:$AB$315,5,0)</f>
        <v>YES</v>
      </c>
      <c r="X62">
        <f>VLOOKUP($B62,'[1]Plant data'!$A$1:$AB$315,6,0)</f>
        <v>11.2</v>
      </c>
      <c r="Y62">
        <f>VLOOKUP($B62,'[1]Plant data'!$A$1:$AB$315,7,0)</f>
        <v>147.6</v>
      </c>
      <c r="Z62">
        <f>VLOOKUP($B62,'[1]Plant data'!$A$1:$AB$315,8,0)</f>
        <v>1.37</v>
      </c>
      <c r="AA62">
        <f>VLOOKUP($B62,'[1]Plant data'!$A$1:$AB$315,9,0)</f>
        <v>2.4</v>
      </c>
      <c r="AB62">
        <f>VLOOKUP($B62,'[1]Plant data'!$A$1:$AB$315,10,0)</f>
        <v>14.87</v>
      </c>
      <c r="AC62" t="str">
        <f>VLOOKUP($B62,'[1]Plant data'!$A$1:$AB$315,11,0)</f>
        <v>NA</v>
      </c>
      <c r="AD62">
        <f>VLOOKUP($B62,'[1]Plant data'!$A$1:$AB$315,12,0)</f>
        <v>1.0000000000000002E-3</v>
      </c>
      <c r="AE62" t="str">
        <f>VLOOKUP($B62,'[1]Plant data'!$A$1:$AB$315,13,0)</f>
        <v>NA</v>
      </c>
      <c r="AF62" t="str">
        <f>VLOOKUP($B62,'[1]Plant data'!$A$1:$AB$315,14,0)</f>
        <v>NA</v>
      </c>
      <c r="AG62">
        <f>VLOOKUP($B62,'[1]Plant data'!$A$1:$AB$315,15,0)</f>
        <v>2964</v>
      </c>
      <c r="AH62" t="str">
        <f>VLOOKUP($B62,'[1]Plant data'!$A$1:$AB$315,16,0)</f>
        <v>NA</v>
      </c>
      <c r="AI62" t="str">
        <f>VLOOKUP($B62,'[1]Plant data'!$A$1:$AB$315,17,0)</f>
        <v>NA</v>
      </c>
      <c r="AJ62" t="str">
        <f>VLOOKUP($B62,'[1]Plant data'!$A$1:$AB$315,18,0)</f>
        <v>Erica&amp;Wesley</v>
      </c>
      <c r="AK62" t="str">
        <f>VLOOKUP($B62,'[1]Plant data'!$A$1:$AB$315,19,0)</f>
        <v>NA</v>
      </c>
      <c r="AL62">
        <f>VLOOKUP($B62,'[1]Plant data'!$A$1:$AB$315,20,0)</f>
        <v>3.7072243346005632E-2</v>
      </c>
      <c r="AM62">
        <f>VLOOKUP($B62,'[1]Plant data'!$A$1:$AB$315,21,0)</f>
        <v>0.12086333333333334</v>
      </c>
      <c r="AN62">
        <f>VLOOKUP($B62,'[1]Plant data'!$A$1:$AB$315,22,0)</f>
        <v>7.6045627376425846E-3</v>
      </c>
      <c r="AO62">
        <f>VLOOKUP($B62,'[1]Plant data'!$A$1:$AB$315,23,0)</f>
        <v>7.6846874408169827E-2</v>
      </c>
      <c r="AP62" t="str">
        <f>VLOOKUP($B62,'[1]Plant data'!$A$1:$AB$315,24,0)</f>
        <v>NA</v>
      </c>
      <c r="AQ62" t="str">
        <f>VLOOKUP($B62,'[1]Plant data'!$A$1:$AB$315,25,0)</f>
        <v>NA</v>
      </c>
      <c r="AR62" t="str">
        <f>VLOOKUP($B62,'[1]Plant data'!$A$1:$AB$315,26,0)</f>
        <v>NA</v>
      </c>
      <c r="AS62" t="str">
        <f>VLOOKUP($B62,'[1]Plant data'!$A$1:$AB$315,27,0)</f>
        <v>NA</v>
      </c>
      <c r="AT62" t="str">
        <f>VLOOKUP($B62,'[1]Plant data'!$A$1:$AB$315,28,0)</f>
        <v>Erica &amp; Wesley</v>
      </c>
    </row>
    <row r="63" spans="1:46">
      <c r="A63" s="5" t="s">
        <v>43</v>
      </c>
      <c r="B63" s="14" t="s">
        <v>121</v>
      </c>
      <c r="C63">
        <v>6</v>
      </c>
      <c r="D63">
        <v>5.5</v>
      </c>
      <c r="E63" s="8">
        <f>C63/5.5</f>
        <v>1.0909090909090908</v>
      </c>
      <c r="F63" s="8" t="s">
        <v>19</v>
      </c>
      <c r="G63" s="19">
        <f>(5+11)/2</f>
        <v>8</v>
      </c>
      <c r="H63" s="27">
        <f t="shared" si="4"/>
        <v>0.48349894612466132</v>
      </c>
      <c r="I63" s="8">
        <f t="shared" ref="I63:I75" si="5">E63*G63</f>
        <v>8.7272727272727266</v>
      </c>
      <c r="J63" s="25" t="s">
        <v>180</v>
      </c>
      <c r="K63" s="25" t="s">
        <v>181</v>
      </c>
      <c r="L63" t="s">
        <v>22</v>
      </c>
      <c r="M63" t="s">
        <v>30</v>
      </c>
      <c r="N63" s="11">
        <v>32.5</v>
      </c>
      <c r="O63" s="11">
        <v>8.9205555560000001</v>
      </c>
      <c r="P63" t="s">
        <v>24</v>
      </c>
      <c r="Q63" t="s">
        <v>25</v>
      </c>
      <c r="R63" t="s">
        <v>26</v>
      </c>
      <c r="S63" t="s">
        <v>31</v>
      </c>
      <c r="T63" t="str">
        <f>VLOOKUP(B63,'[1]Plant data'!$A$1:$AB$315,2,0)</f>
        <v>Urticaceae</v>
      </c>
      <c r="U63" t="str">
        <f>VLOOKUP($B63,'[1]Plant data'!$A$1:$AB$315,3,0)</f>
        <v>NA</v>
      </c>
      <c r="V63" t="str">
        <f>VLOOKUP($B63,'[1]Plant data'!$A$1:$AB$315,4,0)</f>
        <v>green</v>
      </c>
      <c r="W63" t="str">
        <f>VLOOKUP($B63,'[1]Plant data'!$A$1:$AB$315,5,0)</f>
        <v>YES</v>
      </c>
      <c r="X63">
        <f>VLOOKUP($B63,'[1]Plant data'!$A$1:$AB$315,6,0)</f>
        <v>11.2</v>
      </c>
      <c r="Y63">
        <f>VLOOKUP($B63,'[1]Plant data'!$A$1:$AB$315,7,0)</f>
        <v>147.6</v>
      </c>
      <c r="Z63">
        <f>VLOOKUP($B63,'[1]Plant data'!$A$1:$AB$315,8,0)</f>
        <v>1.37</v>
      </c>
      <c r="AA63">
        <f>VLOOKUP($B63,'[1]Plant data'!$A$1:$AB$315,9,0)</f>
        <v>2.4</v>
      </c>
      <c r="AB63">
        <f>VLOOKUP($B63,'[1]Plant data'!$A$1:$AB$315,10,0)</f>
        <v>14.87</v>
      </c>
      <c r="AC63" t="str">
        <f>VLOOKUP($B63,'[1]Plant data'!$A$1:$AB$315,11,0)</f>
        <v>NA</v>
      </c>
      <c r="AD63">
        <f>VLOOKUP($B63,'[1]Plant data'!$A$1:$AB$315,12,0)</f>
        <v>1.0000000000000002E-3</v>
      </c>
      <c r="AE63" t="str">
        <f>VLOOKUP($B63,'[1]Plant data'!$A$1:$AB$315,13,0)</f>
        <v>NA</v>
      </c>
      <c r="AF63" t="str">
        <f>VLOOKUP($B63,'[1]Plant data'!$A$1:$AB$315,14,0)</f>
        <v>NA</v>
      </c>
      <c r="AG63">
        <f>VLOOKUP($B63,'[1]Plant data'!$A$1:$AB$315,15,0)</f>
        <v>2964</v>
      </c>
      <c r="AH63" t="str">
        <f>VLOOKUP($B63,'[1]Plant data'!$A$1:$AB$315,16,0)</f>
        <v>NA</v>
      </c>
      <c r="AI63" t="str">
        <f>VLOOKUP($B63,'[1]Plant data'!$A$1:$AB$315,17,0)</f>
        <v>NA</v>
      </c>
      <c r="AJ63" t="str">
        <f>VLOOKUP($B63,'[1]Plant data'!$A$1:$AB$315,18,0)</f>
        <v>Erica&amp;Wesley</v>
      </c>
      <c r="AK63" t="str">
        <f>VLOOKUP($B63,'[1]Plant data'!$A$1:$AB$315,19,0)</f>
        <v>NA</v>
      </c>
      <c r="AL63">
        <f>VLOOKUP($B63,'[1]Plant data'!$A$1:$AB$315,20,0)</f>
        <v>3.7072243346005632E-2</v>
      </c>
      <c r="AM63">
        <f>VLOOKUP($B63,'[1]Plant data'!$A$1:$AB$315,21,0)</f>
        <v>0.12086333333333334</v>
      </c>
      <c r="AN63">
        <f>VLOOKUP($B63,'[1]Plant data'!$A$1:$AB$315,22,0)</f>
        <v>7.6045627376425846E-3</v>
      </c>
      <c r="AO63">
        <f>VLOOKUP($B63,'[1]Plant data'!$A$1:$AB$315,23,0)</f>
        <v>7.6846874408169827E-2</v>
      </c>
      <c r="AP63" t="str">
        <f>VLOOKUP($B63,'[1]Plant data'!$A$1:$AB$315,24,0)</f>
        <v>NA</v>
      </c>
      <c r="AQ63" t="str">
        <f>VLOOKUP($B63,'[1]Plant data'!$A$1:$AB$315,25,0)</f>
        <v>NA</v>
      </c>
      <c r="AR63" t="str">
        <f>VLOOKUP($B63,'[1]Plant data'!$A$1:$AB$315,26,0)</f>
        <v>NA</v>
      </c>
      <c r="AS63" t="str">
        <f>VLOOKUP($B63,'[1]Plant data'!$A$1:$AB$315,27,0)</f>
        <v>NA</v>
      </c>
      <c r="AT63" t="str">
        <f>VLOOKUP($B63,'[1]Plant data'!$A$1:$AB$315,28,0)</f>
        <v>Erica &amp; Wesley</v>
      </c>
    </row>
    <row r="64" spans="1:46">
      <c r="A64" s="5" t="s">
        <v>110</v>
      </c>
      <c r="B64" s="14" t="s">
        <v>121</v>
      </c>
      <c r="C64">
        <v>2</v>
      </c>
      <c r="D64">
        <v>750</v>
      </c>
      <c r="E64" s="8">
        <f>C64/750</f>
        <v>2.6666666666666666E-3</v>
      </c>
      <c r="F64" s="27" t="s">
        <v>19</v>
      </c>
      <c r="G64" s="41">
        <v>1</v>
      </c>
      <c r="H64" s="41">
        <f t="shared" si="4"/>
        <v>0.12950542005420054</v>
      </c>
      <c r="I64" s="8">
        <f t="shared" si="5"/>
        <v>2.6666666666666666E-3</v>
      </c>
      <c r="J64" t="s">
        <v>208</v>
      </c>
      <c r="K64" t="s">
        <v>123</v>
      </c>
      <c r="L64" t="s">
        <v>100</v>
      </c>
      <c r="M64" t="s">
        <v>101</v>
      </c>
      <c r="N64" s="11">
        <v>1250</v>
      </c>
      <c r="O64" s="11">
        <v>19.114999999999998</v>
      </c>
      <c r="P64" t="s">
        <v>48</v>
      </c>
      <c r="Q64" t="s">
        <v>95</v>
      </c>
      <c r="R64" t="s">
        <v>114</v>
      </c>
      <c r="S64" t="s">
        <v>27</v>
      </c>
      <c r="T64" t="str">
        <f>VLOOKUP(B64,'[1]Plant data'!$A$1:$AB$315,2,0)</f>
        <v>Urticaceae</v>
      </c>
      <c r="U64" t="str">
        <f>VLOOKUP($B64,'[1]Plant data'!$A$1:$AB$315,3,0)</f>
        <v>NA</v>
      </c>
      <c r="V64" t="str">
        <f>VLOOKUP($B64,'[1]Plant data'!$A$1:$AB$315,4,0)</f>
        <v>green</v>
      </c>
      <c r="W64" t="str">
        <f>VLOOKUP($B64,'[1]Plant data'!$A$1:$AB$315,5,0)</f>
        <v>YES</v>
      </c>
      <c r="X64">
        <f>VLOOKUP($B64,'[1]Plant data'!$A$1:$AB$315,6,0)</f>
        <v>11.2</v>
      </c>
      <c r="Y64">
        <f>VLOOKUP($B64,'[1]Plant data'!$A$1:$AB$315,7,0)</f>
        <v>147.6</v>
      </c>
      <c r="Z64">
        <f>VLOOKUP($B64,'[1]Plant data'!$A$1:$AB$315,8,0)</f>
        <v>1.37</v>
      </c>
      <c r="AA64">
        <f>VLOOKUP($B64,'[1]Plant data'!$A$1:$AB$315,9,0)</f>
        <v>2.4</v>
      </c>
      <c r="AB64">
        <f>VLOOKUP($B64,'[1]Plant data'!$A$1:$AB$315,10,0)</f>
        <v>14.87</v>
      </c>
      <c r="AC64" t="str">
        <f>VLOOKUP($B64,'[1]Plant data'!$A$1:$AB$315,11,0)</f>
        <v>NA</v>
      </c>
      <c r="AD64">
        <f>VLOOKUP($B64,'[1]Plant data'!$A$1:$AB$315,12,0)</f>
        <v>1.0000000000000002E-3</v>
      </c>
      <c r="AE64" t="str">
        <f>VLOOKUP($B64,'[1]Plant data'!$A$1:$AB$315,13,0)</f>
        <v>NA</v>
      </c>
      <c r="AF64" t="str">
        <f>VLOOKUP($B64,'[1]Plant data'!$A$1:$AB$315,14,0)</f>
        <v>NA</v>
      </c>
      <c r="AG64">
        <f>VLOOKUP($B64,'[1]Plant data'!$A$1:$AB$315,15,0)</f>
        <v>2964</v>
      </c>
      <c r="AH64" t="str">
        <f>VLOOKUP($B64,'[1]Plant data'!$A$1:$AB$315,16,0)</f>
        <v>NA</v>
      </c>
      <c r="AI64" t="str">
        <f>VLOOKUP($B64,'[1]Plant data'!$A$1:$AB$315,17,0)</f>
        <v>NA</v>
      </c>
      <c r="AJ64" t="str">
        <f>VLOOKUP($B64,'[1]Plant data'!$A$1:$AB$315,18,0)</f>
        <v>Erica&amp;Wesley</v>
      </c>
      <c r="AK64" t="str">
        <f>VLOOKUP($B64,'[1]Plant data'!$A$1:$AB$315,19,0)</f>
        <v>NA</v>
      </c>
      <c r="AL64">
        <f>VLOOKUP($B64,'[1]Plant data'!$A$1:$AB$315,20,0)</f>
        <v>3.7072243346005632E-2</v>
      </c>
      <c r="AM64">
        <f>VLOOKUP($B64,'[1]Plant data'!$A$1:$AB$315,21,0)</f>
        <v>0.12086333333333334</v>
      </c>
      <c r="AN64">
        <f>VLOOKUP($B64,'[1]Plant data'!$A$1:$AB$315,22,0)</f>
        <v>7.6045627376425846E-3</v>
      </c>
      <c r="AO64">
        <f>VLOOKUP($B64,'[1]Plant data'!$A$1:$AB$315,23,0)</f>
        <v>7.6846874408169827E-2</v>
      </c>
      <c r="AP64" t="str">
        <f>VLOOKUP($B64,'[1]Plant data'!$A$1:$AB$315,24,0)</f>
        <v>NA</v>
      </c>
      <c r="AQ64" t="str">
        <f>VLOOKUP($B64,'[1]Plant data'!$A$1:$AB$315,25,0)</f>
        <v>NA</v>
      </c>
      <c r="AR64" t="str">
        <f>VLOOKUP($B64,'[1]Plant data'!$A$1:$AB$315,26,0)</f>
        <v>NA</v>
      </c>
      <c r="AS64" t="str">
        <f>VLOOKUP($B64,'[1]Plant data'!$A$1:$AB$315,27,0)</f>
        <v>NA</v>
      </c>
      <c r="AT64" t="str">
        <f>VLOOKUP($B64,'[1]Plant data'!$A$1:$AB$315,28,0)</f>
        <v>Erica &amp; Wesley</v>
      </c>
    </row>
    <row r="65" spans="1:46">
      <c r="A65" s="5" t="s">
        <v>90</v>
      </c>
      <c r="B65" s="6" t="s">
        <v>121</v>
      </c>
      <c r="C65" s="25">
        <v>1</v>
      </c>
      <c r="D65" s="25">
        <v>750</v>
      </c>
      <c r="E65" s="26">
        <f>1/750</f>
        <v>1.3333333333333333E-3</v>
      </c>
      <c r="F65" s="27" t="s">
        <v>19</v>
      </c>
      <c r="G65" s="41">
        <v>1.6666666666666667</v>
      </c>
      <c r="H65" s="41">
        <f t="shared" si="4"/>
        <v>0.34665763324299909</v>
      </c>
      <c r="I65" s="8">
        <f t="shared" si="5"/>
        <v>2.2222222222222222E-3</v>
      </c>
      <c r="J65" s="25" t="s">
        <v>208</v>
      </c>
      <c r="K65" t="s">
        <v>123</v>
      </c>
      <c r="L65" t="s">
        <v>93</v>
      </c>
      <c r="M65" t="s">
        <v>94</v>
      </c>
      <c r="N65" s="11">
        <v>331</v>
      </c>
      <c r="O65" s="11">
        <v>30.7</v>
      </c>
      <c r="P65" t="s">
        <v>48</v>
      </c>
      <c r="Q65" t="s">
        <v>95</v>
      </c>
      <c r="R65" t="s">
        <v>26</v>
      </c>
      <c r="S65" t="s">
        <v>27</v>
      </c>
      <c r="T65" t="str">
        <f>VLOOKUP(B65,'[1]Plant data'!$A$1:$AB$315,2,0)</f>
        <v>Urticaceae</v>
      </c>
      <c r="U65" t="str">
        <f>VLOOKUP($B65,'[1]Plant data'!$A$1:$AB$315,3,0)</f>
        <v>NA</v>
      </c>
      <c r="V65" t="str">
        <f>VLOOKUP($B65,'[1]Plant data'!$A$1:$AB$315,4,0)</f>
        <v>green</v>
      </c>
      <c r="W65" t="str">
        <f>VLOOKUP($B65,'[1]Plant data'!$A$1:$AB$315,5,0)</f>
        <v>YES</v>
      </c>
      <c r="X65">
        <f>VLOOKUP($B65,'[1]Plant data'!$A$1:$AB$315,6,0)</f>
        <v>11.2</v>
      </c>
      <c r="Y65">
        <f>VLOOKUP($B65,'[1]Plant data'!$A$1:$AB$315,7,0)</f>
        <v>147.6</v>
      </c>
      <c r="Z65">
        <f>VLOOKUP($B65,'[1]Plant data'!$A$1:$AB$315,8,0)</f>
        <v>1.37</v>
      </c>
      <c r="AA65">
        <f>VLOOKUP($B65,'[1]Plant data'!$A$1:$AB$315,9,0)</f>
        <v>2.4</v>
      </c>
      <c r="AB65">
        <f>VLOOKUP($B65,'[1]Plant data'!$A$1:$AB$315,10,0)</f>
        <v>14.87</v>
      </c>
      <c r="AC65" t="str">
        <f>VLOOKUP($B65,'[1]Plant data'!$A$1:$AB$315,11,0)</f>
        <v>NA</v>
      </c>
      <c r="AD65">
        <f>VLOOKUP($B65,'[1]Plant data'!$A$1:$AB$315,12,0)</f>
        <v>1.0000000000000002E-3</v>
      </c>
      <c r="AE65" t="str">
        <f>VLOOKUP($B65,'[1]Plant data'!$A$1:$AB$315,13,0)</f>
        <v>NA</v>
      </c>
      <c r="AF65" t="str">
        <f>VLOOKUP($B65,'[1]Plant data'!$A$1:$AB$315,14,0)</f>
        <v>NA</v>
      </c>
      <c r="AG65">
        <f>VLOOKUP($B65,'[1]Plant data'!$A$1:$AB$315,15,0)</f>
        <v>2964</v>
      </c>
      <c r="AH65" t="str">
        <f>VLOOKUP($B65,'[1]Plant data'!$A$1:$AB$315,16,0)</f>
        <v>NA</v>
      </c>
      <c r="AI65" t="str">
        <f>VLOOKUP($B65,'[1]Plant data'!$A$1:$AB$315,17,0)</f>
        <v>NA</v>
      </c>
      <c r="AJ65" t="str">
        <f>VLOOKUP($B65,'[1]Plant data'!$A$1:$AB$315,18,0)</f>
        <v>Erica&amp;Wesley</v>
      </c>
      <c r="AK65" t="str">
        <f>VLOOKUP($B65,'[1]Plant data'!$A$1:$AB$315,19,0)</f>
        <v>NA</v>
      </c>
      <c r="AL65">
        <f>VLOOKUP($B65,'[1]Plant data'!$A$1:$AB$315,20,0)</f>
        <v>3.7072243346005632E-2</v>
      </c>
      <c r="AM65">
        <f>VLOOKUP($B65,'[1]Plant data'!$A$1:$AB$315,21,0)</f>
        <v>0.12086333333333334</v>
      </c>
      <c r="AN65">
        <f>VLOOKUP($B65,'[1]Plant data'!$A$1:$AB$315,22,0)</f>
        <v>7.6045627376425846E-3</v>
      </c>
      <c r="AO65">
        <f>VLOOKUP($B65,'[1]Plant data'!$A$1:$AB$315,23,0)</f>
        <v>7.6846874408169827E-2</v>
      </c>
      <c r="AP65" t="str">
        <f>VLOOKUP($B65,'[1]Plant data'!$A$1:$AB$315,24,0)</f>
        <v>NA</v>
      </c>
      <c r="AQ65" t="str">
        <f>VLOOKUP($B65,'[1]Plant data'!$A$1:$AB$315,25,0)</f>
        <v>NA</v>
      </c>
      <c r="AR65" t="str">
        <f>VLOOKUP($B65,'[1]Plant data'!$A$1:$AB$315,26,0)</f>
        <v>NA</v>
      </c>
      <c r="AS65" t="str">
        <f>VLOOKUP($B65,'[1]Plant data'!$A$1:$AB$315,27,0)</f>
        <v>NA</v>
      </c>
      <c r="AT65" t="str">
        <f>VLOOKUP($B65,'[1]Plant data'!$A$1:$AB$315,28,0)</f>
        <v>Erica &amp; Wesley</v>
      </c>
    </row>
    <row r="66" spans="1:46">
      <c r="A66" s="5" t="s">
        <v>105</v>
      </c>
      <c r="B66" s="14" t="s">
        <v>121</v>
      </c>
      <c r="C66">
        <v>5</v>
      </c>
      <c r="D66">
        <v>750</v>
      </c>
      <c r="E66" s="8">
        <f>C66/750</f>
        <v>6.6666666666666671E-3</v>
      </c>
      <c r="F66" s="27" t="s">
        <v>19</v>
      </c>
      <c r="G66" s="41">
        <v>7.5</v>
      </c>
      <c r="H66" s="41">
        <f t="shared" si="4"/>
        <v>1.2723069105691058</v>
      </c>
      <c r="I66" s="8">
        <f t="shared" si="5"/>
        <v>0.05</v>
      </c>
      <c r="J66" t="s">
        <v>208</v>
      </c>
      <c r="K66" t="s">
        <v>123</v>
      </c>
      <c r="L66" t="s">
        <v>93</v>
      </c>
      <c r="M66" t="s">
        <v>94</v>
      </c>
      <c r="N66" s="11">
        <v>164</v>
      </c>
      <c r="O66" s="11">
        <v>25.039000000000001</v>
      </c>
      <c r="P66" t="s">
        <v>48</v>
      </c>
      <c r="Q66" t="s">
        <v>25</v>
      </c>
      <c r="R66" t="s">
        <v>26</v>
      </c>
      <c r="S66" t="s">
        <v>27</v>
      </c>
      <c r="T66" t="str">
        <f>VLOOKUP(B66,'[1]Plant data'!$A$1:$AB$315,2,0)</f>
        <v>Urticaceae</v>
      </c>
      <c r="U66" t="str">
        <f>VLOOKUP($B66,'[1]Plant data'!$A$1:$AB$315,3,0)</f>
        <v>NA</v>
      </c>
      <c r="V66" t="str">
        <f>VLOOKUP($B66,'[1]Plant data'!$A$1:$AB$315,4,0)</f>
        <v>green</v>
      </c>
      <c r="W66" t="str">
        <f>VLOOKUP($B66,'[1]Plant data'!$A$1:$AB$315,5,0)</f>
        <v>YES</v>
      </c>
      <c r="X66">
        <f>VLOOKUP($B66,'[1]Plant data'!$A$1:$AB$315,6,0)</f>
        <v>11.2</v>
      </c>
      <c r="Y66">
        <f>VLOOKUP($B66,'[1]Plant data'!$A$1:$AB$315,7,0)</f>
        <v>147.6</v>
      </c>
      <c r="Z66">
        <f>VLOOKUP($B66,'[1]Plant data'!$A$1:$AB$315,8,0)</f>
        <v>1.37</v>
      </c>
      <c r="AA66">
        <f>VLOOKUP($B66,'[1]Plant data'!$A$1:$AB$315,9,0)</f>
        <v>2.4</v>
      </c>
      <c r="AB66">
        <f>VLOOKUP($B66,'[1]Plant data'!$A$1:$AB$315,10,0)</f>
        <v>14.87</v>
      </c>
      <c r="AC66" t="str">
        <f>VLOOKUP($B66,'[1]Plant data'!$A$1:$AB$315,11,0)</f>
        <v>NA</v>
      </c>
      <c r="AD66">
        <f>VLOOKUP($B66,'[1]Plant data'!$A$1:$AB$315,12,0)</f>
        <v>1.0000000000000002E-3</v>
      </c>
      <c r="AE66" t="str">
        <f>VLOOKUP($B66,'[1]Plant data'!$A$1:$AB$315,13,0)</f>
        <v>NA</v>
      </c>
      <c r="AF66" t="str">
        <f>VLOOKUP($B66,'[1]Plant data'!$A$1:$AB$315,14,0)</f>
        <v>NA</v>
      </c>
      <c r="AG66">
        <f>VLOOKUP($B66,'[1]Plant data'!$A$1:$AB$315,15,0)</f>
        <v>2964</v>
      </c>
      <c r="AH66" t="str">
        <f>VLOOKUP($B66,'[1]Plant data'!$A$1:$AB$315,16,0)</f>
        <v>NA</v>
      </c>
      <c r="AI66" t="str">
        <f>VLOOKUP($B66,'[1]Plant data'!$A$1:$AB$315,17,0)</f>
        <v>NA</v>
      </c>
      <c r="AJ66" t="str">
        <f>VLOOKUP($B66,'[1]Plant data'!$A$1:$AB$315,18,0)</f>
        <v>Erica&amp;Wesley</v>
      </c>
      <c r="AK66" t="str">
        <f>VLOOKUP($B66,'[1]Plant data'!$A$1:$AB$315,19,0)</f>
        <v>NA</v>
      </c>
      <c r="AL66">
        <f>VLOOKUP($B66,'[1]Plant data'!$A$1:$AB$315,20,0)</f>
        <v>3.7072243346005632E-2</v>
      </c>
      <c r="AM66">
        <f>VLOOKUP($B66,'[1]Plant data'!$A$1:$AB$315,21,0)</f>
        <v>0.12086333333333334</v>
      </c>
      <c r="AN66">
        <f>VLOOKUP($B66,'[1]Plant data'!$A$1:$AB$315,22,0)</f>
        <v>7.6045627376425846E-3</v>
      </c>
      <c r="AO66">
        <f>VLOOKUP($B66,'[1]Plant data'!$A$1:$AB$315,23,0)</f>
        <v>7.6846874408169827E-2</v>
      </c>
      <c r="AP66" t="str">
        <f>VLOOKUP($B66,'[1]Plant data'!$A$1:$AB$315,24,0)</f>
        <v>NA</v>
      </c>
      <c r="AQ66" t="str">
        <f>VLOOKUP($B66,'[1]Plant data'!$A$1:$AB$315,25,0)</f>
        <v>NA</v>
      </c>
      <c r="AR66" t="str">
        <f>VLOOKUP($B66,'[1]Plant data'!$A$1:$AB$315,26,0)</f>
        <v>NA</v>
      </c>
      <c r="AS66" t="str">
        <f>VLOOKUP($B66,'[1]Plant data'!$A$1:$AB$315,27,0)</f>
        <v>NA</v>
      </c>
      <c r="AT66" t="str">
        <f>VLOOKUP($B66,'[1]Plant data'!$A$1:$AB$315,28,0)</f>
        <v>Erica &amp; Wesley</v>
      </c>
    </row>
    <row r="67" spans="1:46">
      <c r="A67" s="5" t="s">
        <v>106</v>
      </c>
      <c r="B67" s="14" t="s">
        <v>121</v>
      </c>
      <c r="C67">
        <v>1</v>
      </c>
      <c r="D67">
        <v>750</v>
      </c>
      <c r="E67" s="8">
        <f>C67/750</f>
        <v>1.3333333333333333E-3</v>
      </c>
      <c r="F67" s="27" t="s">
        <v>19</v>
      </c>
      <c r="G67" s="41">
        <v>3</v>
      </c>
      <c r="H67" s="41">
        <f t="shared" si="4"/>
        <v>0.3367961457317073</v>
      </c>
      <c r="I67" s="8">
        <f t="shared" si="5"/>
        <v>4.0000000000000001E-3</v>
      </c>
      <c r="J67" s="10" t="s">
        <v>208</v>
      </c>
      <c r="K67" t="s">
        <v>123</v>
      </c>
      <c r="L67" t="s">
        <v>22</v>
      </c>
      <c r="M67" t="s">
        <v>75</v>
      </c>
      <c r="N67" s="11">
        <v>68.099999999999994</v>
      </c>
      <c r="O67" s="11">
        <v>16.570370369999999</v>
      </c>
      <c r="P67" t="s">
        <v>48</v>
      </c>
      <c r="Q67" t="s">
        <v>49</v>
      </c>
      <c r="R67" t="s">
        <v>26</v>
      </c>
      <c r="S67" t="s">
        <v>27</v>
      </c>
      <c r="T67" t="str">
        <f>VLOOKUP(B67,'[1]Plant data'!$A$1:$AB$315,2,0)</f>
        <v>Urticaceae</v>
      </c>
      <c r="U67" t="str">
        <f>VLOOKUP($B67,'[1]Plant data'!$A$1:$AB$315,3,0)</f>
        <v>NA</v>
      </c>
      <c r="V67" t="str">
        <f>VLOOKUP($B67,'[1]Plant data'!$A$1:$AB$315,4,0)</f>
        <v>green</v>
      </c>
      <c r="W67" t="str">
        <f>VLOOKUP($B67,'[1]Plant data'!$A$1:$AB$315,5,0)</f>
        <v>YES</v>
      </c>
      <c r="X67">
        <f>VLOOKUP($B67,'[1]Plant data'!$A$1:$AB$315,6,0)</f>
        <v>11.2</v>
      </c>
      <c r="Y67">
        <f>VLOOKUP($B67,'[1]Plant data'!$A$1:$AB$315,7,0)</f>
        <v>147.6</v>
      </c>
      <c r="Z67">
        <f>VLOOKUP($B67,'[1]Plant data'!$A$1:$AB$315,8,0)</f>
        <v>1.37</v>
      </c>
      <c r="AA67">
        <f>VLOOKUP($B67,'[1]Plant data'!$A$1:$AB$315,9,0)</f>
        <v>2.4</v>
      </c>
      <c r="AB67">
        <f>VLOOKUP($B67,'[1]Plant data'!$A$1:$AB$315,10,0)</f>
        <v>14.87</v>
      </c>
      <c r="AC67" t="str">
        <f>VLOOKUP($B67,'[1]Plant data'!$A$1:$AB$315,11,0)</f>
        <v>NA</v>
      </c>
      <c r="AD67">
        <f>VLOOKUP($B67,'[1]Plant data'!$A$1:$AB$315,12,0)</f>
        <v>1.0000000000000002E-3</v>
      </c>
      <c r="AE67" t="str">
        <f>VLOOKUP($B67,'[1]Plant data'!$A$1:$AB$315,13,0)</f>
        <v>NA</v>
      </c>
      <c r="AF67" t="str">
        <f>VLOOKUP($B67,'[1]Plant data'!$A$1:$AB$315,14,0)</f>
        <v>NA</v>
      </c>
      <c r="AG67">
        <f>VLOOKUP($B67,'[1]Plant data'!$A$1:$AB$315,15,0)</f>
        <v>2964</v>
      </c>
      <c r="AH67" t="str">
        <f>VLOOKUP($B67,'[1]Plant data'!$A$1:$AB$315,16,0)</f>
        <v>NA</v>
      </c>
      <c r="AI67" t="str">
        <f>VLOOKUP($B67,'[1]Plant data'!$A$1:$AB$315,17,0)</f>
        <v>NA</v>
      </c>
      <c r="AJ67" t="str">
        <f>VLOOKUP($B67,'[1]Plant data'!$A$1:$AB$315,18,0)</f>
        <v>Erica&amp;Wesley</v>
      </c>
      <c r="AK67" t="str">
        <f>VLOOKUP($B67,'[1]Plant data'!$A$1:$AB$315,19,0)</f>
        <v>NA</v>
      </c>
      <c r="AL67">
        <f>VLOOKUP($B67,'[1]Plant data'!$A$1:$AB$315,20,0)</f>
        <v>3.7072243346005632E-2</v>
      </c>
      <c r="AM67">
        <f>VLOOKUP($B67,'[1]Plant data'!$A$1:$AB$315,21,0)</f>
        <v>0.12086333333333334</v>
      </c>
      <c r="AN67">
        <f>VLOOKUP($B67,'[1]Plant data'!$A$1:$AB$315,22,0)</f>
        <v>7.6045627376425846E-3</v>
      </c>
      <c r="AO67">
        <f>VLOOKUP($B67,'[1]Plant data'!$A$1:$AB$315,23,0)</f>
        <v>7.6846874408169827E-2</v>
      </c>
      <c r="AP67" t="str">
        <f>VLOOKUP($B67,'[1]Plant data'!$A$1:$AB$315,24,0)</f>
        <v>NA</v>
      </c>
      <c r="AQ67" t="str">
        <f>VLOOKUP($B67,'[1]Plant data'!$A$1:$AB$315,25,0)</f>
        <v>NA</v>
      </c>
      <c r="AR67" t="str">
        <f>VLOOKUP($B67,'[1]Plant data'!$A$1:$AB$315,26,0)</f>
        <v>NA</v>
      </c>
      <c r="AS67" t="str">
        <f>VLOOKUP($B67,'[1]Plant data'!$A$1:$AB$315,27,0)</f>
        <v>NA</v>
      </c>
      <c r="AT67" t="str">
        <f>VLOOKUP($B67,'[1]Plant data'!$A$1:$AB$315,28,0)</f>
        <v>Erica &amp; Wesley</v>
      </c>
    </row>
    <row r="68" spans="1:46">
      <c r="A68" s="5" t="s">
        <v>107</v>
      </c>
      <c r="B68" s="14" t="s">
        <v>121</v>
      </c>
      <c r="C68">
        <v>3</v>
      </c>
      <c r="D68">
        <v>750</v>
      </c>
      <c r="E68" s="8">
        <f>C68/750</f>
        <v>4.0000000000000001E-3</v>
      </c>
      <c r="F68" s="27" t="s">
        <v>19</v>
      </c>
      <c r="G68" s="41">
        <v>1</v>
      </c>
      <c r="H68" s="41">
        <f t="shared" si="4"/>
        <v>0.13881436314363144</v>
      </c>
      <c r="I68" s="8">
        <f t="shared" si="5"/>
        <v>4.0000000000000001E-3</v>
      </c>
      <c r="J68" t="s">
        <v>208</v>
      </c>
      <c r="K68" t="s">
        <v>123</v>
      </c>
      <c r="L68" t="s">
        <v>108</v>
      </c>
      <c r="M68" t="s">
        <v>109</v>
      </c>
      <c r="N68" s="11">
        <v>89.7</v>
      </c>
      <c r="O68" s="11">
        <v>20.489000000000001</v>
      </c>
      <c r="P68" t="s">
        <v>48</v>
      </c>
      <c r="Q68" t="s">
        <v>25</v>
      </c>
      <c r="R68" t="s">
        <v>26</v>
      </c>
      <c r="S68" t="s">
        <v>31</v>
      </c>
      <c r="T68" t="str">
        <f>VLOOKUP(B68,'[1]Plant data'!$A$1:$AB$315,2,0)</f>
        <v>Urticaceae</v>
      </c>
      <c r="U68" t="str">
        <f>VLOOKUP($B68,'[1]Plant data'!$A$1:$AB$315,3,0)</f>
        <v>NA</v>
      </c>
      <c r="V68" t="str">
        <f>VLOOKUP($B68,'[1]Plant data'!$A$1:$AB$315,4,0)</f>
        <v>green</v>
      </c>
      <c r="W68" t="str">
        <f>VLOOKUP($B68,'[1]Plant data'!$A$1:$AB$315,5,0)</f>
        <v>YES</v>
      </c>
      <c r="X68">
        <f>VLOOKUP($B68,'[1]Plant data'!$A$1:$AB$315,6,0)</f>
        <v>11.2</v>
      </c>
      <c r="Y68">
        <f>VLOOKUP($B68,'[1]Plant data'!$A$1:$AB$315,7,0)</f>
        <v>147.6</v>
      </c>
      <c r="Z68">
        <f>VLOOKUP($B68,'[1]Plant data'!$A$1:$AB$315,8,0)</f>
        <v>1.37</v>
      </c>
      <c r="AA68">
        <f>VLOOKUP($B68,'[1]Plant data'!$A$1:$AB$315,9,0)</f>
        <v>2.4</v>
      </c>
      <c r="AB68">
        <f>VLOOKUP($B68,'[1]Plant data'!$A$1:$AB$315,10,0)</f>
        <v>14.87</v>
      </c>
      <c r="AC68" t="str">
        <f>VLOOKUP($B68,'[1]Plant data'!$A$1:$AB$315,11,0)</f>
        <v>NA</v>
      </c>
      <c r="AD68">
        <f>VLOOKUP($B68,'[1]Plant data'!$A$1:$AB$315,12,0)</f>
        <v>1.0000000000000002E-3</v>
      </c>
      <c r="AE68" t="str">
        <f>VLOOKUP($B68,'[1]Plant data'!$A$1:$AB$315,13,0)</f>
        <v>NA</v>
      </c>
      <c r="AF68" t="str">
        <f>VLOOKUP($B68,'[1]Plant data'!$A$1:$AB$315,14,0)</f>
        <v>NA</v>
      </c>
      <c r="AG68">
        <f>VLOOKUP($B68,'[1]Plant data'!$A$1:$AB$315,15,0)</f>
        <v>2964</v>
      </c>
      <c r="AH68" t="str">
        <f>VLOOKUP($B68,'[1]Plant data'!$A$1:$AB$315,16,0)</f>
        <v>NA</v>
      </c>
      <c r="AI68" t="str">
        <f>VLOOKUP($B68,'[1]Plant data'!$A$1:$AB$315,17,0)</f>
        <v>NA</v>
      </c>
      <c r="AJ68" t="str">
        <f>VLOOKUP($B68,'[1]Plant data'!$A$1:$AB$315,18,0)</f>
        <v>Erica&amp;Wesley</v>
      </c>
      <c r="AK68" t="str">
        <f>VLOOKUP($B68,'[1]Plant data'!$A$1:$AB$315,19,0)</f>
        <v>NA</v>
      </c>
      <c r="AL68">
        <f>VLOOKUP($B68,'[1]Plant data'!$A$1:$AB$315,20,0)</f>
        <v>3.7072243346005632E-2</v>
      </c>
      <c r="AM68">
        <f>VLOOKUP($B68,'[1]Plant data'!$A$1:$AB$315,21,0)</f>
        <v>0.12086333333333334</v>
      </c>
      <c r="AN68">
        <f>VLOOKUP($B68,'[1]Plant data'!$A$1:$AB$315,22,0)</f>
        <v>7.6045627376425846E-3</v>
      </c>
      <c r="AO68">
        <f>VLOOKUP($B68,'[1]Plant data'!$A$1:$AB$315,23,0)</f>
        <v>7.6846874408169827E-2</v>
      </c>
      <c r="AP68" t="str">
        <f>VLOOKUP($B68,'[1]Plant data'!$A$1:$AB$315,24,0)</f>
        <v>NA</v>
      </c>
      <c r="AQ68" t="str">
        <f>VLOOKUP($B68,'[1]Plant data'!$A$1:$AB$315,25,0)</f>
        <v>NA</v>
      </c>
      <c r="AR68" t="str">
        <f>VLOOKUP($B68,'[1]Plant data'!$A$1:$AB$315,26,0)</f>
        <v>NA</v>
      </c>
      <c r="AS68" t="str">
        <f>VLOOKUP($B68,'[1]Plant data'!$A$1:$AB$315,27,0)</f>
        <v>NA</v>
      </c>
      <c r="AT68" t="str">
        <f>VLOOKUP($B68,'[1]Plant data'!$A$1:$AB$315,28,0)</f>
        <v>Erica &amp; Wesley</v>
      </c>
    </row>
    <row r="69" spans="1:46">
      <c r="A69" s="5" t="s">
        <v>110</v>
      </c>
      <c r="B69" s="15" t="s">
        <v>121</v>
      </c>
      <c r="C69" s="7">
        <v>2</v>
      </c>
      <c r="D69" s="7">
        <v>48.16</v>
      </c>
      <c r="E69" s="8">
        <f t="shared" ref="E69:E75" si="6">C69/D69</f>
        <v>4.1528239202657809E-2</v>
      </c>
      <c r="F69">
        <v>1</v>
      </c>
      <c r="G69" s="9">
        <f>F69/1</f>
        <v>1</v>
      </c>
      <c r="H69" s="27">
        <f t="shared" si="4"/>
        <v>0.12950542005420054</v>
      </c>
      <c r="I69" s="8">
        <f t="shared" si="5"/>
        <v>4.1528239202657809E-2</v>
      </c>
      <c r="J69" t="s">
        <v>270</v>
      </c>
      <c r="K69" t="s">
        <v>123</v>
      </c>
      <c r="L69" t="s">
        <v>100</v>
      </c>
      <c r="M69" t="s">
        <v>101</v>
      </c>
      <c r="N69" s="11">
        <v>1250</v>
      </c>
      <c r="O69" s="11">
        <v>19.114999999999998</v>
      </c>
      <c r="P69" t="s">
        <v>48</v>
      </c>
      <c r="Q69" t="s">
        <v>95</v>
      </c>
      <c r="R69" t="s">
        <v>114</v>
      </c>
      <c r="S69" t="s">
        <v>27</v>
      </c>
      <c r="T69" t="str">
        <f>VLOOKUP(B69,'[1]Plant data'!$A$1:$AB$315,2,0)</f>
        <v>Urticaceae</v>
      </c>
      <c r="U69" t="str">
        <f>VLOOKUP($B69,'[1]Plant data'!$A$1:$AB$315,3,0)</f>
        <v>NA</v>
      </c>
      <c r="V69" t="str">
        <f>VLOOKUP($B69,'[1]Plant data'!$A$1:$AB$315,4,0)</f>
        <v>green</v>
      </c>
      <c r="W69" t="str">
        <f>VLOOKUP($B69,'[1]Plant data'!$A$1:$AB$315,5,0)</f>
        <v>YES</v>
      </c>
      <c r="X69">
        <f>VLOOKUP($B69,'[1]Plant data'!$A$1:$AB$315,6,0)</f>
        <v>11.2</v>
      </c>
      <c r="Y69">
        <f>VLOOKUP($B69,'[1]Plant data'!$A$1:$AB$315,7,0)</f>
        <v>147.6</v>
      </c>
      <c r="Z69">
        <f>VLOOKUP($B69,'[1]Plant data'!$A$1:$AB$315,8,0)</f>
        <v>1.37</v>
      </c>
      <c r="AA69">
        <f>VLOOKUP($B69,'[1]Plant data'!$A$1:$AB$315,9,0)</f>
        <v>2.4</v>
      </c>
      <c r="AB69">
        <f>VLOOKUP($B69,'[1]Plant data'!$A$1:$AB$315,10,0)</f>
        <v>14.87</v>
      </c>
      <c r="AC69" t="str">
        <f>VLOOKUP($B69,'[1]Plant data'!$A$1:$AB$315,11,0)</f>
        <v>NA</v>
      </c>
      <c r="AD69">
        <f>VLOOKUP($B69,'[1]Plant data'!$A$1:$AB$315,12,0)</f>
        <v>1.0000000000000002E-3</v>
      </c>
      <c r="AE69" t="str">
        <f>VLOOKUP($B69,'[1]Plant data'!$A$1:$AB$315,13,0)</f>
        <v>NA</v>
      </c>
      <c r="AF69" t="str">
        <f>VLOOKUP($B69,'[1]Plant data'!$A$1:$AB$315,14,0)</f>
        <v>NA</v>
      </c>
      <c r="AG69">
        <f>VLOOKUP($B69,'[1]Plant data'!$A$1:$AB$315,15,0)</f>
        <v>2964</v>
      </c>
      <c r="AH69" t="str">
        <f>VLOOKUP($B69,'[1]Plant data'!$A$1:$AB$315,16,0)</f>
        <v>NA</v>
      </c>
      <c r="AI69" t="str">
        <f>VLOOKUP($B69,'[1]Plant data'!$A$1:$AB$315,17,0)</f>
        <v>NA</v>
      </c>
      <c r="AJ69" t="str">
        <f>VLOOKUP($B69,'[1]Plant data'!$A$1:$AB$315,18,0)</f>
        <v>Erica&amp;Wesley</v>
      </c>
      <c r="AK69" t="str">
        <f>VLOOKUP($B69,'[1]Plant data'!$A$1:$AB$315,19,0)</f>
        <v>NA</v>
      </c>
      <c r="AL69">
        <f>VLOOKUP($B69,'[1]Plant data'!$A$1:$AB$315,20,0)</f>
        <v>3.7072243346005632E-2</v>
      </c>
      <c r="AM69">
        <f>VLOOKUP($B69,'[1]Plant data'!$A$1:$AB$315,21,0)</f>
        <v>0.12086333333333334</v>
      </c>
      <c r="AN69">
        <f>VLOOKUP($B69,'[1]Plant data'!$A$1:$AB$315,22,0)</f>
        <v>7.6045627376425846E-3</v>
      </c>
      <c r="AO69">
        <f>VLOOKUP($B69,'[1]Plant data'!$A$1:$AB$315,23,0)</f>
        <v>7.6846874408169827E-2</v>
      </c>
      <c r="AP69" t="str">
        <f>VLOOKUP($B69,'[1]Plant data'!$A$1:$AB$315,24,0)</f>
        <v>NA</v>
      </c>
      <c r="AQ69" t="str">
        <f>VLOOKUP($B69,'[1]Plant data'!$A$1:$AB$315,25,0)</f>
        <v>NA</v>
      </c>
      <c r="AR69" t="str">
        <f>VLOOKUP($B69,'[1]Plant data'!$A$1:$AB$315,26,0)</f>
        <v>NA</v>
      </c>
      <c r="AS69" t="str">
        <f>VLOOKUP($B69,'[1]Plant data'!$A$1:$AB$315,27,0)</f>
        <v>NA</v>
      </c>
      <c r="AT69" t="str">
        <f>VLOOKUP($B69,'[1]Plant data'!$A$1:$AB$315,28,0)</f>
        <v>Erica &amp; Wesley</v>
      </c>
    </row>
    <row r="70" spans="1:46">
      <c r="A70" s="5" t="s">
        <v>70</v>
      </c>
      <c r="B70" s="15" t="s">
        <v>121</v>
      </c>
      <c r="C70" s="7">
        <v>1</v>
      </c>
      <c r="D70" s="7">
        <v>48.16</v>
      </c>
      <c r="E70" s="8">
        <f t="shared" si="6"/>
        <v>2.0764119601328904E-2</v>
      </c>
      <c r="F70">
        <v>2</v>
      </c>
      <c r="G70" s="9">
        <f>F70/1</f>
        <v>2</v>
      </c>
      <c r="H70" s="27">
        <f t="shared" si="4"/>
        <v>9.3815331016260162E-2</v>
      </c>
      <c r="I70" s="8">
        <f t="shared" si="5"/>
        <v>4.1528239202657809E-2</v>
      </c>
      <c r="J70" t="s">
        <v>270</v>
      </c>
      <c r="K70" t="s">
        <v>123</v>
      </c>
      <c r="L70" t="s">
        <v>22</v>
      </c>
      <c r="M70" t="s">
        <v>23</v>
      </c>
      <c r="N70" s="11">
        <v>15</v>
      </c>
      <c r="O70" s="11">
        <v>6.9235714289999999</v>
      </c>
      <c r="P70" t="s">
        <v>24</v>
      </c>
      <c r="Q70" t="s">
        <v>25</v>
      </c>
      <c r="R70" t="s">
        <v>26</v>
      </c>
      <c r="S70" t="s">
        <v>27</v>
      </c>
      <c r="T70" t="str">
        <f>VLOOKUP(B70,'[1]Plant data'!$A$1:$AB$315,2,0)</f>
        <v>Urticaceae</v>
      </c>
      <c r="U70" t="str">
        <f>VLOOKUP($B70,'[1]Plant data'!$A$1:$AB$315,3,0)</f>
        <v>NA</v>
      </c>
      <c r="V70" t="str">
        <f>VLOOKUP($B70,'[1]Plant data'!$A$1:$AB$315,4,0)</f>
        <v>green</v>
      </c>
      <c r="W70" t="str">
        <f>VLOOKUP($B70,'[1]Plant data'!$A$1:$AB$315,5,0)</f>
        <v>YES</v>
      </c>
      <c r="X70">
        <f>VLOOKUP($B70,'[1]Plant data'!$A$1:$AB$315,6,0)</f>
        <v>11.2</v>
      </c>
      <c r="Y70">
        <f>VLOOKUP($B70,'[1]Plant data'!$A$1:$AB$315,7,0)</f>
        <v>147.6</v>
      </c>
      <c r="Z70">
        <f>VLOOKUP($B70,'[1]Plant data'!$A$1:$AB$315,8,0)</f>
        <v>1.37</v>
      </c>
      <c r="AA70">
        <f>VLOOKUP($B70,'[1]Plant data'!$A$1:$AB$315,9,0)</f>
        <v>2.4</v>
      </c>
      <c r="AB70">
        <f>VLOOKUP($B70,'[1]Plant data'!$A$1:$AB$315,10,0)</f>
        <v>14.87</v>
      </c>
      <c r="AC70" t="str">
        <f>VLOOKUP($B70,'[1]Plant data'!$A$1:$AB$315,11,0)</f>
        <v>NA</v>
      </c>
      <c r="AD70">
        <f>VLOOKUP($B70,'[1]Plant data'!$A$1:$AB$315,12,0)</f>
        <v>1.0000000000000002E-3</v>
      </c>
      <c r="AE70" t="str">
        <f>VLOOKUP($B70,'[1]Plant data'!$A$1:$AB$315,13,0)</f>
        <v>NA</v>
      </c>
      <c r="AF70" t="str">
        <f>VLOOKUP($B70,'[1]Plant data'!$A$1:$AB$315,14,0)</f>
        <v>NA</v>
      </c>
      <c r="AG70">
        <f>VLOOKUP($B70,'[1]Plant data'!$A$1:$AB$315,15,0)</f>
        <v>2964</v>
      </c>
      <c r="AH70" t="str">
        <f>VLOOKUP($B70,'[1]Plant data'!$A$1:$AB$315,16,0)</f>
        <v>NA</v>
      </c>
      <c r="AI70" t="str">
        <f>VLOOKUP($B70,'[1]Plant data'!$A$1:$AB$315,17,0)</f>
        <v>NA</v>
      </c>
      <c r="AJ70" t="str">
        <f>VLOOKUP($B70,'[1]Plant data'!$A$1:$AB$315,18,0)</f>
        <v>Erica&amp;Wesley</v>
      </c>
      <c r="AK70" t="str">
        <f>VLOOKUP($B70,'[1]Plant data'!$A$1:$AB$315,19,0)</f>
        <v>NA</v>
      </c>
      <c r="AL70">
        <f>VLOOKUP($B70,'[1]Plant data'!$A$1:$AB$315,20,0)</f>
        <v>3.7072243346005632E-2</v>
      </c>
      <c r="AM70">
        <f>VLOOKUP($B70,'[1]Plant data'!$A$1:$AB$315,21,0)</f>
        <v>0.12086333333333334</v>
      </c>
      <c r="AN70">
        <f>VLOOKUP($B70,'[1]Plant data'!$A$1:$AB$315,22,0)</f>
        <v>7.6045627376425846E-3</v>
      </c>
      <c r="AO70">
        <f>VLOOKUP($B70,'[1]Plant data'!$A$1:$AB$315,23,0)</f>
        <v>7.6846874408169827E-2</v>
      </c>
      <c r="AP70" t="str">
        <f>VLOOKUP($B70,'[1]Plant data'!$A$1:$AB$315,24,0)</f>
        <v>NA</v>
      </c>
      <c r="AQ70" t="str">
        <f>VLOOKUP($B70,'[1]Plant data'!$A$1:$AB$315,25,0)</f>
        <v>NA</v>
      </c>
      <c r="AR70" t="str">
        <f>VLOOKUP($B70,'[1]Plant data'!$A$1:$AB$315,26,0)</f>
        <v>NA</v>
      </c>
      <c r="AS70" t="str">
        <f>VLOOKUP($B70,'[1]Plant data'!$A$1:$AB$315,27,0)</f>
        <v>NA</v>
      </c>
      <c r="AT70" t="str">
        <f>VLOOKUP($B70,'[1]Plant data'!$A$1:$AB$315,28,0)</f>
        <v>Erica &amp; Wesley</v>
      </c>
    </row>
    <row r="71" spans="1:46">
      <c r="A71" s="5" t="s">
        <v>90</v>
      </c>
      <c r="B71" s="15" t="s">
        <v>121</v>
      </c>
      <c r="C71" s="7">
        <v>6</v>
      </c>
      <c r="D71" s="7">
        <v>48.16</v>
      </c>
      <c r="E71" s="8">
        <f t="shared" si="6"/>
        <v>0.12458471760797343</v>
      </c>
      <c r="F71">
        <v>10</v>
      </c>
      <c r="G71" s="9">
        <f>F71/6</f>
        <v>1.6666666666666667</v>
      </c>
      <c r="H71" s="27">
        <f t="shared" si="4"/>
        <v>0.34665763324299909</v>
      </c>
      <c r="I71" s="8">
        <f t="shared" si="5"/>
        <v>0.20764119601328906</v>
      </c>
      <c r="J71" t="s">
        <v>270</v>
      </c>
      <c r="K71" t="s">
        <v>123</v>
      </c>
      <c r="L71" t="s">
        <v>93</v>
      </c>
      <c r="M71" t="s">
        <v>94</v>
      </c>
      <c r="N71" s="11">
        <v>331</v>
      </c>
      <c r="O71" s="11">
        <v>30.7</v>
      </c>
      <c r="P71" t="s">
        <v>48</v>
      </c>
      <c r="Q71" t="s">
        <v>95</v>
      </c>
      <c r="R71" t="s">
        <v>26</v>
      </c>
      <c r="S71" t="s">
        <v>27</v>
      </c>
      <c r="T71" t="str">
        <f>VLOOKUP(B71,'[1]Plant data'!$A$1:$AB$315,2,0)</f>
        <v>Urticaceae</v>
      </c>
      <c r="U71" t="str">
        <f>VLOOKUP($B71,'[1]Plant data'!$A$1:$AB$315,3,0)</f>
        <v>NA</v>
      </c>
      <c r="V71" t="str">
        <f>VLOOKUP($B71,'[1]Plant data'!$A$1:$AB$315,4,0)</f>
        <v>green</v>
      </c>
      <c r="W71" t="str">
        <f>VLOOKUP($B71,'[1]Plant data'!$A$1:$AB$315,5,0)</f>
        <v>YES</v>
      </c>
      <c r="X71">
        <f>VLOOKUP($B71,'[1]Plant data'!$A$1:$AB$315,6,0)</f>
        <v>11.2</v>
      </c>
      <c r="Y71">
        <f>VLOOKUP($B71,'[1]Plant data'!$A$1:$AB$315,7,0)</f>
        <v>147.6</v>
      </c>
      <c r="Z71">
        <f>VLOOKUP($B71,'[1]Plant data'!$A$1:$AB$315,8,0)</f>
        <v>1.37</v>
      </c>
      <c r="AA71">
        <f>VLOOKUP($B71,'[1]Plant data'!$A$1:$AB$315,9,0)</f>
        <v>2.4</v>
      </c>
      <c r="AB71">
        <f>VLOOKUP($B71,'[1]Plant data'!$A$1:$AB$315,10,0)</f>
        <v>14.87</v>
      </c>
      <c r="AC71" t="str">
        <f>VLOOKUP($B71,'[1]Plant data'!$A$1:$AB$315,11,0)</f>
        <v>NA</v>
      </c>
      <c r="AD71">
        <f>VLOOKUP($B71,'[1]Plant data'!$A$1:$AB$315,12,0)</f>
        <v>1.0000000000000002E-3</v>
      </c>
      <c r="AE71" t="str">
        <f>VLOOKUP($B71,'[1]Plant data'!$A$1:$AB$315,13,0)</f>
        <v>NA</v>
      </c>
      <c r="AF71" t="str">
        <f>VLOOKUP($B71,'[1]Plant data'!$A$1:$AB$315,14,0)</f>
        <v>NA</v>
      </c>
      <c r="AG71">
        <f>VLOOKUP($B71,'[1]Plant data'!$A$1:$AB$315,15,0)</f>
        <v>2964</v>
      </c>
      <c r="AH71" t="str">
        <f>VLOOKUP($B71,'[1]Plant data'!$A$1:$AB$315,16,0)</f>
        <v>NA</v>
      </c>
      <c r="AI71" t="str">
        <f>VLOOKUP($B71,'[1]Plant data'!$A$1:$AB$315,17,0)</f>
        <v>NA</v>
      </c>
      <c r="AJ71" t="str">
        <f>VLOOKUP($B71,'[1]Plant data'!$A$1:$AB$315,18,0)</f>
        <v>Erica&amp;Wesley</v>
      </c>
      <c r="AK71" t="str">
        <f>VLOOKUP($B71,'[1]Plant data'!$A$1:$AB$315,19,0)</f>
        <v>NA</v>
      </c>
      <c r="AL71">
        <f>VLOOKUP($B71,'[1]Plant data'!$A$1:$AB$315,20,0)</f>
        <v>3.7072243346005632E-2</v>
      </c>
      <c r="AM71">
        <f>VLOOKUP($B71,'[1]Plant data'!$A$1:$AB$315,21,0)</f>
        <v>0.12086333333333334</v>
      </c>
      <c r="AN71">
        <f>VLOOKUP($B71,'[1]Plant data'!$A$1:$AB$315,22,0)</f>
        <v>7.6045627376425846E-3</v>
      </c>
      <c r="AO71">
        <f>VLOOKUP($B71,'[1]Plant data'!$A$1:$AB$315,23,0)</f>
        <v>7.6846874408169827E-2</v>
      </c>
      <c r="AP71" t="str">
        <f>VLOOKUP($B71,'[1]Plant data'!$A$1:$AB$315,24,0)</f>
        <v>NA</v>
      </c>
      <c r="AQ71" t="str">
        <f>VLOOKUP($B71,'[1]Plant data'!$A$1:$AB$315,25,0)</f>
        <v>NA</v>
      </c>
      <c r="AR71" t="str">
        <f>VLOOKUP($B71,'[1]Plant data'!$A$1:$AB$315,26,0)</f>
        <v>NA</v>
      </c>
      <c r="AS71" t="str">
        <f>VLOOKUP($B71,'[1]Plant data'!$A$1:$AB$315,27,0)</f>
        <v>NA</v>
      </c>
      <c r="AT71" t="str">
        <f>VLOOKUP($B71,'[1]Plant data'!$A$1:$AB$315,28,0)</f>
        <v>Erica &amp; Wesley</v>
      </c>
    </row>
    <row r="72" spans="1:46">
      <c r="A72" s="5" t="s">
        <v>105</v>
      </c>
      <c r="B72" s="15" t="s">
        <v>121</v>
      </c>
      <c r="C72" s="7">
        <v>3</v>
      </c>
      <c r="D72" s="7">
        <v>48.16</v>
      </c>
      <c r="E72" s="8">
        <f t="shared" si="6"/>
        <v>6.2292358803986717E-2</v>
      </c>
      <c r="F72">
        <v>22.5</v>
      </c>
      <c r="G72" s="9">
        <f>F72/3</f>
        <v>7.5</v>
      </c>
      <c r="H72" s="27">
        <f t="shared" si="4"/>
        <v>1.2723069105691058</v>
      </c>
      <c r="I72" s="8">
        <f t="shared" si="5"/>
        <v>0.46719269102990035</v>
      </c>
      <c r="J72" t="s">
        <v>270</v>
      </c>
      <c r="K72" t="s">
        <v>123</v>
      </c>
      <c r="L72" t="s">
        <v>93</v>
      </c>
      <c r="M72" t="s">
        <v>94</v>
      </c>
      <c r="N72" s="11">
        <v>164</v>
      </c>
      <c r="O72" s="11">
        <v>25.039000000000001</v>
      </c>
      <c r="P72" t="s">
        <v>48</v>
      </c>
      <c r="Q72" t="s">
        <v>25</v>
      </c>
      <c r="R72" t="s">
        <v>26</v>
      </c>
      <c r="S72" t="s">
        <v>27</v>
      </c>
      <c r="T72" t="str">
        <f>VLOOKUP(B72,'[1]Plant data'!$A$1:$AB$315,2,0)</f>
        <v>Urticaceae</v>
      </c>
      <c r="U72" t="str">
        <f>VLOOKUP($B72,'[1]Plant data'!$A$1:$AB$315,3,0)</f>
        <v>NA</v>
      </c>
      <c r="V72" t="str">
        <f>VLOOKUP($B72,'[1]Plant data'!$A$1:$AB$315,4,0)</f>
        <v>green</v>
      </c>
      <c r="W72" t="str">
        <f>VLOOKUP($B72,'[1]Plant data'!$A$1:$AB$315,5,0)</f>
        <v>YES</v>
      </c>
      <c r="X72">
        <f>VLOOKUP($B72,'[1]Plant data'!$A$1:$AB$315,6,0)</f>
        <v>11.2</v>
      </c>
      <c r="Y72">
        <f>VLOOKUP($B72,'[1]Plant data'!$A$1:$AB$315,7,0)</f>
        <v>147.6</v>
      </c>
      <c r="Z72">
        <f>VLOOKUP($B72,'[1]Plant data'!$A$1:$AB$315,8,0)</f>
        <v>1.37</v>
      </c>
      <c r="AA72">
        <f>VLOOKUP($B72,'[1]Plant data'!$A$1:$AB$315,9,0)</f>
        <v>2.4</v>
      </c>
      <c r="AB72">
        <f>VLOOKUP($B72,'[1]Plant data'!$A$1:$AB$315,10,0)</f>
        <v>14.87</v>
      </c>
      <c r="AC72" t="str">
        <f>VLOOKUP($B72,'[1]Plant data'!$A$1:$AB$315,11,0)</f>
        <v>NA</v>
      </c>
      <c r="AD72">
        <f>VLOOKUP($B72,'[1]Plant data'!$A$1:$AB$315,12,0)</f>
        <v>1.0000000000000002E-3</v>
      </c>
      <c r="AE72" t="str">
        <f>VLOOKUP($B72,'[1]Plant data'!$A$1:$AB$315,13,0)</f>
        <v>NA</v>
      </c>
      <c r="AF72" t="str">
        <f>VLOOKUP($B72,'[1]Plant data'!$A$1:$AB$315,14,0)</f>
        <v>NA</v>
      </c>
      <c r="AG72">
        <f>VLOOKUP($B72,'[1]Plant data'!$A$1:$AB$315,15,0)</f>
        <v>2964</v>
      </c>
      <c r="AH72" t="str">
        <f>VLOOKUP($B72,'[1]Plant data'!$A$1:$AB$315,16,0)</f>
        <v>NA</v>
      </c>
      <c r="AI72" t="str">
        <f>VLOOKUP($B72,'[1]Plant data'!$A$1:$AB$315,17,0)</f>
        <v>NA</v>
      </c>
      <c r="AJ72" t="str">
        <f>VLOOKUP($B72,'[1]Plant data'!$A$1:$AB$315,18,0)</f>
        <v>Erica&amp;Wesley</v>
      </c>
      <c r="AK72" t="str">
        <f>VLOOKUP($B72,'[1]Plant data'!$A$1:$AB$315,19,0)</f>
        <v>NA</v>
      </c>
      <c r="AL72">
        <f>VLOOKUP($B72,'[1]Plant data'!$A$1:$AB$315,20,0)</f>
        <v>3.7072243346005632E-2</v>
      </c>
      <c r="AM72">
        <f>VLOOKUP($B72,'[1]Plant data'!$A$1:$AB$315,21,0)</f>
        <v>0.12086333333333334</v>
      </c>
      <c r="AN72">
        <f>VLOOKUP($B72,'[1]Plant data'!$A$1:$AB$315,22,0)</f>
        <v>7.6045627376425846E-3</v>
      </c>
      <c r="AO72">
        <f>VLOOKUP($B72,'[1]Plant data'!$A$1:$AB$315,23,0)</f>
        <v>7.6846874408169827E-2</v>
      </c>
      <c r="AP72" t="str">
        <f>VLOOKUP($B72,'[1]Plant data'!$A$1:$AB$315,24,0)</f>
        <v>NA</v>
      </c>
      <c r="AQ72" t="str">
        <f>VLOOKUP($B72,'[1]Plant data'!$A$1:$AB$315,25,0)</f>
        <v>NA</v>
      </c>
      <c r="AR72" t="str">
        <f>VLOOKUP($B72,'[1]Plant data'!$A$1:$AB$315,26,0)</f>
        <v>NA</v>
      </c>
      <c r="AS72" t="str">
        <f>VLOOKUP($B72,'[1]Plant data'!$A$1:$AB$315,27,0)</f>
        <v>NA</v>
      </c>
      <c r="AT72" t="str">
        <f>VLOOKUP($B72,'[1]Plant data'!$A$1:$AB$315,28,0)</f>
        <v>Erica &amp; Wesley</v>
      </c>
    </row>
    <row r="73" spans="1:46">
      <c r="A73" s="5" t="s">
        <v>41</v>
      </c>
      <c r="B73" s="15" t="s">
        <v>121</v>
      </c>
      <c r="C73" s="7">
        <v>18</v>
      </c>
      <c r="D73" s="7">
        <v>48.16</v>
      </c>
      <c r="E73" s="8">
        <f t="shared" si="6"/>
        <v>0.37375415282392027</v>
      </c>
      <c r="F73">
        <v>69</v>
      </c>
      <c r="G73" s="9">
        <f>F73/14</f>
        <v>4.9285714285714288</v>
      </c>
      <c r="H73" s="27">
        <f t="shared" si="4"/>
        <v>0.2766139653658537</v>
      </c>
      <c r="I73" s="8">
        <f t="shared" si="5"/>
        <v>1.8420740389178929</v>
      </c>
      <c r="J73" t="s">
        <v>270</v>
      </c>
      <c r="K73" t="s">
        <v>123</v>
      </c>
      <c r="L73" s="16" t="s">
        <v>22</v>
      </c>
      <c r="M73" s="16" t="s">
        <v>30</v>
      </c>
      <c r="N73" s="17">
        <v>39</v>
      </c>
      <c r="O73" s="17">
        <v>8.2839869279999991</v>
      </c>
      <c r="P73" s="16" t="s">
        <v>24</v>
      </c>
      <c r="Q73" s="16" t="s">
        <v>25</v>
      </c>
      <c r="R73" s="16" t="s">
        <v>26</v>
      </c>
      <c r="S73" s="16" t="s">
        <v>31</v>
      </c>
      <c r="T73" t="str">
        <f>VLOOKUP(B73,'[1]Plant data'!$A$1:$AB$315,2,0)</f>
        <v>Urticaceae</v>
      </c>
      <c r="U73" t="str">
        <f>VLOOKUP($B73,'[1]Plant data'!$A$1:$AB$315,3,0)</f>
        <v>NA</v>
      </c>
      <c r="V73" t="str">
        <f>VLOOKUP($B73,'[1]Plant data'!$A$1:$AB$315,4,0)</f>
        <v>green</v>
      </c>
      <c r="W73" t="str">
        <f>VLOOKUP($B73,'[1]Plant data'!$A$1:$AB$315,5,0)</f>
        <v>YES</v>
      </c>
      <c r="X73">
        <f>VLOOKUP($B73,'[1]Plant data'!$A$1:$AB$315,6,0)</f>
        <v>11.2</v>
      </c>
      <c r="Y73">
        <f>VLOOKUP($B73,'[1]Plant data'!$A$1:$AB$315,7,0)</f>
        <v>147.6</v>
      </c>
      <c r="Z73">
        <f>VLOOKUP($B73,'[1]Plant data'!$A$1:$AB$315,8,0)</f>
        <v>1.37</v>
      </c>
      <c r="AA73">
        <f>VLOOKUP($B73,'[1]Plant data'!$A$1:$AB$315,9,0)</f>
        <v>2.4</v>
      </c>
      <c r="AB73">
        <f>VLOOKUP($B73,'[1]Plant data'!$A$1:$AB$315,10,0)</f>
        <v>14.87</v>
      </c>
      <c r="AC73" t="str">
        <f>VLOOKUP($B73,'[1]Plant data'!$A$1:$AB$315,11,0)</f>
        <v>NA</v>
      </c>
      <c r="AD73">
        <f>VLOOKUP($B73,'[1]Plant data'!$A$1:$AB$315,12,0)</f>
        <v>1.0000000000000002E-3</v>
      </c>
      <c r="AE73" t="str">
        <f>VLOOKUP($B73,'[1]Plant data'!$A$1:$AB$315,13,0)</f>
        <v>NA</v>
      </c>
      <c r="AF73" t="str">
        <f>VLOOKUP($B73,'[1]Plant data'!$A$1:$AB$315,14,0)</f>
        <v>NA</v>
      </c>
      <c r="AG73">
        <f>VLOOKUP($B73,'[1]Plant data'!$A$1:$AB$315,15,0)</f>
        <v>2964</v>
      </c>
      <c r="AH73" t="str">
        <f>VLOOKUP($B73,'[1]Plant data'!$A$1:$AB$315,16,0)</f>
        <v>NA</v>
      </c>
      <c r="AI73" t="str">
        <f>VLOOKUP($B73,'[1]Plant data'!$A$1:$AB$315,17,0)</f>
        <v>NA</v>
      </c>
      <c r="AJ73" t="str">
        <f>VLOOKUP($B73,'[1]Plant data'!$A$1:$AB$315,18,0)</f>
        <v>Erica&amp;Wesley</v>
      </c>
      <c r="AK73" t="str">
        <f>VLOOKUP($B73,'[1]Plant data'!$A$1:$AB$315,19,0)</f>
        <v>NA</v>
      </c>
      <c r="AL73">
        <f>VLOOKUP($B73,'[1]Plant data'!$A$1:$AB$315,20,0)</f>
        <v>3.7072243346005632E-2</v>
      </c>
      <c r="AM73">
        <f>VLOOKUP($B73,'[1]Plant data'!$A$1:$AB$315,21,0)</f>
        <v>0.12086333333333334</v>
      </c>
      <c r="AN73">
        <f>VLOOKUP($B73,'[1]Plant data'!$A$1:$AB$315,22,0)</f>
        <v>7.6045627376425846E-3</v>
      </c>
      <c r="AO73">
        <f>VLOOKUP($B73,'[1]Plant data'!$A$1:$AB$315,23,0)</f>
        <v>7.6846874408169827E-2</v>
      </c>
      <c r="AP73" t="str">
        <f>VLOOKUP($B73,'[1]Plant data'!$A$1:$AB$315,24,0)</f>
        <v>NA</v>
      </c>
      <c r="AQ73" t="str">
        <f>VLOOKUP($B73,'[1]Plant data'!$A$1:$AB$315,25,0)</f>
        <v>NA</v>
      </c>
      <c r="AR73" t="str">
        <f>VLOOKUP($B73,'[1]Plant data'!$A$1:$AB$315,26,0)</f>
        <v>NA</v>
      </c>
      <c r="AS73" t="str">
        <f>VLOOKUP($B73,'[1]Plant data'!$A$1:$AB$315,27,0)</f>
        <v>NA</v>
      </c>
      <c r="AT73" t="str">
        <f>VLOOKUP($B73,'[1]Plant data'!$A$1:$AB$315,28,0)</f>
        <v>Erica &amp; Wesley</v>
      </c>
    </row>
    <row r="74" spans="1:46">
      <c r="A74" s="5" t="s">
        <v>106</v>
      </c>
      <c r="B74" s="15" t="s">
        <v>121</v>
      </c>
      <c r="C74" s="7">
        <v>1</v>
      </c>
      <c r="D74" s="7">
        <v>48.16</v>
      </c>
      <c r="E74" s="8">
        <f t="shared" si="6"/>
        <v>2.0764119601328904E-2</v>
      </c>
      <c r="F74" t="s">
        <v>19</v>
      </c>
      <c r="G74" s="41">
        <v>3</v>
      </c>
      <c r="H74" s="41">
        <f t="shared" si="4"/>
        <v>0.3367961457317073</v>
      </c>
      <c r="I74" s="8">
        <f t="shared" si="5"/>
        <v>6.2292358803986717E-2</v>
      </c>
      <c r="J74" t="s">
        <v>270</v>
      </c>
      <c r="K74" t="s">
        <v>123</v>
      </c>
      <c r="L74" t="s">
        <v>22</v>
      </c>
      <c r="M74" t="s">
        <v>75</v>
      </c>
      <c r="N74" s="11">
        <v>68.099999999999994</v>
      </c>
      <c r="O74" s="11">
        <v>16.570370369999999</v>
      </c>
      <c r="P74" t="s">
        <v>48</v>
      </c>
      <c r="Q74" t="s">
        <v>49</v>
      </c>
      <c r="R74" t="s">
        <v>26</v>
      </c>
      <c r="S74" t="s">
        <v>27</v>
      </c>
      <c r="T74" t="str">
        <f>VLOOKUP(B74,'[1]Plant data'!$A$1:$AB$315,2,0)</f>
        <v>Urticaceae</v>
      </c>
      <c r="U74" t="str">
        <f>VLOOKUP($B74,'[1]Plant data'!$A$1:$AB$315,3,0)</f>
        <v>NA</v>
      </c>
      <c r="V74" t="str">
        <f>VLOOKUP($B74,'[1]Plant data'!$A$1:$AB$315,4,0)</f>
        <v>green</v>
      </c>
      <c r="W74" t="str">
        <f>VLOOKUP($B74,'[1]Plant data'!$A$1:$AB$315,5,0)</f>
        <v>YES</v>
      </c>
      <c r="X74">
        <f>VLOOKUP($B74,'[1]Plant data'!$A$1:$AB$315,6,0)</f>
        <v>11.2</v>
      </c>
      <c r="Y74">
        <f>VLOOKUP($B74,'[1]Plant data'!$A$1:$AB$315,7,0)</f>
        <v>147.6</v>
      </c>
      <c r="Z74">
        <f>VLOOKUP($B74,'[1]Plant data'!$A$1:$AB$315,8,0)</f>
        <v>1.37</v>
      </c>
      <c r="AA74">
        <f>VLOOKUP($B74,'[1]Plant data'!$A$1:$AB$315,9,0)</f>
        <v>2.4</v>
      </c>
      <c r="AB74">
        <f>VLOOKUP($B74,'[1]Plant data'!$A$1:$AB$315,10,0)</f>
        <v>14.87</v>
      </c>
      <c r="AC74" t="str">
        <f>VLOOKUP($B74,'[1]Plant data'!$A$1:$AB$315,11,0)</f>
        <v>NA</v>
      </c>
      <c r="AD74">
        <f>VLOOKUP($B74,'[1]Plant data'!$A$1:$AB$315,12,0)</f>
        <v>1.0000000000000002E-3</v>
      </c>
      <c r="AE74" t="str">
        <f>VLOOKUP($B74,'[1]Plant data'!$A$1:$AB$315,13,0)</f>
        <v>NA</v>
      </c>
      <c r="AF74" t="str">
        <f>VLOOKUP($B74,'[1]Plant data'!$A$1:$AB$315,14,0)</f>
        <v>NA</v>
      </c>
      <c r="AG74">
        <f>VLOOKUP($B74,'[1]Plant data'!$A$1:$AB$315,15,0)</f>
        <v>2964</v>
      </c>
      <c r="AH74" t="str">
        <f>VLOOKUP($B74,'[1]Plant data'!$A$1:$AB$315,16,0)</f>
        <v>NA</v>
      </c>
      <c r="AI74" t="str">
        <f>VLOOKUP($B74,'[1]Plant data'!$A$1:$AB$315,17,0)</f>
        <v>NA</v>
      </c>
      <c r="AJ74" t="str">
        <f>VLOOKUP($B74,'[1]Plant data'!$A$1:$AB$315,18,0)</f>
        <v>Erica&amp;Wesley</v>
      </c>
      <c r="AK74" t="str">
        <f>VLOOKUP($B74,'[1]Plant data'!$A$1:$AB$315,19,0)</f>
        <v>NA</v>
      </c>
      <c r="AL74">
        <f>VLOOKUP($B74,'[1]Plant data'!$A$1:$AB$315,20,0)</f>
        <v>3.7072243346005632E-2</v>
      </c>
      <c r="AM74">
        <f>VLOOKUP($B74,'[1]Plant data'!$A$1:$AB$315,21,0)</f>
        <v>0.12086333333333334</v>
      </c>
      <c r="AN74">
        <f>VLOOKUP($B74,'[1]Plant data'!$A$1:$AB$315,22,0)</f>
        <v>7.6045627376425846E-3</v>
      </c>
      <c r="AO74">
        <f>VLOOKUP($B74,'[1]Plant data'!$A$1:$AB$315,23,0)</f>
        <v>7.6846874408169827E-2</v>
      </c>
      <c r="AP74" t="str">
        <f>VLOOKUP($B74,'[1]Plant data'!$A$1:$AB$315,24,0)</f>
        <v>NA</v>
      </c>
      <c r="AQ74" t="str">
        <f>VLOOKUP($B74,'[1]Plant data'!$A$1:$AB$315,25,0)</f>
        <v>NA</v>
      </c>
      <c r="AR74" t="str">
        <f>VLOOKUP($B74,'[1]Plant data'!$A$1:$AB$315,26,0)</f>
        <v>NA</v>
      </c>
      <c r="AS74" t="str">
        <f>VLOOKUP($B74,'[1]Plant data'!$A$1:$AB$315,27,0)</f>
        <v>NA</v>
      </c>
      <c r="AT74" t="str">
        <f>VLOOKUP($B74,'[1]Plant data'!$A$1:$AB$315,28,0)</f>
        <v>Erica &amp; Wesley</v>
      </c>
    </row>
    <row r="75" spans="1:46">
      <c r="A75" s="5" t="s">
        <v>107</v>
      </c>
      <c r="B75" s="15" t="s">
        <v>121</v>
      </c>
      <c r="C75" s="7">
        <v>1</v>
      </c>
      <c r="D75" s="7">
        <v>48.16</v>
      </c>
      <c r="E75" s="8">
        <f t="shared" si="6"/>
        <v>2.0764119601328904E-2</v>
      </c>
      <c r="F75">
        <v>1</v>
      </c>
      <c r="G75" s="9">
        <f>F75/1</f>
        <v>1</v>
      </c>
      <c r="H75" s="27">
        <f t="shared" si="4"/>
        <v>0.13881436314363144</v>
      </c>
      <c r="I75" s="8">
        <f t="shared" si="5"/>
        <v>2.0764119601328904E-2</v>
      </c>
      <c r="J75" t="s">
        <v>270</v>
      </c>
      <c r="K75" t="s">
        <v>123</v>
      </c>
      <c r="L75" t="s">
        <v>108</v>
      </c>
      <c r="M75" t="s">
        <v>109</v>
      </c>
      <c r="N75" s="11">
        <v>89.7</v>
      </c>
      <c r="O75" s="11">
        <v>20.489000000000001</v>
      </c>
      <c r="P75" t="s">
        <v>48</v>
      </c>
      <c r="Q75" t="s">
        <v>25</v>
      </c>
      <c r="R75" t="s">
        <v>26</v>
      </c>
      <c r="S75" t="s">
        <v>31</v>
      </c>
      <c r="T75" t="str">
        <f>VLOOKUP(B75,'[1]Plant data'!$A$1:$AB$315,2,0)</f>
        <v>Urticaceae</v>
      </c>
      <c r="U75" t="str">
        <f>VLOOKUP($B75,'[1]Plant data'!$A$1:$AB$315,3,0)</f>
        <v>NA</v>
      </c>
      <c r="V75" t="str">
        <f>VLOOKUP($B75,'[1]Plant data'!$A$1:$AB$315,4,0)</f>
        <v>green</v>
      </c>
      <c r="W75" t="str">
        <f>VLOOKUP($B75,'[1]Plant data'!$A$1:$AB$315,5,0)</f>
        <v>YES</v>
      </c>
      <c r="X75">
        <f>VLOOKUP($B75,'[1]Plant data'!$A$1:$AB$315,6,0)</f>
        <v>11.2</v>
      </c>
      <c r="Y75">
        <f>VLOOKUP($B75,'[1]Plant data'!$A$1:$AB$315,7,0)</f>
        <v>147.6</v>
      </c>
      <c r="Z75">
        <f>VLOOKUP($B75,'[1]Plant data'!$A$1:$AB$315,8,0)</f>
        <v>1.37</v>
      </c>
      <c r="AA75">
        <f>VLOOKUP($B75,'[1]Plant data'!$A$1:$AB$315,9,0)</f>
        <v>2.4</v>
      </c>
      <c r="AB75">
        <f>VLOOKUP($B75,'[1]Plant data'!$A$1:$AB$315,10,0)</f>
        <v>14.87</v>
      </c>
      <c r="AC75" t="str">
        <f>VLOOKUP($B75,'[1]Plant data'!$A$1:$AB$315,11,0)</f>
        <v>NA</v>
      </c>
      <c r="AD75">
        <f>VLOOKUP($B75,'[1]Plant data'!$A$1:$AB$315,12,0)</f>
        <v>1.0000000000000002E-3</v>
      </c>
      <c r="AE75" t="str">
        <f>VLOOKUP($B75,'[1]Plant data'!$A$1:$AB$315,13,0)</f>
        <v>NA</v>
      </c>
      <c r="AF75" t="str">
        <f>VLOOKUP($B75,'[1]Plant data'!$A$1:$AB$315,14,0)</f>
        <v>NA</v>
      </c>
      <c r="AG75">
        <f>VLOOKUP($B75,'[1]Plant data'!$A$1:$AB$315,15,0)</f>
        <v>2964</v>
      </c>
      <c r="AH75" t="str">
        <f>VLOOKUP($B75,'[1]Plant data'!$A$1:$AB$315,16,0)</f>
        <v>NA</v>
      </c>
      <c r="AI75" t="str">
        <f>VLOOKUP($B75,'[1]Plant data'!$A$1:$AB$315,17,0)</f>
        <v>NA</v>
      </c>
      <c r="AJ75" t="str">
        <f>VLOOKUP($B75,'[1]Plant data'!$A$1:$AB$315,18,0)</f>
        <v>Erica&amp;Wesley</v>
      </c>
      <c r="AK75" t="str">
        <f>VLOOKUP($B75,'[1]Plant data'!$A$1:$AB$315,19,0)</f>
        <v>NA</v>
      </c>
      <c r="AL75">
        <f>VLOOKUP($B75,'[1]Plant data'!$A$1:$AB$315,20,0)</f>
        <v>3.7072243346005632E-2</v>
      </c>
      <c r="AM75">
        <f>VLOOKUP($B75,'[1]Plant data'!$A$1:$AB$315,21,0)</f>
        <v>0.12086333333333334</v>
      </c>
      <c r="AN75">
        <f>VLOOKUP($B75,'[1]Plant data'!$A$1:$AB$315,22,0)</f>
        <v>7.6045627376425846E-3</v>
      </c>
      <c r="AO75">
        <f>VLOOKUP($B75,'[1]Plant data'!$A$1:$AB$315,23,0)</f>
        <v>7.6846874408169827E-2</v>
      </c>
      <c r="AP75" t="str">
        <f>VLOOKUP($B75,'[1]Plant data'!$A$1:$AB$315,24,0)</f>
        <v>NA</v>
      </c>
      <c r="AQ75" t="str">
        <f>VLOOKUP($B75,'[1]Plant data'!$A$1:$AB$315,25,0)</f>
        <v>NA</v>
      </c>
      <c r="AR75" t="str">
        <f>VLOOKUP($B75,'[1]Plant data'!$A$1:$AB$315,26,0)</f>
        <v>NA</v>
      </c>
      <c r="AS75" t="str">
        <f>VLOOKUP($B75,'[1]Plant data'!$A$1:$AB$315,27,0)</f>
        <v>NA</v>
      </c>
      <c r="AT75" t="str">
        <f>VLOOKUP($B75,'[1]Plant data'!$A$1:$AB$315,28,0)</f>
        <v>Erica &amp; Wesley</v>
      </c>
    </row>
    <row r="76" spans="1:46">
      <c r="A76" s="81" t="s">
        <v>32</v>
      </c>
      <c r="B76" s="82" t="s">
        <v>121</v>
      </c>
      <c r="C76" s="25">
        <v>7</v>
      </c>
      <c r="D76" s="25">
        <v>150</v>
      </c>
      <c r="E76" s="26">
        <v>4.7E-2</v>
      </c>
      <c r="F76" s="25" t="s">
        <v>19</v>
      </c>
      <c r="G76" s="25">
        <v>0.56999999999999995</v>
      </c>
      <c r="H76" s="27">
        <f t="shared" si="4"/>
        <v>2.0081300813008129E-2</v>
      </c>
      <c r="I76" s="8">
        <f>E76*H76</f>
        <v>9.4382113821138208E-4</v>
      </c>
      <c r="J76" s="25" t="s">
        <v>122</v>
      </c>
      <c r="K76" s="25" t="s">
        <v>123</v>
      </c>
      <c r="L76" s="25" t="s">
        <v>22</v>
      </c>
      <c r="M76" s="25" t="s">
        <v>30</v>
      </c>
      <c r="N76" s="59">
        <v>18</v>
      </c>
      <c r="O76" s="59">
        <v>5.2</v>
      </c>
      <c r="P76" s="25" t="s">
        <v>24</v>
      </c>
      <c r="Q76" s="25" t="s">
        <v>25</v>
      </c>
      <c r="R76" s="25" t="s">
        <v>26</v>
      </c>
      <c r="S76" s="25" t="s">
        <v>31</v>
      </c>
      <c r="T76" t="str">
        <f>VLOOKUP(B76,'[1]Plant data'!$A$1:$AB$315,2,0)</f>
        <v>Urticaceae</v>
      </c>
      <c r="U76" t="str">
        <f>VLOOKUP($B76,'[1]Plant data'!$A$1:$AB$315,3,0)</f>
        <v>NA</v>
      </c>
      <c r="V76" t="str">
        <f>VLOOKUP($B76,'[1]Plant data'!$A$1:$AB$315,4,0)</f>
        <v>green</v>
      </c>
      <c r="W76" t="str">
        <f>VLOOKUP($B76,'[1]Plant data'!$A$1:$AB$315,5,0)</f>
        <v>YES</v>
      </c>
      <c r="X76">
        <f>VLOOKUP($B76,'[1]Plant data'!$A$1:$AB$315,6,0)</f>
        <v>11.2</v>
      </c>
      <c r="Y76">
        <f>VLOOKUP($B76,'[1]Plant data'!$A$1:$AB$315,7,0)</f>
        <v>147.6</v>
      </c>
      <c r="Z76">
        <f>VLOOKUP($B76,'[1]Plant data'!$A$1:$AB$315,8,0)</f>
        <v>1.37</v>
      </c>
      <c r="AA76">
        <f>VLOOKUP($B76,'[1]Plant data'!$A$1:$AB$315,9,0)</f>
        <v>2.4</v>
      </c>
      <c r="AB76">
        <f>VLOOKUP($B76,'[1]Plant data'!$A$1:$AB$315,10,0)</f>
        <v>14.87</v>
      </c>
      <c r="AC76" t="str">
        <f>VLOOKUP($B76,'[1]Plant data'!$A$1:$AB$315,11,0)</f>
        <v>NA</v>
      </c>
      <c r="AD76">
        <f>VLOOKUP($B76,'[1]Plant data'!$A$1:$AB$315,12,0)</f>
        <v>1.0000000000000002E-3</v>
      </c>
      <c r="AE76" t="str">
        <f>VLOOKUP($B76,'[1]Plant data'!$A$1:$AB$315,13,0)</f>
        <v>NA</v>
      </c>
      <c r="AF76" t="str">
        <f>VLOOKUP($B76,'[1]Plant data'!$A$1:$AB$315,14,0)</f>
        <v>NA</v>
      </c>
      <c r="AG76">
        <f>VLOOKUP($B76,'[1]Plant data'!$A$1:$AB$315,15,0)</f>
        <v>2964</v>
      </c>
      <c r="AH76" t="str">
        <f>VLOOKUP($B76,'[1]Plant data'!$A$1:$AB$315,16,0)</f>
        <v>NA</v>
      </c>
      <c r="AI76" t="str">
        <f>VLOOKUP($B76,'[1]Plant data'!$A$1:$AB$315,17,0)</f>
        <v>NA</v>
      </c>
      <c r="AJ76" t="str">
        <f>VLOOKUP($B76,'[1]Plant data'!$A$1:$AB$315,18,0)</f>
        <v>Erica&amp;Wesley</v>
      </c>
      <c r="AK76" t="str">
        <f>VLOOKUP($B76,'[1]Plant data'!$A$1:$AB$315,19,0)</f>
        <v>NA</v>
      </c>
      <c r="AL76">
        <f>VLOOKUP($B76,'[1]Plant data'!$A$1:$AB$315,20,0)</f>
        <v>3.7072243346005632E-2</v>
      </c>
      <c r="AM76">
        <f>VLOOKUP($B76,'[1]Plant data'!$A$1:$AB$315,21,0)</f>
        <v>0.12086333333333334</v>
      </c>
      <c r="AN76">
        <f>VLOOKUP($B76,'[1]Plant data'!$A$1:$AB$315,22,0)</f>
        <v>7.6045627376425846E-3</v>
      </c>
      <c r="AO76">
        <f>VLOOKUP($B76,'[1]Plant data'!$A$1:$AB$315,23,0)</f>
        <v>7.6846874408169827E-2</v>
      </c>
      <c r="AP76" t="str">
        <f>VLOOKUP($B76,'[1]Plant data'!$A$1:$AB$315,24,0)</f>
        <v>NA</v>
      </c>
      <c r="AQ76" t="str">
        <f>VLOOKUP($B76,'[1]Plant data'!$A$1:$AB$315,25,0)</f>
        <v>NA</v>
      </c>
      <c r="AR76" t="str">
        <f>VLOOKUP($B76,'[1]Plant data'!$A$1:$AB$315,26,0)</f>
        <v>NA</v>
      </c>
      <c r="AS76" t="str">
        <f>VLOOKUP($B76,'[1]Plant data'!$A$1:$AB$315,27,0)</f>
        <v>NA</v>
      </c>
      <c r="AT76" t="str">
        <f>VLOOKUP($B76,'[1]Plant data'!$A$1:$AB$315,28,0)</f>
        <v>Erica &amp; Wesley</v>
      </c>
    </row>
    <row r="77" spans="1:46">
      <c r="A77" s="5" t="s">
        <v>28</v>
      </c>
      <c r="B77" s="15" t="s">
        <v>83</v>
      </c>
      <c r="C77" s="7">
        <v>1</v>
      </c>
      <c r="D77" s="7">
        <v>17</v>
      </c>
      <c r="E77" s="8">
        <f>C77/D77</f>
        <v>5.8823529411764705E-2</v>
      </c>
      <c r="F77">
        <v>4</v>
      </c>
      <c r="G77" s="9">
        <f>F77/C77</f>
        <v>4</v>
      </c>
      <c r="H77" s="27">
        <f t="shared" si="4"/>
        <v>0.18626263068039167</v>
      </c>
      <c r="I77" s="8">
        <f t="shared" ref="I77:I83" si="7">E77*G77</f>
        <v>0.23529411764705882</v>
      </c>
      <c r="J77" t="s">
        <v>79</v>
      </c>
      <c r="K77" t="s">
        <v>80</v>
      </c>
      <c r="L77" t="s">
        <v>22</v>
      </c>
      <c r="M77" t="s">
        <v>30</v>
      </c>
      <c r="N77" s="11">
        <v>18</v>
      </c>
      <c r="O77" s="11">
        <v>7.4188405800000004</v>
      </c>
      <c r="P77" t="s">
        <v>24</v>
      </c>
      <c r="Q77" s="13" t="s">
        <v>25</v>
      </c>
      <c r="R77" s="13" t="s">
        <v>26</v>
      </c>
      <c r="S77" s="13" t="s">
        <v>31</v>
      </c>
      <c r="T77" t="str">
        <f>VLOOKUP(B77,'[1]Plant data'!$A$1:$AB$315,2,0)</f>
        <v>Urticaceae</v>
      </c>
      <c r="U77" t="str">
        <f>VLOOKUP($B77,'[1]Plant data'!$A$1:$AB$315,3,0)</f>
        <v>NA</v>
      </c>
      <c r="V77" t="str">
        <f>VLOOKUP($B77,'[1]Plant data'!$A$1:$AB$315,4,0)</f>
        <v>green</v>
      </c>
      <c r="W77" t="str">
        <f>VLOOKUP($B77,'[1]Plant data'!$A$1:$AB$315,5,0)</f>
        <v>YES</v>
      </c>
      <c r="X77">
        <f>VLOOKUP($B77,'[1]Plant data'!$A$1:$AB$315,6,0)</f>
        <v>13.65</v>
      </c>
      <c r="Y77">
        <f>VLOOKUP($B77,'[1]Plant data'!$A$1:$AB$315,7,0)</f>
        <v>159.32</v>
      </c>
      <c r="Z77">
        <f>VLOOKUP($B77,'[1]Plant data'!$A$1:$AB$315,8,0)</f>
        <v>0.96200000000000008</v>
      </c>
      <c r="AA77">
        <f>VLOOKUP($B77,'[1]Plant data'!$A$1:$AB$315,9,0)</f>
        <v>2.2850000000000001</v>
      </c>
      <c r="AB77">
        <f>VLOOKUP($B77,'[1]Plant data'!$A$1:$AB$315,10,0)</f>
        <v>10.4</v>
      </c>
      <c r="AC77" t="str">
        <f>VLOOKUP($B77,'[1]Plant data'!$A$1:$AB$315,11,0)</f>
        <v>NA</v>
      </c>
      <c r="AD77" t="str">
        <f>VLOOKUP($B77,'[1]Plant data'!$A$1:$AB$315,12,0)</f>
        <v>NA</v>
      </c>
      <c r="AE77">
        <f>VLOOKUP($B77,'[1]Plant data'!$A$1:$AB$315,13,0)</f>
        <v>0.8</v>
      </c>
      <c r="AF77" t="str">
        <f>VLOOKUP($B77,'[1]Plant data'!$A$1:$AB$315,14,0)</f>
        <v>NA</v>
      </c>
      <c r="AG77">
        <f>VLOOKUP($B77,'[1]Plant data'!$A$1:$AB$315,15,0)</f>
        <v>4137</v>
      </c>
      <c r="AH77" t="str">
        <f>VLOOKUP($B77,'[1]Plant data'!$A$1:$AB$315,16,0)</f>
        <v>NA</v>
      </c>
      <c r="AI77" t="str">
        <f>VLOOKUP($B77,'[1]Plant data'!$A$1:$AB$315,17,0)</f>
        <v>NA</v>
      </c>
      <c r="AJ77" t="str">
        <f>VLOOKUP($B77,'[1]Plant data'!$A$1:$AB$315,18,0)</f>
        <v>Souza 2004, Motta Jr. 1981, ATLANTIC, Castro 2001, Fábio Jacomassa, unpubl., Intervales_morfo, Mikich 2002</v>
      </c>
      <c r="AK77">
        <f>VLOOKUP($B77,'[1]Plant data'!$A$1:$AB$315,19,0)</f>
        <v>0.63100000000000001</v>
      </c>
      <c r="AL77">
        <f>VLOOKUP($B77,'[1]Plant data'!$A$1:$AB$315,20,0)</f>
        <v>3.9E-2</v>
      </c>
      <c r="AM77">
        <f>VLOOKUP($B77,'[1]Plant data'!$A$1:$AB$315,21,0)</f>
        <v>0.11699999999999999</v>
      </c>
      <c r="AN77" t="str">
        <f>VLOOKUP($B77,'[1]Plant data'!$A$1:$AB$315,22,0)</f>
        <v>NA</v>
      </c>
      <c r="AO77" t="str">
        <f>VLOOKUP($B77,'[1]Plant data'!$A$1:$AB$315,23,0)</f>
        <v>NA</v>
      </c>
      <c r="AP77" t="str">
        <f>VLOOKUP($B77,'[1]Plant data'!$A$1:$AB$315,24,0)</f>
        <v>NA</v>
      </c>
      <c r="AQ77">
        <f>VLOOKUP($B77,'[1]Plant data'!$A$1:$AB$315,25,0)</f>
        <v>0.77599999999999991</v>
      </c>
      <c r="AR77">
        <f>VLOOKUP($B77,'[1]Plant data'!$A$1:$AB$315,26,0)</f>
        <v>6.3E-2</v>
      </c>
      <c r="AS77" t="str">
        <f>VLOOKUP($B77,'[1]Plant data'!$A$1:$AB$315,27,0)</f>
        <v>NA</v>
      </c>
      <c r="AT77" t="str">
        <f>VLOOKUP($B77,'[1]Plant data'!$A$1:$AB$315,28,0)</f>
        <v>Saibadela,Motta Jr. 1981</v>
      </c>
    </row>
    <row r="78" spans="1:46">
      <c r="A78" s="5" t="s">
        <v>41</v>
      </c>
      <c r="B78" s="15" t="s">
        <v>83</v>
      </c>
      <c r="C78" s="7">
        <v>1</v>
      </c>
      <c r="D78" s="7">
        <v>17</v>
      </c>
      <c r="E78" s="8">
        <f>C78/D78</f>
        <v>5.8823529411764705E-2</v>
      </c>
      <c r="F78">
        <v>1</v>
      </c>
      <c r="G78" s="9">
        <f>F78/C78</f>
        <v>1</v>
      </c>
      <c r="H78" s="27">
        <f t="shared" si="4"/>
        <v>5.1995900878734617E-2</v>
      </c>
      <c r="I78" s="8">
        <f t="shared" si="7"/>
        <v>5.8823529411764705E-2</v>
      </c>
      <c r="J78" t="s">
        <v>79</v>
      </c>
      <c r="K78" t="s">
        <v>80</v>
      </c>
      <c r="L78" t="s">
        <v>22</v>
      </c>
      <c r="M78" t="s">
        <v>30</v>
      </c>
      <c r="N78" s="11">
        <v>39</v>
      </c>
      <c r="O78" s="11">
        <v>8.2839869279999991</v>
      </c>
      <c r="P78" t="s">
        <v>24</v>
      </c>
      <c r="Q78" t="s">
        <v>25</v>
      </c>
      <c r="R78" t="s">
        <v>26</v>
      </c>
      <c r="S78" t="s">
        <v>31</v>
      </c>
      <c r="T78" t="str">
        <f>VLOOKUP(B78,'[1]Plant data'!$A$1:$AB$315,2,0)</f>
        <v>Urticaceae</v>
      </c>
      <c r="U78" t="str">
        <f>VLOOKUP($B78,'[1]Plant data'!$A$1:$AB$315,3,0)</f>
        <v>NA</v>
      </c>
      <c r="V78" t="str">
        <f>VLOOKUP($B78,'[1]Plant data'!$A$1:$AB$315,4,0)</f>
        <v>green</v>
      </c>
      <c r="W78" t="str">
        <f>VLOOKUP($B78,'[1]Plant data'!$A$1:$AB$315,5,0)</f>
        <v>YES</v>
      </c>
      <c r="X78">
        <f>VLOOKUP($B78,'[1]Plant data'!$A$1:$AB$315,6,0)</f>
        <v>13.65</v>
      </c>
      <c r="Y78">
        <f>VLOOKUP($B78,'[1]Plant data'!$A$1:$AB$315,7,0)</f>
        <v>159.32</v>
      </c>
      <c r="Z78">
        <f>VLOOKUP($B78,'[1]Plant data'!$A$1:$AB$315,8,0)</f>
        <v>0.96200000000000008</v>
      </c>
      <c r="AA78">
        <f>VLOOKUP($B78,'[1]Plant data'!$A$1:$AB$315,9,0)</f>
        <v>2.2850000000000001</v>
      </c>
      <c r="AB78">
        <f>VLOOKUP($B78,'[1]Plant data'!$A$1:$AB$315,10,0)</f>
        <v>10.4</v>
      </c>
      <c r="AC78" t="str">
        <f>VLOOKUP($B78,'[1]Plant data'!$A$1:$AB$315,11,0)</f>
        <v>NA</v>
      </c>
      <c r="AD78" t="str">
        <f>VLOOKUP($B78,'[1]Plant data'!$A$1:$AB$315,12,0)</f>
        <v>NA</v>
      </c>
      <c r="AE78">
        <f>VLOOKUP($B78,'[1]Plant data'!$A$1:$AB$315,13,0)</f>
        <v>0.8</v>
      </c>
      <c r="AF78" t="str">
        <f>VLOOKUP($B78,'[1]Plant data'!$A$1:$AB$315,14,0)</f>
        <v>NA</v>
      </c>
      <c r="AG78">
        <f>VLOOKUP($B78,'[1]Plant data'!$A$1:$AB$315,15,0)</f>
        <v>4137</v>
      </c>
      <c r="AH78" t="str">
        <f>VLOOKUP($B78,'[1]Plant data'!$A$1:$AB$315,16,0)</f>
        <v>NA</v>
      </c>
      <c r="AI78" t="str">
        <f>VLOOKUP($B78,'[1]Plant data'!$A$1:$AB$315,17,0)</f>
        <v>NA</v>
      </c>
      <c r="AJ78" t="str">
        <f>VLOOKUP($B78,'[1]Plant data'!$A$1:$AB$315,18,0)</f>
        <v>Souza 2004, Motta Jr. 1981, ATLANTIC, Castro 2001, Fábio Jacomassa, unpubl., Intervales_morfo, Mikich 2002</v>
      </c>
      <c r="AK78">
        <f>VLOOKUP($B78,'[1]Plant data'!$A$1:$AB$315,19,0)</f>
        <v>0.63100000000000001</v>
      </c>
      <c r="AL78">
        <f>VLOOKUP($B78,'[1]Plant data'!$A$1:$AB$315,20,0)</f>
        <v>3.9E-2</v>
      </c>
      <c r="AM78">
        <f>VLOOKUP($B78,'[1]Plant data'!$A$1:$AB$315,21,0)</f>
        <v>0.11699999999999999</v>
      </c>
      <c r="AN78" t="str">
        <f>VLOOKUP($B78,'[1]Plant data'!$A$1:$AB$315,22,0)</f>
        <v>NA</v>
      </c>
      <c r="AO78" t="str">
        <f>VLOOKUP($B78,'[1]Plant data'!$A$1:$AB$315,23,0)</f>
        <v>NA</v>
      </c>
      <c r="AP78" t="str">
        <f>VLOOKUP($B78,'[1]Plant data'!$A$1:$AB$315,24,0)</f>
        <v>NA</v>
      </c>
      <c r="AQ78">
        <f>VLOOKUP($B78,'[1]Plant data'!$A$1:$AB$315,25,0)</f>
        <v>0.77599999999999991</v>
      </c>
      <c r="AR78">
        <f>VLOOKUP($B78,'[1]Plant data'!$A$1:$AB$315,26,0)</f>
        <v>6.3E-2</v>
      </c>
      <c r="AS78" t="str">
        <f>VLOOKUP($B78,'[1]Plant data'!$A$1:$AB$315,27,0)</f>
        <v>NA</v>
      </c>
      <c r="AT78" t="str">
        <f>VLOOKUP($B78,'[1]Plant data'!$A$1:$AB$315,28,0)</f>
        <v>Saibadela,Motta Jr. 1981</v>
      </c>
    </row>
    <row r="79" spans="1:46">
      <c r="A79" s="5" t="s">
        <v>43</v>
      </c>
      <c r="B79" s="15" t="s">
        <v>83</v>
      </c>
      <c r="C79" s="7">
        <v>4</v>
      </c>
      <c r="D79" s="7">
        <v>17</v>
      </c>
      <c r="E79" s="8">
        <f>C79/D79</f>
        <v>0.23529411764705882</v>
      </c>
      <c r="F79">
        <v>3</v>
      </c>
      <c r="G79" s="9">
        <f>F79/C79</f>
        <v>0.75</v>
      </c>
      <c r="H79" s="27">
        <f t="shared" si="4"/>
        <v>4.1993576870449412E-2</v>
      </c>
      <c r="I79" s="8">
        <f t="shared" si="7"/>
        <v>0.1764705882352941</v>
      </c>
      <c r="J79" t="s">
        <v>79</v>
      </c>
      <c r="K79" t="s">
        <v>80</v>
      </c>
      <c r="L79" t="s">
        <v>22</v>
      </c>
      <c r="M79" t="s">
        <v>30</v>
      </c>
      <c r="N79" s="11">
        <v>32.5</v>
      </c>
      <c r="O79" s="11">
        <v>8.9205555560000001</v>
      </c>
      <c r="P79" t="s">
        <v>24</v>
      </c>
      <c r="Q79" t="s">
        <v>25</v>
      </c>
      <c r="R79" t="s">
        <v>26</v>
      </c>
      <c r="S79" t="s">
        <v>31</v>
      </c>
      <c r="T79" t="str">
        <f>VLOOKUP(B79,'[1]Plant data'!$A$1:$AB$315,2,0)</f>
        <v>Urticaceae</v>
      </c>
      <c r="U79" t="str">
        <f>VLOOKUP($B79,'[1]Plant data'!$A$1:$AB$315,3,0)</f>
        <v>NA</v>
      </c>
      <c r="V79" t="str">
        <f>VLOOKUP($B79,'[1]Plant data'!$A$1:$AB$315,4,0)</f>
        <v>green</v>
      </c>
      <c r="W79" t="str">
        <f>VLOOKUP($B79,'[1]Plant data'!$A$1:$AB$315,5,0)</f>
        <v>YES</v>
      </c>
      <c r="X79">
        <f>VLOOKUP($B79,'[1]Plant data'!$A$1:$AB$315,6,0)</f>
        <v>13.65</v>
      </c>
      <c r="Y79">
        <f>VLOOKUP($B79,'[1]Plant data'!$A$1:$AB$315,7,0)</f>
        <v>159.32</v>
      </c>
      <c r="Z79">
        <f>VLOOKUP($B79,'[1]Plant data'!$A$1:$AB$315,8,0)</f>
        <v>0.96200000000000008</v>
      </c>
      <c r="AA79">
        <f>VLOOKUP($B79,'[1]Plant data'!$A$1:$AB$315,9,0)</f>
        <v>2.2850000000000001</v>
      </c>
      <c r="AB79">
        <f>VLOOKUP($B79,'[1]Plant data'!$A$1:$AB$315,10,0)</f>
        <v>10.4</v>
      </c>
      <c r="AC79" t="str">
        <f>VLOOKUP($B79,'[1]Plant data'!$A$1:$AB$315,11,0)</f>
        <v>NA</v>
      </c>
      <c r="AD79" t="str">
        <f>VLOOKUP($B79,'[1]Plant data'!$A$1:$AB$315,12,0)</f>
        <v>NA</v>
      </c>
      <c r="AE79">
        <f>VLOOKUP($B79,'[1]Plant data'!$A$1:$AB$315,13,0)</f>
        <v>0.8</v>
      </c>
      <c r="AF79" t="str">
        <f>VLOOKUP($B79,'[1]Plant data'!$A$1:$AB$315,14,0)</f>
        <v>NA</v>
      </c>
      <c r="AG79">
        <f>VLOOKUP($B79,'[1]Plant data'!$A$1:$AB$315,15,0)</f>
        <v>4137</v>
      </c>
      <c r="AH79" t="str">
        <f>VLOOKUP($B79,'[1]Plant data'!$A$1:$AB$315,16,0)</f>
        <v>NA</v>
      </c>
      <c r="AI79" t="str">
        <f>VLOOKUP($B79,'[1]Plant data'!$A$1:$AB$315,17,0)</f>
        <v>NA</v>
      </c>
      <c r="AJ79" t="str">
        <f>VLOOKUP($B79,'[1]Plant data'!$A$1:$AB$315,18,0)</f>
        <v>Souza 2004, Motta Jr. 1981, ATLANTIC, Castro 2001, Fábio Jacomassa, unpubl., Intervales_morfo, Mikich 2002</v>
      </c>
      <c r="AK79">
        <f>VLOOKUP($B79,'[1]Plant data'!$A$1:$AB$315,19,0)</f>
        <v>0.63100000000000001</v>
      </c>
      <c r="AL79">
        <f>VLOOKUP($B79,'[1]Plant data'!$A$1:$AB$315,20,0)</f>
        <v>3.9E-2</v>
      </c>
      <c r="AM79">
        <f>VLOOKUP($B79,'[1]Plant data'!$A$1:$AB$315,21,0)</f>
        <v>0.11699999999999999</v>
      </c>
      <c r="AN79" t="str">
        <f>VLOOKUP($B79,'[1]Plant data'!$A$1:$AB$315,22,0)</f>
        <v>NA</v>
      </c>
      <c r="AO79" t="str">
        <f>VLOOKUP($B79,'[1]Plant data'!$A$1:$AB$315,23,0)</f>
        <v>NA</v>
      </c>
      <c r="AP79" t="str">
        <f>VLOOKUP($B79,'[1]Plant data'!$A$1:$AB$315,24,0)</f>
        <v>NA</v>
      </c>
      <c r="AQ79">
        <f>VLOOKUP($B79,'[1]Plant data'!$A$1:$AB$315,25,0)</f>
        <v>0.77599999999999991</v>
      </c>
      <c r="AR79">
        <f>VLOOKUP($B79,'[1]Plant data'!$A$1:$AB$315,26,0)</f>
        <v>6.3E-2</v>
      </c>
      <c r="AS79" t="str">
        <f>VLOOKUP($B79,'[1]Plant data'!$A$1:$AB$315,27,0)</f>
        <v>NA</v>
      </c>
      <c r="AT79" t="str">
        <f>VLOOKUP($B79,'[1]Plant data'!$A$1:$AB$315,28,0)</f>
        <v>Saibadela,Motta Jr. 1981</v>
      </c>
    </row>
    <row r="80" spans="1:46">
      <c r="A80" s="21" t="s">
        <v>41</v>
      </c>
      <c r="B80" s="22" t="s">
        <v>83</v>
      </c>
      <c r="C80" s="16">
        <v>21</v>
      </c>
      <c r="D80" s="16">
        <v>32</v>
      </c>
      <c r="E80" s="23">
        <f>C80/32</f>
        <v>0.65625</v>
      </c>
      <c r="F80" s="16">
        <v>1.9</v>
      </c>
      <c r="G80" s="19">
        <v>0.1</v>
      </c>
      <c r="H80" s="27"/>
      <c r="I80" s="8">
        <f t="shared" si="7"/>
        <v>6.5625000000000003E-2</v>
      </c>
      <c r="J80" s="16" t="s">
        <v>224</v>
      </c>
      <c r="K80" s="16" t="s">
        <v>225</v>
      </c>
      <c r="L80" s="16" t="s">
        <v>22</v>
      </c>
      <c r="M80" s="16" t="s">
        <v>30</v>
      </c>
      <c r="N80" s="17">
        <v>39</v>
      </c>
      <c r="O80" s="17">
        <v>8.2839869279999991</v>
      </c>
      <c r="P80" s="16" t="s">
        <v>24</v>
      </c>
      <c r="Q80" s="16" t="s">
        <v>25</v>
      </c>
      <c r="R80" s="16" t="s">
        <v>26</v>
      </c>
      <c r="S80" s="16" t="s">
        <v>31</v>
      </c>
      <c r="T80" t="str">
        <f>VLOOKUP(B80,'[1]Plant data'!$A$1:$AB$315,2,0)</f>
        <v>Urticaceae</v>
      </c>
      <c r="U80" t="str">
        <f>VLOOKUP($B80,'[1]Plant data'!$A$1:$AB$315,3,0)</f>
        <v>NA</v>
      </c>
      <c r="V80" t="str">
        <f>VLOOKUP($B80,'[1]Plant data'!$A$1:$AB$315,4,0)</f>
        <v>green</v>
      </c>
      <c r="W80" t="str">
        <f>VLOOKUP($B80,'[1]Plant data'!$A$1:$AB$315,5,0)</f>
        <v>YES</v>
      </c>
      <c r="X80">
        <f>VLOOKUP($B80,'[1]Plant data'!$A$1:$AB$315,6,0)</f>
        <v>13.65</v>
      </c>
      <c r="Y80">
        <f>VLOOKUP($B80,'[1]Plant data'!$A$1:$AB$315,7,0)</f>
        <v>159.32</v>
      </c>
      <c r="Z80">
        <f>VLOOKUP($B80,'[1]Plant data'!$A$1:$AB$315,8,0)</f>
        <v>0.96200000000000008</v>
      </c>
      <c r="AA80">
        <f>VLOOKUP($B80,'[1]Plant data'!$A$1:$AB$315,9,0)</f>
        <v>2.2850000000000001</v>
      </c>
      <c r="AB80">
        <f>VLOOKUP($B80,'[1]Plant data'!$A$1:$AB$315,10,0)</f>
        <v>10.4</v>
      </c>
      <c r="AC80" t="str">
        <f>VLOOKUP($B80,'[1]Plant data'!$A$1:$AB$315,11,0)</f>
        <v>NA</v>
      </c>
      <c r="AD80" t="str">
        <f>VLOOKUP($B80,'[1]Plant data'!$A$1:$AB$315,12,0)</f>
        <v>NA</v>
      </c>
      <c r="AE80">
        <f>VLOOKUP($B80,'[1]Plant data'!$A$1:$AB$315,13,0)</f>
        <v>0.8</v>
      </c>
      <c r="AF80" t="str">
        <f>VLOOKUP($B80,'[1]Plant data'!$A$1:$AB$315,14,0)</f>
        <v>NA</v>
      </c>
      <c r="AG80">
        <f>VLOOKUP($B80,'[1]Plant data'!$A$1:$AB$315,15,0)</f>
        <v>4137</v>
      </c>
      <c r="AH80" t="str">
        <f>VLOOKUP($B80,'[1]Plant data'!$A$1:$AB$315,16,0)</f>
        <v>NA</v>
      </c>
      <c r="AI80" t="str">
        <f>VLOOKUP($B80,'[1]Plant data'!$A$1:$AB$315,17,0)</f>
        <v>NA</v>
      </c>
      <c r="AJ80" t="str">
        <f>VLOOKUP($B80,'[1]Plant data'!$A$1:$AB$315,18,0)</f>
        <v>Souza 2004, Motta Jr. 1981, ATLANTIC, Castro 2001, Fábio Jacomassa, unpubl., Intervales_morfo, Mikich 2002</v>
      </c>
      <c r="AK80">
        <f>VLOOKUP($B80,'[1]Plant data'!$A$1:$AB$315,19,0)</f>
        <v>0.63100000000000001</v>
      </c>
      <c r="AL80">
        <f>VLOOKUP($B80,'[1]Plant data'!$A$1:$AB$315,20,0)</f>
        <v>3.9E-2</v>
      </c>
      <c r="AM80">
        <f>VLOOKUP($B80,'[1]Plant data'!$A$1:$AB$315,21,0)</f>
        <v>0.11699999999999999</v>
      </c>
      <c r="AN80" t="str">
        <f>VLOOKUP($B80,'[1]Plant data'!$A$1:$AB$315,22,0)</f>
        <v>NA</v>
      </c>
      <c r="AO80" t="str">
        <f>VLOOKUP($B80,'[1]Plant data'!$A$1:$AB$315,23,0)</f>
        <v>NA</v>
      </c>
      <c r="AP80" t="str">
        <f>VLOOKUP($B80,'[1]Plant data'!$A$1:$AB$315,24,0)</f>
        <v>NA</v>
      </c>
      <c r="AQ80">
        <f>VLOOKUP($B80,'[1]Plant data'!$A$1:$AB$315,25,0)</f>
        <v>0.77599999999999991</v>
      </c>
      <c r="AR80">
        <f>VLOOKUP($B80,'[1]Plant data'!$A$1:$AB$315,26,0)</f>
        <v>6.3E-2</v>
      </c>
      <c r="AS80" t="str">
        <f>VLOOKUP($B80,'[1]Plant data'!$A$1:$AB$315,27,0)</f>
        <v>NA</v>
      </c>
      <c r="AT80" t="str">
        <f>VLOOKUP($B80,'[1]Plant data'!$A$1:$AB$315,28,0)</f>
        <v>Saibadela,Motta Jr. 1981</v>
      </c>
    </row>
    <row r="81" spans="1:46">
      <c r="A81" s="21" t="s">
        <v>43</v>
      </c>
      <c r="B81" s="22" t="s">
        <v>83</v>
      </c>
      <c r="C81" s="16">
        <v>17</v>
      </c>
      <c r="D81" s="16">
        <v>32</v>
      </c>
      <c r="E81" s="23">
        <f>C81/32</f>
        <v>0.53125</v>
      </c>
      <c r="F81" s="16">
        <v>1.5</v>
      </c>
      <c r="G81" s="19">
        <v>0.1</v>
      </c>
      <c r="H81" s="27"/>
      <c r="I81" s="8">
        <f t="shared" si="7"/>
        <v>5.3125000000000006E-2</v>
      </c>
      <c r="J81" s="16" t="s">
        <v>224</v>
      </c>
      <c r="K81" s="16" t="s">
        <v>225</v>
      </c>
      <c r="L81" s="16" t="s">
        <v>22</v>
      </c>
      <c r="M81" s="16" t="s">
        <v>30</v>
      </c>
      <c r="N81" s="17">
        <v>32.5</v>
      </c>
      <c r="O81" s="17">
        <v>8.9205555560000001</v>
      </c>
      <c r="P81" s="16" t="s">
        <v>24</v>
      </c>
      <c r="Q81" s="16" t="s">
        <v>25</v>
      </c>
      <c r="R81" s="16" t="s">
        <v>26</v>
      </c>
      <c r="S81" s="16" t="s">
        <v>31</v>
      </c>
      <c r="T81" t="str">
        <f>VLOOKUP(B81,'[1]Plant data'!$A$1:$AB$315,2,0)</f>
        <v>Urticaceae</v>
      </c>
      <c r="U81" t="str">
        <f>VLOOKUP($B81,'[1]Plant data'!$A$1:$AB$315,3,0)</f>
        <v>NA</v>
      </c>
      <c r="V81" t="str">
        <f>VLOOKUP($B81,'[1]Plant data'!$A$1:$AB$315,4,0)</f>
        <v>green</v>
      </c>
      <c r="W81" t="str">
        <f>VLOOKUP($B81,'[1]Plant data'!$A$1:$AB$315,5,0)</f>
        <v>YES</v>
      </c>
      <c r="X81">
        <f>VLOOKUP($B81,'[1]Plant data'!$A$1:$AB$315,6,0)</f>
        <v>13.65</v>
      </c>
      <c r="Y81">
        <f>VLOOKUP($B81,'[1]Plant data'!$A$1:$AB$315,7,0)</f>
        <v>159.32</v>
      </c>
      <c r="Z81">
        <f>VLOOKUP($B81,'[1]Plant data'!$A$1:$AB$315,8,0)</f>
        <v>0.96200000000000008</v>
      </c>
      <c r="AA81">
        <f>VLOOKUP($B81,'[1]Plant data'!$A$1:$AB$315,9,0)</f>
        <v>2.2850000000000001</v>
      </c>
      <c r="AB81">
        <f>VLOOKUP($B81,'[1]Plant data'!$A$1:$AB$315,10,0)</f>
        <v>10.4</v>
      </c>
      <c r="AC81" t="str">
        <f>VLOOKUP($B81,'[1]Plant data'!$A$1:$AB$315,11,0)</f>
        <v>NA</v>
      </c>
      <c r="AD81" t="str">
        <f>VLOOKUP($B81,'[1]Plant data'!$A$1:$AB$315,12,0)</f>
        <v>NA</v>
      </c>
      <c r="AE81">
        <f>VLOOKUP($B81,'[1]Plant data'!$A$1:$AB$315,13,0)</f>
        <v>0.8</v>
      </c>
      <c r="AF81" t="str">
        <f>VLOOKUP($B81,'[1]Plant data'!$A$1:$AB$315,14,0)</f>
        <v>NA</v>
      </c>
      <c r="AG81">
        <f>VLOOKUP($B81,'[1]Plant data'!$A$1:$AB$315,15,0)</f>
        <v>4137</v>
      </c>
      <c r="AH81" t="str">
        <f>VLOOKUP($B81,'[1]Plant data'!$A$1:$AB$315,16,0)</f>
        <v>NA</v>
      </c>
      <c r="AI81" t="str">
        <f>VLOOKUP($B81,'[1]Plant data'!$A$1:$AB$315,17,0)</f>
        <v>NA</v>
      </c>
      <c r="AJ81" t="str">
        <f>VLOOKUP($B81,'[1]Plant data'!$A$1:$AB$315,18,0)</f>
        <v>Souza 2004, Motta Jr. 1981, ATLANTIC, Castro 2001, Fábio Jacomassa, unpubl., Intervales_morfo, Mikich 2002</v>
      </c>
      <c r="AK81">
        <f>VLOOKUP($B81,'[1]Plant data'!$A$1:$AB$315,19,0)</f>
        <v>0.63100000000000001</v>
      </c>
      <c r="AL81">
        <f>VLOOKUP($B81,'[1]Plant data'!$A$1:$AB$315,20,0)</f>
        <v>3.9E-2</v>
      </c>
      <c r="AM81">
        <f>VLOOKUP($B81,'[1]Plant data'!$A$1:$AB$315,21,0)</f>
        <v>0.11699999999999999</v>
      </c>
      <c r="AN81" t="str">
        <f>VLOOKUP($B81,'[1]Plant data'!$A$1:$AB$315,22,0)</f>
        <v>NA</v>
      </c>
      <c r="AO81" t="str">
        <f>VLOOKUP($B81,'[1]Plant data'!$A$1:$AB$315,23,0)</f>
        <v>NA</v>
      </c>
      <c r="AP81" t="str">
        <f>VLOOKUP($B81,'[1]Plant data'!$A$1:$AB$315,24,0)</f>
        <v>NA</v>
      </c>
      <c r="AQ81">
        <f>VLOOKUP($B81,'[1]Plant data'!$A$1:$AB$315,25,0)</f>
        <v>0.77599999999999991</v>
      </c>
      <c r="AR81">
        <f>VLOOKUP($B81,'[1]Plant data'!$A$1:$AB$315,26,0)</f>
        <v>6.3E-2</v>
      </c>
      <c r="AS81" t="str">
        <f>VLOOKUP($B81,'[1]Plant data'!$A$1:$AB$315,27,0)</f>
        <v>NA</v>
      </c>
      <c r="AT81" t="str">
        <f>VLOOKUP($B81,'[1]Plant data'!$A$1:$AB$315,28,0)</f>
        <v>Saibadela,Motta Jr. 1981</v>
      </c>
    </row>
    <row r="82" spans="1:46">
      <c r="A82" s="18" t="s">
        <v>65</v>
      </c>
      <c r="B82" s="15" t="s">
        <v>210</v>
      </c>
      <c r="C82" s="7">
        <v>4</v>
      </c>
      <c r="D82" s="7">
        <v>36</v>
      </c>
      <c r="E82" s="8">
        <f>C82/D82</f>
        <v>0.1111111111111111</v>
      </c>
      <c r="F82" s="27">
        <v>10</v>
      </c>
      <c r="G82" s="9">
        <f>F82/C82</f>
        <v>2.5</v>
      </c>
      <c r="H82" s="9"/>
      <c r="I82" s="8">
        <f t="shared" si="7"/>
        <v>0.27777777777777779</v>
      </c>
      <c r="J82" t="s">
        <v>211</v>
      </c>
      <c r="K82" t="s">
        <v>212</v>
      </c>
      <c r="L82" t="s">
        <v>22</v>
      </c>
      <c r="M82" t="s">
        <v>23</v>
      </c>
      <c r="N82" s="11">
        <v>11</v>
      </c>
      <c r="O82" s="11">
        <v>6.1466666669999999</v>
      </c>
      <c r="P82" t="s">
        <v>24</v>
      </c>
      <c r="Q82" t="s">
        <v>25</v>
      </c>
      <c r="R82" t="s">
        <v>26</v>
      </c>
      <c r="S82" s="13" t="s">
        <v>31</v>
      </c>
      <c r="T82" t="str">
        <f>VLOOKUP(B82,'[1]Plant data'!$A$1:$AB$315,2,0)</f>
        <v>Amaranthaceae</v>
      </c>
      <c r="U82" t="str">
        <f>VLOOKUP($B82,'[1]Plant data'!$A$1:$AB$315,3,0)</f>
        <v>NA</v>
      </c>
      <c r="V82" t="str">
        <f>VLOOKUP($B82,'[1]Plant data'!$A$1:$AB$315,4,0)</f>
        <v>white</v>
      </c>
      <c r="W82" t="str">
        <f>VLOOKUP($B82,'[1]Plant data'!$A$1:$AB$315,5,0)</f>
        <v>YES</v>
      </c>
      <c r="X82" t="str">
        <f>VLOOKUP($B82,'[1]Plant data'!$A$1:$AB$315,6,0)</f>
        <v>NA</v>
      </c>
      <c r="Y82" t="str">
        <f>VLOOKUP($B82,'[1]Plant data'!$A$1:$AB$315,7,0)</f>
        <v>NA</v>
      </c>
      <c r="Z82" t="str">
        <f>VLOOKUP($B82,'[1]Plant data'!$A$1:$AB$315,8,0)</f>
        <v>NA</v>
      </c>
      <c r="AA82" t="str">
        <f>VLOOKUP($B82,'[1]Plant data'!$A$1:$AB$315,9,0)</f>
        <v>NA</v>
      </c>
      <c r="AB82" t="str">
        <f>VLOOKUP($B82,'[1]Plant data'!$A$1:$AB$315,10,0)</f>
        <v>NA</v>
      </c>
      <c r="AC82" t="str">
        <f>VLOOKUP($B82,'[1]Plant data'!$A$1:$AB$315,11,0)</f>
        <v>NA</v>
      </c>
      <c r="AD82" t="str">
        <f>VLOOKUP($B82,'[1]Plant data'!$A$1:$AB$315,12,0)</f>
        <v>NA</v>
      </c>
      <c r="AE82" t="str">
        <f>VLOOKUP($B82,'[1]Plant data'!$A$1:$AB$315,13,0)</f>
        <v>NA</v>
      </c>
      <c r="AF82" t="str">
        <f>VLOOKUP($B82,'[1]Plant data'!$A$1:$AB$315,14,0)</f>
        <v>NA</v>
      </c>
      <c r="AG82" t="str">
        <f>VLOOKUP($B82,'[1]Plant data'!$A$1:$AB$315,15,0)</f>
        <v>NA</v>
      </c>
      <c r="AH82" t="str">
        <f>VLOOKUP($B82,'[1]Plant data'!$A$1:$AB$315,16,0)</f>
        <v>NA</v>
      </c>
      <c r="AI82" t="str">
        <f>VLOOKUP($B82,'[1]Plant data'!$A$1:$AB$315,17,0)</f>
        <v>NA</v>
      </c>
      <c r="AJ82" t="str">
        <f>VLOOKUP($B82,'[1]Plant data'!$A$1:$AB$315,18,0)</f>
        <v>NA</v>
      </c>
      <c r="AK82" t="str">
        <f>VLOOKUP($B82,'[1]Plant data'!$A$1:$AB$315,19,0)</f>
        <v>NA</v>
      </c>
      <c r="AL82" t="str">
        <f>VLOOKUP($B82,'[1]Plant data'!$A$1:$AB$315,20,0)</f>
        <v>NA</v>
      </c>
      <c r="AM82" t="str">
        <f>VLOOKUP($B82,'[1]Plant data'!$A$1:$AB$315,21,0)</f>
        <v>NA</v>
      </c>
      <c r="AN82" t="str">
        <f>VLOOKUP($B82,'[1]Plant data'!$A$1:$AB$315,22,0)</f>
        <v>NA</v>
      </c>
      <c r="AO82" t="str">
        <f>VLOOKUP($B82,'[1]Plant data'!$A$1:$AB$315,23,0)</f>
        <v>NA</v>
      </c>
      <c r="AP82" t="str">
        <f>VLOOKUP($B82,'[1]Plant data'!$A$1:$AB$315,24,0)</f>
        <v>NA</v>
      </c>
      <c r="AQ82" t="str">
        <f>VLOOKUP($B82,'[1]Plant data'!$A$1:$AB$315,25,0)</f>
        <v>NA</v>
      </c>
      <c r="AR82" t="str">
        <f>VLOOKUP($B82,'[1]Plant data'!$A$1:$AB$315,26,0)</f>
        <v>NA</v>
      </c>
      <c r="AS82" t="str">
        <f>VLOOKUP($B82,'[1]Plant data'!$A$1:$AB$315,27,0)</f>
        <v>NA</v>
      </c>
      <c r="AT82" t="str">
        <f>VLOOKUP($B82,'[1]Plant data'!$A$1:$AB$315,28,0)</f>
        <v>NA</v>
      </c>
    </row>
    <row r="83" spans="1:46">
      <c r="A83" s="5" t="s">
        <v>28</v>
      </c>
      <c r="B83" s="15" t="s">
        <v>210</v>
      </c>
      <c r="C83" s="7">
        <v>2</v>
      </c>
      <c r="D83" s="7">
        <v>36</v>
      </c>
      <c r="E83" s="8">
        <f>C83/D83</f>
        <v>5.5555555555555552E-2</v>
      </c>
      <c r="F83" s="27">
        <v>20</v>
      </c>
      <c r="G83" s="9">
        <f>F83/C83</f>
        <v>10</v>
      </c>
      <c r="H83" s="9"/>
      <c r="I83" s="8">
        <f t="shared" si="7"/>
        <v>0.55555555555555558</v>
      </c>
      <c r="J83" t="s">
        <v>211</v>
      </c>
      <c r="K83" t="s">
        <v>212</v>
      </c>
      <c r="L83" t="s">
        <v>22</v>
      </c>
      <c r="M83" t="s">
        <v>30</v>
      </c>
      <c r="N83" s="11">
        <v>18</v>
      </c>
      <c r="O83" s="11">
        <v>7.4188405800000004</v>
      </c>
      <c r="P83" t="s">
        <v>24</v>
      </c>
      <c r="Q83" s="13" t="s">
        <v>25</v>
      </c>
      <c r="R83" s="13" t="s">
        <v>26</v>
      </c>
      <c r="S83" s="13" t="s">
        <v>31</v>
      </c>
      <c r="T83" t="str">
        <f>VLOOKUP(B83,'[1]Plant data'!$A$1:$AB$315,2,0)</f>
        <v>Amaranthaceae</v>
      </c>
      <c r="U83" t="str">
        <f>VLOOKUP($B83,'[1]Plant data'!$A$1:$AB$315,3,0)</f>
        <v>NA</v>
      </c>
      <c r="V83" t="str">
        <f>VLOOKUP($B83,'[1]Plant data'!$A$1:$AB$315,4,0)</f>
        <v>white</v>
      </c>
      <c r="W83" t="str">
        <f>VLOOKUP($B83,'[1]Plant data'!$A$1:$AB$315,5,0)</f>
        <v>YES</v>
      </c>
      <c r="X83" t="str">
        <f>VLOOKUP($B83,'[1]Plant data'!$A$1:$AB$315,6,0)</f>
        <v>NA</v>
      </c>
      <c r="Y83" t="str">
        <f>VLOOKUP($B83,'[1]Plant data'!$A$1:$AB$315,7,0)</f>
        <v>NA</v>
      </c>
      <c r="Z83" t="str">
        <f>VLOOKUP($B83,'[1]Plant data'!$A$1:$AB$315,8,0)</f>
        <v>NA</v>
      </c>
      <c r="AA83" t="str">
        <f>VLOOKUP($B83,'[1]Plant data'!$A$1:$AB$315,9,0)</f>
        <v>NA</v>
      </c>
      <c r="AB83" t="str">
        <f>VLOOKUP($B83,'[1]Plant data'!$A$1:$AB$315,10,0)</f>
        <v>NA</v>
      </c>
      <c r="AC83" t="str">
        <f>VLOOKUP($B83,'[1]Plant data'!$A$1:$AB$315,11,0)</f>
        <v>NA</v>
      </c>
      <c r="AD83" t="str">
        <f>VLOOKUP($B83,'[1]Plant data'!$A$1:$AB$315,12,0)</f>
        <v>NA</v>
      </c>
      <c r="AE83" t="str">
        <f>VLOOKUP($B83,'[1]Plant data'!$A$1:$AB$315,13,0)</f>
        <v>NA</v>
      </c>
      <c r="AF83" t="str">
        <f>VLOOKUP($B83,'[1]Plant data'!$A$1:$AB$315,14,0)</f>
        <v>NA</v>
      </c>
      <c r="AG83" t="str">
        <f>VLOOKUP($B83,'[1]Plant data'!$A$1:$AB$315,15,0)</f>
        <v>NA</v>
      </c>
      <c r="AH83" t="str">
        <f>VLOOKUP($B83,'[1]Plant data'!$A$1:$AB$315,16,0)</f>
        <v>NA</v>
      </c>
      <c r="AI83" t="str">
        <f>VLOOKUP($B83,'[1]Plant data'!$A$1:$AB$315,17,0)</f>
        <v>NA</v>
      </c>
      <c r="AJ83" t="str">
        <f>VLOOKUP($B83,'[1]Plant data'!$A$1:$AB$315,18,0)</f>
        <v>NA</v>
      </c>
      <c r="AK83" t="str">
        <f>VLOOKUP($B83,'[1]Plant data'!$A$1:$AB$315,19,0)</f>
        <v>NA</v>
      </c>
      <c r="AL83" t="str">
        <f>VLOOKUP($B83,'[1]Plant data'!$A$1:$AB$315,20,0)</f>
        <v>NA</v>
      </c>
      <c r="AM83" t="str">
        <f>VLOOKUP($B83,'[1]Plant data'!$A$1:$AB$315,21,0)</f>
        <v>NA</v>
      </c>
      <c r="AN83" t="str">
        <f>VLOOKUP($B83,'[1]Plant data'!$A$1:$AB$315,22,0)</f>
        <v>NA</v>
      </c>
      <c r="AO83" t="str">
        <f>VLOOKUP($B83,'[1]Plant data'!$A$1:$AB$315,23,0)</f>
        <v>NA</v>
      </c>
      <c r="AP83" t="str">
        <f>VLOOKUP($B83,'[1]Plant data'!$A$1:$AB$315,24,0)</f>
        <v>NA</v>
      </c>
      <c r="AQ83" t="str">
        <f>VLOOKUP($B83,'[1]Plant data'!$A$1:$AB$315,25,0)</f>
        <v>NA</v>
      </c>
      <c r="AR83" t="str">
        <f>VLOOKUP($B83,'[1]Plant data'!$A$1:$AB$315,26,0)</f>
        <v>NA</v>
      </c>
      <c r="AS83" t="str">
        <f>VLOOKUP($B83,'[1]Plant data'!$A$1:$AB$315,27,0)</f>
        <v>NA</v>
      </c>
      <c r="AT83" t="str">
        <f>VLOOKUP($B83,'[1]Plant data'!$A$1:$AB$315,28,0)</f>
        <v>NA</v>
      </c>
    </row>
    <row r="84" spans="1:46">
      <c r="A84" s="5" t="s">
        <v>110</v>
      </c>
      <c r="B84" s="61" t="s">
        <v>158</v>
      </c>
      <c r="C84">
        <v>1</v>
      </c>
      <c r="D84" t="s">
        <v>19</v>
      </c>
      <c r="E84" s="9" t="s">
        <v>19</v>
      </c>
      <c r="F84" s="9" t="s">
        <v>19</v>
      </c>
      <c r="G84" s="9" t="s">
        <v>19</v>
      </c>
      <c r="H84" s="9"/>
      <c r="I84" s="8" t="s">
        <v>19</v>
      </c>
      <c r="J84" s="10" t="s">
        <v>157</v>
      </c>
      <c r="K84" t="s">
        <v>123</v>
      </c>
      <c r="L84" t="s">
        <v>100</v>
      </c>
      <c r="M84" t="s">
        <v>101</v>
      </c>
      <c r="N84" s="11">
        <v>1250</v>
      </c>
      <c r="O84" s="11">
        <v>19.114999999999998</v>
      </c>
      <c r="P84" t="s">
        <v>48</v>
      </c>
      <c r="Q84" t="s">
        <v>95</v>
      </c>
      <c r="R84" t="s">
        <v>114</v>
      </c>
      <c r="S84" t="s">
        <v>27</v>
      </c>
      <c r="T84" t="str">
        <f>VLOOKUP(B84,'[1]Plant data'!$A$1:$AB$315,2,0)</f>
        <v>Sapotaceae</v>
      </c>
      <c r="U84" t="str">
        <f>VLOOKUP($B84,'[1]Plant data'!$A$1:$AB$315,3,0)</f>
        <v>NA</v>
      </c>
      <c r="V84" t="str">
        <f>VLOOKUP($B84,'[1]Plant data'!$A$1:$AB$315,4,0)</f>
        <v>orange</v>
      </c>
      <c r="W84" t="str">
        <f>VLOOKUP($B84,'[1]Plant data'!$A$1:$AB$315,5,0)</f>
        <v>YES</v>
      </c>
      <c r="X84">
        <f>VLOOKUP($B84,'[1]Plant data'!$A$1:$AB$315,6,0)</f>
        <v>10</v>
      </c>
      <c r="Y84">
        <f>VLOOKUP($B84,'[1]Plant data'!$A$1:$AB$315,7,0)</f>
        <v>28</v>
      </c>
      <c r="Z84">
        <f>VLOOKUP($B84,'[1]Plant data'!$A$1:$AB$315,8,0)</f>
        <v>7</v>
      </c>
      <c r="AA84">
        <f>VLOOKUP($B84,'[1]Plant data'!$A$1:$AB$315,9,0)</f>
        <v>19</v>
      </c>
      <c r="AB84" t="str">
        <f>VLOOKUP($B84,'[1]Plant data'!$A$1:$AB$315,10,0)</f>
        <v>NA</v>
      </c>
      <c r="AC84" t="str">
        <f>VLOOKUP($B84,'[1]Plant data'!$A$1:$AB$315,11,0)</f>
        <v>NA</v>
      </c>
      <c r="AD84" t="str">
        <f>VLOOKUP($B84,'[1]Plant data'!$A$1:$AB$315,12,0)</f>
        <v>NA</v>
      </c>
      <c r="AE84" t="str">
        <f>VLOOKUP($B84,'[1]Plant data'!$A$1:$AB$315,13,0)</f>
        <v>NA</v>
      </c>
      <c r="AF84" t="str">
        <f>VLOOKUP($B84,'[1]Plant data'!$A$1:$AB$315,14,0)</f>
        <v>NA</v>
      </c>
      <c r="AG84" t="str">
        <f>VLOOKUP($B84,'[1]Plant data'!$A$1:$AB$315,15,0)</f>
        <v>NA</v>
      </c>
      <c r="AH84" t="str">
        <f>VLOOKUP($B84,'[1]Plant data'!$A$1:$AB$315,16,0)</f>
        <v>NA</v>
      </c>
      <c r="AI84" t="str">
        <f>VLOOKUP($B84,'[1]Plant data'!$A$1:$AB$315,17,0)</f>
        <v>NA</v>
      </c>
      <c r="AJ84" t="str">
        <f>VLOOKUP($B84,'[1]Plant data'!$A$1:$AB$315,18,0)</f>
        <v>ATLANTIC</v>
      </c>
      <c r="AK84" t="str">
        <f>VLOOKUP($B84,'[1]Plant data'!$A$1:$AB$315,19,0)</f>
        <v>NA</v>
      </c>
      <c r="AL84" t="str">
        <f>VLOOKUP($B84,'[1]Plant data'!$A$1:$AB$315,20,0)</f>
        <v>NA</v>
      </c>
      <c r="AM84" t="str">
        <f>VLOOKUP($B84,'[1]Plant data'!$A$1:$AB$315,21,0)</f>
        <v>NA</v>
      </c>
      <c r="AN84" t="str">
        <f>VLOOKUP($B84,'[1]Plant data'!$A$1:$AB$315,22,0)</f>
        <v>NA</v>
      </c>
      <c r="AO84" t="str">
        <f>VLOOKUP($B84,'[1]Plant data'!$A$1:$AB$315,23,0)</f>
        <v>NA</v>
      </c>
      <c r="AP84" t="str">
        <f>VLOOKUP($B84,'[1]Plant data'!$A$1:$AB$315,24,0)</f>
        <v>NA</v>
      </c>
      <c r="AQ84" t="str">
        <f>VLOOKUP($B84,'[1]Plant data'!$A$1:$AB$315,25,0)</f>
        <v>NA</v>
      </c>
      <c r="AR84" t="str">
        <f>VLOOKUP($B84,'[1]Plant data'!$A$1:$AB$315,26,0)</f>
        <v>NA</v>
      </c>
      <c r="AS84" t="str">
        <f>VLOOKUP($B84,'[1]Plant data'!$A$1:$AB$315,27,0)</f>
        <v>NA</v>
      </c>
      <c r="AT84" t="str">
        <f>VLOOKUP($B84,'[1]Plant data'!$A$1:$AB$315,28,0)</f>
        <v>NA</v>
      </c>
    </row>
    <row r="85" spans="1:46">
      <c r="A85" s="5" t="s">
        <v>110</v>
      </c>
      <c r="B85" s="14" t="s">
        <v>111</v>
      </c>
      <c r="C85">
        <v>1</v>
      </c>
      <c r="D85" t="s">
        <v>19</v>
      </c>
      <c r="E85" s="8" t="s">
        <v>19</v>
      </c>
      <c r="F85" s="8" t="s">
        <v>19</v>
      </c>
      <c r="G85" s="8" t="s">
        <v>19</v>
      </c>
      <c r="H85" s="8"/>
      <c r="I85" s="8" t="s">
        <v>19</v>
      </c>
      <c r="J85" s="28" t="s">
        <v>112</v>
      </c>
      <c r="K85" t="s">
        <v>113</v>
      </c>
      <c r="L85" t="s">
        <v>100</v>
      </c>
      <c r="M85" t="s">
        <v>101</v>
      </c>
      <c r="N85" s="11">
        <v>1250</v>
      </c>
      <c r="O85" s="11">
        <v>19.114999999999998</v>
      </c>
      <c r="P85" t="s">
        <v>48</v>
      </c>
      <c r="Q85" t="s">
        <v>95</v>
      </c>
      <c r="R85" t="s">
        <v>114</v>
      </c>
      <c r="S85" t="s">
        <v>27</v>
      </c>
      <c r="T85" t="str">
        <f>VLOOKUP(B85,'[1]Plant data'!$A$1:$AB$315,2,0)</f>
        <v>Canellaceae</v>
      </c>
      <c r="U85" t="str">
        <f>VLOOKUP($B85,'[1]Plant data'!$A$1:$AB$315,3,0)</f>
        <v>NA</v>
      </c>
      <c r="V85" t="str">
        <f>VLOOKUP($B85,'[1]Plant data'!$A$1:$AB$315,4,0)</f>
        <v>orange</v>
      </c>
      <c r="W85" t="str">
        <f>VLOOKUP($B85,'[1]Plant data'!$A$1:$AB$315,5,0)</f>
        <v>YES</v>
      </c>
      <c r="X85">
        <f>VLOOKUP($B85,'[1]Plant data'!$A$1:$AB$315,6,0)</f>
        <v>10.5</v>
      </c>
      <c r="Y85">
        <f>VLOOKUP($B85,'[1]Plant data'!$A$1:$AB$315,7,0)</f>
        <v>14</v>
      </c>
      <c r="Z85">
        <f>VLOOKUP($B85,'[1]Plant data'!$A$1:$AB$315,8,0)</f>
        <v>8</v>
      </c>
      <c r="AA85">
        <f>VLOOKUP($B85,'[1]Plant data'!$A$1:$AB$315,9,0)</f>
        <v>8.5</v>
      </c>
      <c r="AB85">
        <f>VLOOKUP($B85,'[1]Plant data'!$A$1:$AB$315,10,0)</f>
        <v>2.2999999999999998</v>
      </c>
      <c r="AC85" t="str">
        <f>VLOOKUP($B85,'[1]Plant data'!$A$1:$AB$315,11,0)</f>
        <v>NA</v>
      </c>
      <c r="AD85">
        <f>VLOOKUP($B85,'[1]Plant data'!$A$1:$AB$315,12,0)</f>
        <v>0.5</v>
      </c>
      <c r="AE85" t="str">
        <f>VLOOKUP($B85,'[1]Plant data'!$A$1:$AB$315,13,0)</f>
        <v>NA</v>
      </c>
      <c r="AF85" t="str">
        <f>VLOOKUP($B85,'[1]Plant data'!$A$1:$AB$315,14,0)</f>
        <v>NA</v>
      </c>
      <c r="AG85">
        <f>VLOOKUP($B85,'[1]Plant data'!$A$1:$AB$315,15,0)</f>
        <v>2</v>
      </c>
      <c r="AH85" t="str">
        <f>VLOOKUP($B85,'[1]Plant data'!$A$1:$AB$315,16,0)</f>
        <v>NA</v>
      </c>
      <c r="AI85" t="str">
        <f>VLOOKUP($B85,'[1]Plant data'!$A$1:$AB$315,17,0)</f>
        <v>NA</v>
      </c>
      <c r="AJ85" t="str">
        <f>VLOOKUP($B85,'[1]Plant data'!$A$1:$AB$315,18,0)</f>
        <v>ATLANTIC, Intervales_morfo</v>
      </c>
      <c r="AK85">
        <f>VLOOKUP($B85,'[1]Plant data'!$A$1:$AB$315,19,0)</f>
        <v>0.752</v>
      </c>
      <c r="AL85">
        <f>VLOOKUP($B85,'[1]Plant data'!$A$1:$AB$315,20,0)</f>
        <v>0.155</v>
      </c>
      <c r="AM85">
        <f>VLOOKUP($B85,'[1]Plant data'!$A$1:$AB$315,21,0)</f>
        <v>9.3000000000000013E-2</v>
      </c>
      <c r="AN85" t="str">
        <f>VLOOKUP($B85,'[1]Plant data'!$A$1:$AB$315,22,0)</f>
        <v>NA</v>
      </c>
      <c r="AO85" t="str">
        <f>VLOOKUP($B85,'[1]Plant data'!$A$1:$AB$315,23,0)</f>
        <v>NA</v>
      </c>
      <c r="AP85" t="str">
        <f>VLOOKUP($B85,'[1]Plant data'!$A$1:$AB$315,24,0)</f>
        <v>NA</v>
      </c>
      <c r="AQ85">
        <f>VLOOKUP($B85,'[1]Plant data'!$A$1:$AB$315,25,0)</f>
        <v>0.70299999999999996</v>
      </c>
      <c r="AR85">
        <f>VLOOKUP($B85,'[1]Plant data'!$A$1:$AB$315,26,0)</f>
        <v>4.8000000000000001E-2</v>
      </c>
      <c r="AS85" t="str">
        <f>VLOOKUP($B85,'[1]Plant data'!$A$1:$AB$315,27,0)</f>
        <v>NA</v>
      </c>
      <c r="AT85" t="str">
        <f>VLOOKUP($B85,'[1]Plant data'!$A$1:$AB$315,28,0)</f>
        <v>Saibadela</v>
      </c>
    </row>
    <row r="86" spans="1:46">
      <c r="A86" s="5" t="s">
        <v>110</v>
      </c>
      <c r="B86" s="14" t="s">
        <v>111</v>
      </c>
      <c r="C86">
        <v>1</v>
      </c>
      <c r="D86" t="s">
        <v>19</v>
      </c>
      <c r="E86" s="9" t="s">
        <v>19</v>
      </c>
      <c r="F86" s="9" t="s">
        <v>19</v>
      </c>
      <c r="G86" s="9" t="s">
        <v>19</v>
      </c>
      <c r="H86" s="9"/>
      <c r="I86" s="8" t="s">
        <v>19</v>
      </c>
      <c r="J86" s="10" t="s">
        <v>157</v>
      </c>
      <c r="K86" t="s">
        <v>123</v>
      </c>
      <c r="L86" t="s">
        <v>100</v>
      </c>
      <c r="M86" t="s">
        <v>101</v>
      </c>
      <c r="N86" s="11">
        <v>1250</v>
      </c>
      <c r="O86" s="11">
        <v>19.114999999999998</v>
      </c>
      <c r="P86" t="s">
        <v>48</v>
      </c>
      <c r="Q86" t="s">
        <v>95</v>
      </c>
      <c r="R86" t="s">
        <v>114</v>
      </c>
      <c r="S86" t="s">
        <v>27</v>
      </c>
      <c r="T86" t="str">
        <f>VLOOKUP(B86,'[1]Plant data'!$A$1:$AB$315,2,0)</f>
        <v>Canellaceae</v>
      </c>
      <c r="U86" t="str">
        <f>VLOOKUP($B86,'[1]Plant data'!$A$1:$AB$315,3,0)</f>
        <v>NA</v>
      </c>
      <c r="V86" t="str">
        <f>VLOOKUP($B86,'[1]Plant data'!$A$1:$AB$315,4,0)</f>
        <v>orange</v>
      </c>
      <c r="W86" t="str">
        <f>VLOOKUP($B86,'[1]Plant data'!$A$1:$AB$315,5,0)</f>
        <v>YES</v>
      </c>
      <c r="X86">
        <f>VLOOKUP($B86,'[1]Plant data'!$A$1:$AB$315,6,0)</f>
        <v>10.5</v>
      </c>
      <c r="Y86">
        <f>VLOOKUP($B86,'[1]Plant data'!$A$1:$AB$315,7,0)</f>
        <v>14</v>
      </c>
      <c r="Z86">
        <f>VLOOKUP($B86,'[1]Plant data'!$A$1:$AB$315,8,0)</f>
        <v>8</v>
      </c>
      <c r="AA86">
        <f>VLOOKUP($B86,'[1]Plant data'!$A$1:$AB$315,9,0)</f>
        <v>8.5</v>
      </c>
      <c r="AB86">
        <f>VLOOKUP($B86,'[1]Plant data'!$A$1:$AB$315,10,0)</f>
        <v>2.2999999999999998</v>
      </c>
      <c r="AC86" t="str">
        <f>VLOOKUP($B86,'[1]Plant data'!$A$1:$AB$315,11,0)</f>
        <v>NA</v>
      </c>
      <c r="AD86">
        <f>VLOOKUP($B86,'[1]Plant data'!$A$1:$AB$315,12,0)</f>
        <v>0.5</v>
      </c>
      <c r="AE86" t="str">
        <f>VLOOKUP($B86,'[1]Plant data'!$A$1:$AB$315,13,0)</f>
        <v>NA</v>
      </c>
      <c r="AF86" t="str">
        <f>VLOOKUP($B86,'[1]Plant data'!$A$1:$AB$315,14,0)</f>
        <v>NA</v>
      </c>
      <c r="AG86">
        <f>VLOOKUP($B86,'[1]Plant data'!$A$1:$AB$315,15,0)</f>
        <v>2</v>
      </c>
      <c r="AH86" t="str">
        <f>VLOOKUP($B86,'[1]Plant data'!$A$1:$AB$315,16,0)</f>
        <v>NA</v>
      </c>
      <c r="AI86" t="str">
        <f>VLOOKUP($B86,'[1]Plant data'!$A$1:$AB$315,17,0)</f>
        <v>NA</v>
      </c>
      <c r="AJ86" t="str">
        <f>VLOOKUP($B86,'[1]Plant data'!$A$1:$AB$315,18,0)</f>
        <v>ATLANTIC, Intervales_morfo</v>
      </c>
      <c r="AK86">
        <f>VLOOKUP($B86,'[1]Plant data'!$A$1:$AB$315,19,0)</f>
        <v>0.752</v>
      </c>
      <c r="AL86">
        <f>VLOOKUP($B86,'[1]Plant data'!$A$1:$AB$315,20,0)</f>
        <v>0.155</v>
      </c>
      <c r="AM86">
        <f>VLOOKUP($B86,'[1]Plant data'!$A$1:$AB$315,21,0)</f>
        <v>9.3000000000000013E-2</v>
      </c>
      <c r="AN86" t="str">
        <f>VLOOKUP($B86,'[1]Plant data'!$A$1:$AB$315,22,0)</f>
        <v>NA</v>
      </c>
      <c r="AO86" t="str">
        <f>VLOOKUP($B86,'[1]Plant data'!$A$1:$AB$315,23,0)</f>
        <v>NA</v>
      </c>
      <c r="AP86" t="str">
        <f>VLOOKUP($B86,'[1]Plant data'!$A$1:$AB$315,24,0)</f>
        <v>NA</v>
      </c>
      <c r="AQ86">
        <f>VLOOKUP($B86,'[1]Plant data'!$A$1:$AB$315,25,0)</f>
        <v>0.70299999999999996</v>
      </c>
      <c r="AR86">
        <f>VLOOKUP($B86,'[1]Plant data'!$A$1:$AB$315,26,0)</f>
        <v>4.8000000000000001E-2</v>
      </c>
      <c r="AS86" t="str">
        <f>VLOOKUP($B86,'[1]Plant data'!$A$1:$AB$315,27,0)</f>
        <v>NA</v>
      </c>
      <c r="AT86" t="str">
        <f>VLOOKUP($B86,'[1]Plant data'!$A$1:$AB$315,28,0)</f>
        <v>Saibadela</v>
      </c>
    </row>
    <row r="87" spans="1:46">
      <c r="A87" s="5" t="s">
        <v>50</v>
      </c>
      <c r="B87" s="14" t="s">
        <v>192</v>
      </c>
      <c r="C87">
        <v>1</v>
      </c>
      <c r="D87">
        <v>5.5</v>
      </c>
      <c r="E87" s="8">
        <f>C87/5.5</f>
        <v>0.18181818181818182</v>
      </c>
      <c r="F87" t="s">
        <v>19</v>
      </c>
      <c r="G87" s="9" t="s">
        <v>19</v>
      </c>
      <c r="H87" s="9"/>
      <c r="I87" s="8" t="s">
        <v>19</v>
      </c>
      <c r="J87" t="s">
        <v>180</v>
      </c>
      <c r="K87" t="s">
        <v>181</v>
      </c>
      <c r="L87" t="s">
        <v>22</v>
      </c>
      <c r="M87" t="s">
        <v>47</v>
      </c>
      <c r="N87" s="11">
        <v>69.5</v>
      </c>
      <c r="O87" s="11">
        <v>13.253214290000001</v>
      </c>
      <c r="P87" t="s">
        <v>48</v>
      </c>
      <c r="Q87" t="s">
        <v>25</v>
      </c>
      <c r="R87" t="s">
        <v>26</v>
      </c>
      <c r="S87" t="s">
        <v>31</v>
      </c>
      <c r="T87" t="str">
        <f>VLOOKUP(B87,'[1]Plant data'!$A$1:$AB$315,2,0)</f>
        <v>Vitaceae</v>
      </c>
      <c r="U87" t="str">
        <f>VLOOKUP($B87,'[1]Plant data'!$A$1:$AB$315,3,0)</f>
        <v>NA</v>
      </c>
      <c r="V87" t="str">
        <f>VLOOKUP($B87,'[1]Plant data'!$A$1:$AB$315,4,0)</f>
        <v>red</v>
      </c>
      <c r="W87" t="str">
        <f>VLOOKUP($B87,'[1]Plant data'!$A$1:$AB$315,5,0)</f>
        <v>YES</v>
      </c>
      <c r="X87" t="str">
        <f>VLOOKUP($B87,'[1]Plant data'!$A$1:$AB$315,6,0)</f>
        <v>NA</v>
      </c>
      <c r="Y87" t="str">
        <f>VLOOKUP($B87,'[1]Plant data'!$A$1:$AB$315,7,0)</f>
        <v>NA</v>
      </c>
      <c r="Z87" t="str">
        <f>VLOOKUP($B87,'[1]Plant data'!$A$1:$AB$315,8,0)</f>
        <v>NA</v>
      </c>
      <c r="AA87" t="str">
        <f>VLOOKUP($B87,'[1]Plant data'!$A$1:$AB$315,9,0)</f>
        <v>NA</v>
      </c>
      <c r="AB87" t="str">
        <f>VLOOKUP($B87,'[1]Plant data'!$A$1:$AB$315,10,0)</f>
        <v>NA</v>
      </c>
      <c r="AC87" t="str">
        <f>VLOOKUP($B87,'[1]Plant data'!$A$1:$AB$315,11,0)</f>
        <v>NA</v>
      </c>
      <c r="AD87" t="str">
        <f>VLOOKUP($B87,'[1]Plant data'!$A$1:$AB$315,12,0)</f>
        <v>NA</v>
      </c>
      <c r="AE87" t="str">
        <f>VLOOKUP($B87,'[1]Plant data'!$A$1:$AB$315,13,0)</f>
        <v>NA</v>
      </c>
      <c r="AF87" t="str">
        <f>VLOOKUP($B87,'[1]Plant data'!$A$1:$AB$315,14,0)</f>
        <v>NA</v>
      </c>
      <c r="AG87" t="str">
        <f>VLOOKUP($B87,'[1]Plant data'!$A$1:$AB$315,15,0)</f>
        <v>NA</v>
      </c>
      <c r="AH87" t="str">
        <f>VLOOKUP($B87,'[1]Plant data'!$A$1:$AB$315,16,0)</f>
        <v>NA</v>
      </c>
      <c r="AI87" t="str">
        <f>VLOOKUP($B87,'[1]Plant data'!$A$1:$AB$315,17,0)</f>
        <v>NA</v>
      </c>
      <c r="AJ87" t="str">
        <f>VLOOKUP($B87,'[1]Plant data'!$A$1:$AB$315,18,0)</f>
        <v>NA</v>
      </c>
      <c r="AK87" t="str">
        <f>VLOOKUP($B87,'[1]Plant data'!$A$1:$AB$315,19,0)</f>
        <v>NA</v>
      </c>
      <c r="AL87" t="str">
        <f>VLOOKUP($B87,'[1]Plant data'!$A$1:$AB$315,20,0)</f>
        <v>NA</v>
      </c>
      <c r="AM87" t="str">
        <f>VLOOKUP($B87,'[1]Plant data'!$A$1:$AB$315,21,0)</f>
        <v>NA</v>
      </c>
      <c r="AN87" t="str">
        <f>VLOOKUP($B87,'[1]Plant data'!$A$1:$AB$315,22,0)</f>
        <v>NA</v>
      </c>
      <c r="AO87" t="str">
        <f>VLOOKUP($B87,'[1]Plant data'!$A$1:$AB$315,23,0)</f>
        <v>NA</v>
      </c>
      <c r="AP87" t="str">
        <f>VLOOKUP($B87,'[1]Plant data'!$A$1:$AB$315,24,0)</f>
        <v>NA</v>
      </c>
      <c r="AQ87" t="str">
        <f>VLOOKUP($B87,'[1]Plant data'!$A$1:$AB$315,25,0)</f>
        <v>NA</v>
      </c>
      <c r="AR87" t="str">
        <f>VLOOKUP($B87,'[1]Plant data'!$A$1:$AB$315,26,0)</f>
        <v>NA</v>
      </c>
      <c r="AS87" t="str">
        <f>VLOOKUP($B87,'[1]Plant data'!$A$1:$AB$315,27,0)</f>
        <v>NA</v>
      </c>
      <c r="AT87" t="str">
        <f>VLOOKUP($B87,'[1]Plant data'!$A$1:$AB$315,28,0)</f>
        <v>NA</v>
      </c>
    </row>
    <row r="88" spans="1:46">
      <c r="A88" s="5" t="s">
        <v>43</v>
      </c>
      <c r="B88" s="6" t="s">
        <v>44</v>
      </c>
      <c r="C88" s="7">
        <v>11</v>
      </c>
      <c r="D88" s="7">
        <v>18</v>
      </c>
      <c r="E88" s="8">
        <f>C88/D88</f>
        <v>0.61111111111111116</v>
      </c>
      <c r="F88" t="s">
        <v>19</v>
      </c>
      <c r="G88" s="41">
        <v>1.0357142857142856</v>
      </c>
      <c r="H88" s="41"/>
      <c r="I88" s="8">
        <f>E88*G88</f>
        <v>0.63293650793650791</v>
      </c>
      <c r="J88" s="10" t="s">
        <v>20</v>
      </c>
      <c r="K88" t="s">
        <v>21</v>
      </c>
      <c r="L88" t="s">
        <v>22</v>
      </c>
      <c r="M88" t="s">
        <v>30</v>
      </c>
      <c r="N88" s="11">
        <v>32.5</v>
      </c>
      <c r="O88" s="11">
        <v>8.9205555560000001</v>
      </c>
      <c r="P88" t="s">
        <v>24</v>
      </c>
      <c r="Q88" t="s">
        <v>25</v>
      </c>
      <c r="R88" t="s">
        <v>26</v>
      </c>
      <c r="S88" t="s">
        <v>31</v>
      </c>
      <c r="T88" t="str">
        <f>VLOOKUP(B88,'[1]Plant data'!$A$1:$AB$315,2,0)</f>
        <v>Verbenaceae</v>
      </c>
      <c r="U88" t="str">
        <f>VLOOKUP($B88,'[1]Plant data'!$A$1:$AB$315,3,0)</f>
        <v>Cytharexylum myrianthum</v>
      </c>
      <c r="V88" t="str">
        <f>VLOOKUP($B88,'[1]Plant data'!$A$1:$AB$315,4,0)</f>
        <v>red</v>
      </c>
      <c r="W88" t="str">
        <f>VLOOKUP($B88,'[1]Plant data'!$A$1:$AB$315,5,0)</f>
        <v>YES</v>
      </c>
      <c r="X88">
        <f>VLOOKUP($B88,'[1]Plant data'!$A$1:$AB$315,6,0)</f>
        <v>10.700000000000001</v>
      </c>
      <c r="Y88">
        <f>VLOOKUP($B88,'[1]Plant data'!$A$1:$AB$315,7,0)</f>
        <v>12.3</v>
      </c>
      <c r="Z88">
        <f>VLOOKUP($B88,'[1]Plant data'!$A$1:$AB$315,8,0)</f>
        <v>3.5</v>
      </c>
      <c r="AA88">
        <f>VLOOKUP($B88,'[1]Plant data'!$A$1:$AB$315,9,0)</f>
        <v>9.5</v>
      </c>
      <c r="AB88">
        <f>VLOOKUP($B88,'[1]Plant data'!$A$1:$AB$315,10,0)</f>
        <v>1.5999999999999999</v>
      </c>
      <c r="AC88">
        <f>VLOOKUP($B88,'[1]Plant data'!$A$1:$AB$315,11,0)</f>
        <v>0.7</v>
      </c>
      <c r="AD88">
        <f>VLOOKUP($B88,'[1]Plant data'!$A$1:$AB$315,12,0)</f>
        <v>1.05</v>
      </c>
      <c r="AE88" t="str">
        <f>VLOOKUP($B88,'[1]Plant data'!$A$1:$AB$315,13,0)</f>
        <v>NA</v>
      </c>
      <c r="AF88" t="str">
        <f>VLOOKUP($B88,'[1]Plant data'!$A$1:$AB$315,14,0)</f>
        <v>NA</v>
      </c>
      <c r="AG88">
        <f>VLOOKUP($B88,'[1]Plant data'!$A$1:$AB$315,15,0)</f>
        <v>2</v>
      </c>
      <c r="AH88" t="str">
        <f>VLOOKUP($B88,'[1]Plant data'!$A$1:$AB$315,16,0)</f>
        <v>NA</v>
      </c>
      <c r="AI88" t="str">
        <f>VLOOKUP($B88,'[1]Plant data'!$A$1:$AB$315,17,0)</f>
        <v>NA</v>
      </c>
      <c r="AJ88" t="str">
        <f>VLOOKUP($B88,'[1]Plant data'!$A$1:$AB$315,18,0)</f>
        <v>Intervales_morfo, Castro &amp; Galetti 2004, Correia 1997, Alves 2008</v>
      </c>
      <c r="AK88">
        <f>VLOOKUP($B88,'[1]Plant data'!$A$1:$AB$315,19,0)</f>
        <v>0.81400000000000006</v>
      </c>
      <c r="AL88">
        <f>VLOOKUP($B88,'[1]Plant data'!$A$1:$AB$315,20,0)</f>
        <v>6.3E-2</v>
      </c>
      <c r="AM88">
        <f>VLOOKUP($B88,'[1]Plant data'!$A$1:$AB$315,21,0)</f>
        <v>6.8000000000000005E-2</v>
      </c>
      <c r="AN88" t="str">
        <f>VLOOKUP($B88,'[1]Plant data'!$A$1:$AB$315,22,0)</f>
        <v>NA</v>
      </c>
      <c r="AO88" t="str">
        <f>VLOOKUP($B88,'[1]Plant data'!$A$1:$AB$315,23,0)</f>
        <v>NA</v>
      </c>
      <c r="AP88" t="str">
        <f>VLOOKUP($B88,'[1]Plant data'!$A$1:$AB$315,24,0)</f>
        <v>NA</v>
      </c>
      <c r="AQ88">
        <f>VLOOKUP($B88,'[1]Plant data'!$A$1:$AB$315,25,0)</f>
        <v>0.82700000000000007</v>
      </c>
      <c r="AR88">
        <f>VLOOKUP($B88,'[1]Plant data'!$A$1:$AB$315,26,0)</f>
        <v>4.0999999999999995E-2</v>
      </c>
      <c r="AS88" t="str">
        <f>VLOOKUP($B88,'[1]Plant data'!$A$1:$AB$315,27,0)</f>
        <v>NA</v>
      </c>
      <c r="AT88" t="str">
        <f>VLOOKUP($B88,'[1]Plant data'!$A$1:$AB$315,28,0)</f>
        <v>Saibadela</v>
      </c>
    </row>
    <row r="89" spans="1:46">
      <c r="A89" s="5" t="s">
        <v>46</v>
      </c>
      <c r="B89" s="6" t="s">
        <v>44</v>
      </c>
      <c r="C89" s="7">
        <v>9</v>
      </c>
      <c r="D89" s="7">
        <v>18</v>
      </c>
      <c r="E89" s="8">
        <f>C89/D89</f>
        <v>0.5</v>
      </c>
      <c r="F89" t="s">
        <v>19</v>
      </c>
      <c r="G89" s="41">
        <v>1</v>
      </c>
      <c r="H89" s="41"/>
      <c r="I89" s="8">
        <f>E89*G89</f>
        <v>0.5</v>
      </c>
      <c r="J89" s="10" t="s">
        <v>20</v>
      </c>
      <c r="K89" t="s">
        <v>21</v>
      </c>
      <c r="L89" t="s">
        <v>22</v>
      </c>
      <c r="M89" t="s">
        <v>47</v>
      </c>
      <c r="N89" s="11">
        <v>54</v>
      </c>
      <c r="O89" s="11">
        <v>11.14875</v>
      </c>
      <c r="P89" t="s">
        <v>48</v>
      </c>
      <c r="Q89" t="s">
        <v>49</v>
      </c>
      <c r="R89" t="s">
        <v>26</v>
      </c>
      <c r="S89" t="s">
        <v>31</v>
      </c>
      <c r="T89" t="str">
        <f>VLOOKUP(B89,'[1]Plant data'!$A$1:$AB$315,2,0)</f>
        <v>Verbenaceae</v>
      </c>
      <c r="U89" t="str">
        <f>VLOOKUP($B89,'[1]Plant data'!$A$1:$AB$315,3,0)</f>
        <v>Cytharexylum myrianthum</v>
      </c>
      <c r="V89" t="str">
        <f>VLOOKUP($B89,'[1]Plant data'!$A$1:$AB$315,4,0)</f>
        <v>red</v>
      </c>
      <c r="W89" t="str">
        <f>VLOOKUP($B89,'[1]Plant data'!$A$1:$AB$315,5,0)</f>
        <v>YES</v>
      </c>
      <c r="X89">
        <f>VLOOKUP($B89,'[1]Plant data'!$A$1:$AB$315,6,0)</f>
        <v>10.700000000000001</v>
      </c>
      <c r="Y89">
        <f>VLOOKUP($B89,'[1]Plant data'!$A$1:$AB$315,7,0)</f>
        <v>12.3</v>
      </c>
      <c r="Z89">
        <f>VLOOKUP($B89,'[1]Plant data'!$A$1:$AB$315,8,0)</f>
        <v>3.5</v>
      </c>
      <c r="AA89">
        <f>VLOOKUP($B89,'[1]Plant data'!$A$1:$AB$315,9,0)</f>
        <v>9.5</v>
      </c>
      <c r="AB89">
        <f>VLOOKUP($B89,'[1]Plant data'!$A$1:$AB$315,10,0)</f>
        <v>1.5999999999999999</v>
      </c>
      <c r="AC89">
        <f>VLOOKUP($B89,'[1]Plant data'!$A$1:$AB$315,11,0)</f>
        <v>0.7</v>
      </c>
      <c r="AD89">
        <f>VLOOKUP($B89,'[1]Plant data'!$A$1:$AB$315,12,0)</f>
        <v>1.05</v>
      </c>
      <c r="AE89" t="str">
        <f>VLOOKUP($B89,'[1]Plant data'!$A$1:$AB$315,13,0)</f>
        <v>NA</v>
      </c>
      <c r="AF89" t="str">
        <f>VLOOKUP($B89,'[1]Plant data'!$A$1:$AB$315,14,0)</f>
        <v>NA</v>
      </c>
      <c r="AG89">
        <f>VLOOKUP($B89,'[1]Plant data'!$A$1:$AB$315,15,0)</f>
        <v>2</v>
      </c>
      <c r="AH89" t="str">
        <f>VLOOKUP($B89,'[1]Plant data'!$A$1:$AB$315,16,0)</f>
        <v>NA</v>
      </c>
      <c r="AI89" t="str">
        <f>VLOOKUP($B89,'[1]Plant data'!$A$1:$AB$315,17,0)</f>
        <v>NA</v>
      </c>
      <c r="AJ89" t="str">
        <f>VLOOKUP($B89,'[1]Plant data'!$A$1:$AB$315,18,0)</f>
        <v>Intervales_morfo, Castro &amp; Galetti 2004, Correia 1997, Alves 2008</v>
      </c>
      <c r="AK89">
        <f>VLOOKUP($B89,'[1]Plant data'!$A$1:$AB$315,19,0)</f>
        <v>0.81400000000000006</v>
      </c>
      <c r="AL89">
        <f>VLOOKUP($B89,'[1]Plant data'!$A$1:$AB$315,20,0)</f>
        <v>6.3E-2</v>
      </c>
      <c r="AM89">
        <f>VLOOKUP($B89,'[1]Plant data'!$A$1:$AB$315,21,0)</f>
        <v>6.8000000000000005E-2</v>
      </c>
      <c r="AN89" t="str">
        <f>VLOOKUP($B89,'[1]Plant data'!$A$1:$AB$315,22,0)</f>
        <v>NA</v>
      </c>
      <c r="AO89" t="str">
        <f>VLOOKUP($B89,'[1]Plant data'!$A$1:$AB$315,23,0)</f>
        <v>NA</v>
      </c>
      <c r="AP89" t="str">
        <f>VLOOKUP($B89,'[1]Plant data'!$A$1:$AB$315,24,0)</f>
        <v>NA</v>
      </c>
      <c r="AQ89">
        <f>VLOOKUP($B89,'[1]Plant data'!$A$1:$AB$315,25,0)</f>
        <v>0.82700000000000007</v>
      </c>
      <c r="AR89">
        <f>VLOOKUP($B89,'[1]Plant data'!$A$1:$AB$315,26,0)</f>
        <v>4.0999999999999995E-2</v>
      </c>
      <c r="AS89" t="str">
        <f>VLOOKUP($B89,'[1]Plant data'!$A$1:$AB$315,27,0)</f>
        <v>NA</v>
      </c>
      <c r="AT89" t="str">
        <f>VLOOKUP($B89,'[1]Plant data'!$A$1:$AB$315,28,0)</f>
        <v>Saibadela</v>
      </c>
    </row>
    <row r="90" spans="1:46">
      <c r="A90" s="5" t="s">
        <v>70</v>
      </c>
      <c r="B90" s="6" t="s">
        <v>44</v>
      </c>
      <c r="C90" s="7">
        <v>1</v>
      </c>
      <c r="D90" s="7">
        <v>15</v>
      </c>
      <c r="E90" s="23">
        <f>(C90/15)*3</f>
        <v>0.2</v>
      </c>
      <c r="F90" s="8" t="s">
        <v>19</v>
      </c>
      <c r="G90" s="9">
        <v>1</v>
      </c>
      <c r="H90" s="9"/>
      <c r="I90" s="8">
        <f>E90*G90</f>
        <v>0.2</v>
      </c>
      <c r="J90" t="s">
        <v>132</v>
      </c>
      <c r="K90" t="s">
        <v>133</v>
      </c>
      <c r="L90" t="s">
        <v>22</v>
      </c>
      <c r="M90" t="s">
        <v>23</v>
      </c>
      <c r="N90" s="11">
        <v>15</v>
      </c>
      <c r="O90" s="11">
        <v>6.9235714289999999</v>
      </c>
      <c r="P90" t="s">
        <v>24</v>
      </c>
      <c r="Q90" t="s">
        <v>25</v>
      </c>
      <c r="R90" t="s">
        <v>26</v>
      </c>
      <c r="S90" t="s">
        <v>27</v>
      </c>
      <c r="T90" t="str">
        <f>VLOOKUP(B90,'[1]Plant data'!$A$1:$AB$315,2,0)</f>
        <v>Verbenaceae</v>
      </c>
      <c r="U90" t="str">
        <f>VLOOKUP($B90,'[1]Plant data'!$A$1:$AB$315,3,0)</f>
        <v>Cytharexylum myrianthum</v>
      </c>
      <c r="V90" t="str">
        <f>VLOOKUP($B90,'[1]Plant data'!$A$1:$AB$315,4,0)</f>
        <v>red</v>
      </c>
      <c r="W90" t="str">
        <f>VLOOKUP($B90,'[1]Plant data'!$A$1:$AB$315,5,0)</f>
        <v>YES</v>
      </c>
      <c r="X90">
        <f>VLOOKUP($B90,'[1]Plant data'!$A$1:$AB$315,6,0)</f>
        <v>10.700000000000001</v>
      </c>
      <c r="Y90">
        <f>VLOOKUP($B90,'[1]Plant data'!$A$1:$AB$315,7,0)</f>
        <v>12.3</v>
      </c>
      <c r="Z90">
        <f>VLOOKUP($B90,'[1]Plant data'!$A$1:$AB$315,8,0)</f>
        <v>3.5</v>
      </c>
      <c r="AA90">
        <f>VLOOKUP($B90,'[1]Plant data'!$A$1:$AB$315,9,0)</f>
        <v>9.5</v>
      </c>
      <c r="AB90">
        <f>VLOOKUP($B90,'[1]Plant data'!$A$1:$AB$315,10,0)</f>
        <v>1.5999999999999999</v>
      </c>
      <c r="AC90">
        <f>VLOOKUP($B90,'[1]Plant data'!$A$1:$AB$315,11,0)</f>
        <v>0.7</v>
      </c>
      <c r="AD90">
        <f>VLOOKUP($B90,'[1]Plant data'!$A$1:$AB$315,12,0)</f>
        <v>1.05</v>
      </c>
      <c r="AE90" t="str">
        <f>VLOOKUP($B90,'[1]Plant data'!$A$1:$AB$315,13,0)</f>
        <v>NA</v>
      </c>
      <c r="AF90" t="str">
        <f>VLOOKUP($B90,'[1]Plant data'!$A$1:$AB$315,14,0)</f>
        <v>NA</v>
      </c>
      <c r="AG90">
        <f>VLOOKUP($B90,'[1]Plant data'!$A$1:$AB$315,15,0)</f>
        <v>2</v>
      </c>
      <c r="AH90" t="str">
        <f>VLOOKUP($B90,'[1]Plant data'!$A$1:$AB$315,16,0)</f>
        <v>NA</v>
      </c>
      <c r="AI90" t="str">
        <f>VLOOKUP($B90,'[1]Plant data'!$A$1:$AB$315,17,0)</f>
        <v>NA</v>
      </c>
      <c r="AJ90" t="str">
        <f>VLOOKUP($B90,'[1]Plant data'!$A$1:$AB$315,18,0)</f>
        <v>Intervales_morfo, Castro &amp; Galetti 2004, Correia 1997, Alves 2008</v>
      </c>
      <c r="AK90">
        <f>VLOOKUP($B90,'[1]Plant data'!$A$1:$AB$315,19,0)</f>
        <v>0.81400000000000006</v>
      </c>
      <c r="AL90">
        <f>VLOOKUP($B90,'[1]Plant data'!$A$1:$AB$315,20,0)</f>
        <v>6.3E-2</v>
      </c>
      <c r="AM90">
        <f>VLOOKUP($B90,'[1]Plant data'!$A$1:$AB$315,21,0)</f>
        <v>6.8000000000000005E-2</v>
      </c>
      <c r="AN90" t="str">
        <f>VLOOKUP($B90,'[1]Plant data'!$A$1:$AB$315,22,0)</f>
        <v>NA</v>
      </c>
      <c r="AO90" t="str">
        <f>VLOOKUP($B90,'[1]Plant data'!$A$1:$AB$315,23,0)</f>
        <v>NA</v>
      </c>
      <c r="AP90" t="str">
        <f>VLOOKUP($B90,'[1]Plant data'!$A$1:$AB$315,24,0)</f>
        <v>NA</v>
      </c>
      <c r="AQ90">
        <f>VLOOKUP($B90,'[1]Plant data'!$A$1:$AB$315,25,0)</f>
        <v>0.82700000000000007</v>
      </c>
      <c r="AR90">
        <f>VLOOKUP($B90,'[1]Plant data'!$A$1:$AB$315,26,0)</f>
        <v>4.0999999999999995E-2</v>
      </c>
      <c r="AS90" t="str">
        <f>VLOOKUP($B90,'[1]Plant data'!$A$1:$AB$315,27,0)</f>
        <v>NA</v>
      </c>
      <c r="AT90" t="str">
        <f>VLOOKUP($B90,'[1]Plant data'!$A$1:$AB$315,28,0)</f>
        <v>Saibadela</v>
      </c>
    </row>
    <row r="91" spans="1:46">
      <c r="A91" s="5" t="s">
        <v>43</v>
      </c>
      <c r="B91" s="14" t="s">
        <v>44</v>
      </c>
      <c r="C91" s="7">
        <v>3</v>
      </c>
      <c r="D91" s="7">
        <v>15</v>
      </c>
      <c r="E91" s="23">
        <f>(C91/15)*5</f>
        <v>1</v>
      </c>
      <c r="F91" s="8" t="s">
        <v>19</v>
      </c>
      <c r="G91" s="9">
        <v>1.5</v>
      </c>
      <c r="H91" s="9"/>
      <c r="I91" s="8">
        <f>E91*G91</f>
        <v>1.5</v>
      </c>
      <c r="J91" s="25" t="s">
        <v>132</v>
      </c>
      <c r="K91" s="25" t="s">
        <v>133</v>
      </c>
      <c r="L91" t="s">
        <v>22</v>
      </c>
      <c r="M91" t="s">
        <v>30</v>
      </c>
      <c r="N91" s="11">
        <v>32.5</v>
      </c>
      <c r="O91" s="11">
        <v>8.9205555560000001</v>
      </c>
      <c r="P91" t="s">
        <v>24</v>
      </c>
      <c r="Q91" t="s">
        <v>25</v>
      </c>
      <c r="R91" t="s">
        <v>26</v>
      </c>
      <c r="S91" t="s">
        <v>31</v>
      </c>
      <c r="T91" t="str">
        <f>VLOOKUP(B91,'[1]Plant data'!$A$1:$AB$315,2,0)</f>
        <v>Verbenaceae</v>
      </c>
      <c r="U91" t="str">
        <f>VLOOKUP($B91,'[1]Plant data'!$A$1:$AB$315,3,0)</f>
        <v>Cytharexylum myrianthum</v>
      </c>
      <c r="V91" t="str">
        <f>VLOOKUP($B91,'[1]Plant data'!$A$1:$AB$315,4,0)</f>
        <v>red</v>
      </c>
      <c r="W91" t="str">
        <f>VLOOKUP($B91,'[1]Plant data'!$A$1:$AB$315,5,0)</f>
        <v>YES</v>
      </c>
      <c r="X91">
        <f>VLOOKUP($B91,'[1]Plant data'!$A$1:$AB$315,6,0)</f>
        <v>10.700000000000001</v>
      </c>
      <c r="Y91">
        <f>VLOOKUP($B91,'[1]Plant data'!$A$1:$AB$315,7,0)</f>
        <v>12.3</v>
      </c>
      <c r="Z91">
        <f>VLOOKUP($B91,'[1]Plant data'!$A$1:$AB$315,8,0)</f>
        <v>3.5</v>
      </c>
      <c r="AA91">
        <f>VLOOKUP($B91,'[1]Plant data'!$A$1:$AB$315,9,0)</f>
        <v>9.5</v>
      </c>
      <c r="AB91">
        <f>VLOOKUP($B91,'[1]Plant data'!$A$1:$AB$315,10,0)</f>
        <v>1.5999999999999999</v>
      </c>
      <c r="AC91">
        <f>VLOOKUP($B91,'[1]Plant data'!$A$1:$AB$315,11,0)</f>
        <v>0.7</v>
      </c>
      <c r="AD91">
        <f>VLOOKUP($B91,'[1]Plant data'!$A$1:$AB$315,12,0)</f>
        <v>1.05</v>
      </c>
      <c r="AE91" t="str">
        <f>VLOOKUP($B91,'[1]Plant data'!$A$1:$AB$315,13,0)</f>
        <v>NA</v>
      </c>
      <c r="AF91" t="str">
        <f>VLOOKUP($B91,'[1]Plant data'!$A$1:$AB$315,14,0)</f>
        <v>NA</v>
      </c>
      <c r="AG91">
        <f>VLOOKUP($B91,'[1]Plant data'!$A$1:$AB$315,15,0)</f>
        <v>2</v>
      </c>
      <c r="AH91" t="str">
        <f>VLOOKUP($B91,'[1]Plant data'!$A$1:$AB$315,16,0)</f>
        <v>NA</v>
      </c>
      <c r="AI91" t="str">
        <f>VLOOKUP($B91,'[1]Plant data'!$A$1:$AB$315,17,0)</f>
        <v>NA</v>
      </c>
      <c r="AJ91" t="str">
        <f>VLOOKUP($B91,'[1]Plant data'!$A$1:$AB$315,18,0)</f>
        <v>Intervales_morfo, Castro &amp; Galetti 2004, Correia 1997, Alves 2008</v>
      </c>
      <c r="AK91">
        <f>VLOOKUP($B91,'[1]Plant data'!$A$1:$AB$315,19,0)</f>
        <v>0.81400000000000006</v>
      </c>
      <c r="AL91">
        <f>VLOOKUP($B91,'[1]Plant data'!$A$1:$AB$315,20,0)</f>
        <v>6.3E-2</v>
      </c>
      <c r="AM91">
        <f>VLOOKUP($B91,'[1]Plant data'!$A$1:$AB$315,21,0)</f>
        <v>6.8000000000000005E-2</v>
      </c>
      <c r="AN91" t="str">
        <f>VLOOKUP($B91,'[1]Plant data'!$A$1:$AB$315,22,0)</f>
        <v>NA</v>
      </c>
      <c r="AO91" t="str">
        <f>VLOOKUP($B91,'[1]Plant data'!$A$1:$AB$315,23,0)</f>
        <v>NA</v>
      </c>
      <c r="AP91" t="str">
        <f>VLOOKUP($B91,'[1]Plant data'!$A$1:$AB$315,24,0)</f>
        <v>NA</v>
      </c>
      <c r="AQ91">
        <f>VLOOKUP($B91,'[1]Plant data'!$A$1:$AB$315,25,0)</f>
        <v>0.82700000000000007</v>
      </c>
      <c r="AR91">
        <f>VLOOKUP($B91,'[1]Plant data'!$A$1:$AB$315,26,0)</f>
        <v>4.0999999999999995E-2</v>
      </c>
      <c r="AS91" t="str">
        <f>VLOOKUP($B91,'[1]Plant data'!$A$1:$AB$315,27,0)</f>
        <v>NA</v>
      </c>
      <c r="AT91" t="str">
        <f>VLOOKUP($B91,'[1]Plant data'!$A$1:$AB$315,28,0)</f>
        <v>Saibadela</v>
      </c>
    </row>
    <row r="92" spans="1:46">
      <c r="A92" s="5" t="s">
        <v>50</v>
      </c>
      <c r="B92" s="14" t="s">
        <v>44</v>
      </c>
      <c r="C92">
        <v>1</v>
      </c>
      <c r="D92" s="7">
        <v>15</v>
      </c>
      <c r="E92" s="23">
        <f>C92/15</f>
        <v>6.6666666666666666E-2</v>
      </c>
      <c r="F92" s="8" t="s">
        <v>19</v>
      </c>
      <c r="G92" s="9">
        <v>1</v>
      </c>
      <c r="H92" s="9"/>
      <c r="I92" s="8">
        <f>E92*G92</f>
        <v>6.6666666666666666E-2</v>
      </c>
      <c r="J92" t="s">
        <v>132</v>
      </c>
      <c r="K92" t="s">
        <v>133</v>
      </c>
      <c r="L92" t="s">
        <v>22</v>
      </c>
      <c r="M92" t="s">
        <v>47</v>
      </c>
      <c r="N92" s="11">
        <v>69.5</v>
      </c>
      <c r="O92" s="11">
        <v>13.253214290000001</v>
      </c>
      <c r="P92" t="s">
        <v>48</v>
      </c>
      <c r="Q92" t="s">
        <v>25</v>
      </c>
      <c r="R92" t="s">
        <v>26</v>
      </c>
      <c r="S92" t="s">
        <v>31</v>
      </c>
      <c r="T92" t="str">
        <f>VLOOKUP(B92,'[1]Plant data'!$A$1:$AB$315,2,0)</f>
        <v>Verbenaceae</v>
      </c>
      <c r="U92" t="str">
        <f>VLOOKUP($B92,'[1]Plant data'!$A$1:$AB$315,3,0)</f>
        <v>Cytharexylum myrianthum</v>
      </c>
      <c r="V92" t="str">
        <f>VLOOKUP($B92,'[1]Plant data'!$A$1:$AB$315,4,0)</f>
        <v>red</v>
      </c>
      <c r="W92" t="str">
        <f>VLOOKUP($B92,'[1]Plant data'!$A$1:$AB$315,5,0)</f>
        <v>YES</v>
      </c>
      <c r="X92">
        <f>VLOOKUP($B92,'[1]Plant data'!$A$1:$AB$315,6,0)</f>
        <v>10.700000000000001</v>
      </c>
      <c r="Y92">
        <f>VLOOKUP($B92,'[1]Plant data'!$A$1:$AB$315,7,0)</f>
        <v>12.3</v>
      </c>
      <c r="Z92">
        <f>VLOOKUP($B92,'[1]Plant data'!$A$1:$AB$315,8,0)</f>
        <v>3.5</v>
      </c>
      <c r="AA92">
        <f>VLOOKUP($B92,'[1]Plant data'!$A$1:$AB$315,9,0)</f>
        <v>9.5</v>
      </c>
      <c r="AB92">
        <f>VLOOKUP($B92,'[1]Plant data'!$A$1:$AB$315,10,0)</f>
        <v>1.5999999999999999</v>
      </c>
      <c r="AC92">
        <f>VLOOKUP($B92,'[1]Plant data'!$A$1:$AB$315,11,0)</f>
        <v>0.7</v>
      </c>
      <c r="AD92">
        <f>VLOOKUP($B92,'[1]Plant data'!$A$1:$AB$315,12,0)</f>
        <v>1.05</v>
      </c>
      <c r="AE92" t="str">
        <f>VLOOKUP($B92,'[1]Plant data'!$A$1:$AB$315,13,0)</f>
        <v>NA</v>
      </c>
      <c r="AF92" t="str">
        <f>VLOOKUP($B92,'[1]Plant data'!$A$1:$AB$315,14,0)</f>
        <v>NA</v>
      </c>
      <c r="AG92">
        <f>VLOOKUP($B92,'[1]Plant data'!$A$1:$AB$315,15,0)</f>
        <v>2</v>
      </c>
      <c r="AH92" t="str">
        <f>VLOOKUP($B92,'[1]Plant data'!$A$1:$AB$315,16,0)</f>
        <v>NA</v>
      </c>
      <c r="AI92" t="str">
        <f>VLOOKUP($B92,'[1]Plant data'!$A$1:$AB$315,17,0)</f>
        <v>NA</v>
      </c>
      <c r="AJ92" t="str">
        <f>VLOOKUP($B92,'[1]Plant data'!$A$1:$AB$315,18,0)</f>
        <v>Intervales_morfo, Castro &amp; Galetti 2004, Correia 1997, Alves 2008</v>
      </c>
      <c r="AK92">
        <f>VLOOKUP($B92,'[1]Plant data'!$A$1:$AB$315,19,0)</f>
        <v>0.81400000000000006</v>
      </c>
      <c r="AL92">
        <f>VLOOKUP($B92,'[1]Plant data'!$A$1:$AB$315,20,0)</f>
        <v>6.3E-2</v>
      </c>
      <c r="AM92">
        <f>VLOOKUP($B92,'[1]Plant data'!$A$1:$AB$315,21,0)</f>
        <v>6.8000000000000005E-2</v>
      </c>
      <c r="AN92" t="str">
        <f>VLOOKUP($B92,'[1]Plant data'!$A$1:$AB$315,22,0)</f>
        <v>NA</v>
      </c>
      <c r="AO92" t="str">
        <f>VLOOKUP($B92,'[1]Plant data'!$A$1:$AB$315,23,0)</f>
        <v>NA</v>
      </c>
      <c r="AP92" t="str">
        <f>VLOOKUP($B92,'[1]Plant data'!$A$1:$AB$315,24,0)</f>
        <v>NA</v>
      </c>
      <c r="AQ92">
        <f>VLOOKUP($B92,'[1]Plant data'!$A$1:$AB$315,25,0)</f>
        <v>0.82700000000000007</v>
      </c>
      <c r="AR92">
        <f>VLOOKUP($B92,'[1]Plant data'!$A$1:$AB$315,26,0)</f>
        <v>4.0999999999999995E-2</v>
      </c>
      <c r="AS92" t="str">
        <f>VLOOKUP($B92,'[1]Plant data'!$A$1:$AB$315,27,0)</f>
        <v>NA</v>
      </c>
      <c r="AT92" t="str">
        <f>VLOOKUP($B92,'[1]Plant data'!$A$1:$AB$315,28,0)</f>
        <v>Saibadela</v>
      </c>
    </row>
    <row r="93" spans="1:46">
      <c r="A93" s="5" t="s">
        <v>110</v>
      </c>
      <c r="B93" s="15" t="s">
        <v>44</v>
      </c>
      <c r="C93">
        <v>3</v>
      </c>
      <c r="D93" t="s">
        <v>19</v>
      </c>
      <c r="E93" s="9" t="s">
        <v>19</v>
      </c>
      <c r="F93" s="9" t="s">
        <v>19</v>
      </c>
      <c r="G93" s="9" t="s">
        <v>19</v>
      </c>
      <c r="H93" s="9"/>
      <c r="I93" s="8" t="s">
        <v>19</v>
      </c>
      <c r="J93" t="s">
        <v>157</v>
      </c>
      <c r="K93" t="s">
        <v>123</v>
      </c>
      <c r="L93" t="s">
        <v>100</v>
      </c>
      <c r="M93" t="s">
        <v>101</v>
      </c>
      <c r="N93" s="11">
        <v>1250</v>
      </c>
      <c r="O93" s="11">
        <v>19.114999999999998</v>
      </c>
      <c r="P93" t="s">
        <v>48</v>
      </c>
      <c r="Q93" t="s">
        <v>95</v>
      </c>
      <c r="R93" t="s">
        <v>114</v>
      </c>
      <c r="S93" t="s">
        <v>27</v>
      </c>
      <c r="T93" t="str">
        <f>VLOOKUP(B93,'[1]Plant data'!$A$1:$AB$315,2,0)</f>
        <v>Verbenaceae</v>
      </c>
      <c r="U93" t="str">
        <f>VLOOKUP($B93,'[1]Plant data'!$A$1:$AB$315,3,0)</f>
        <v>Cytharexylum myrianthum</v>
      </c>
      <c r="V93" t="str">
        <f>VLOOKUP($B93,'[1]Plant data'!$A$1:$AB$315,4,0)</f>
        <v>red</v>
      </c>
      <c r="W93" t="str">
        <f>VLOOKUP($B93,'[1]Plant data'!$A$1:$AB$315,5,0)</f>
        <v>YES</v>
      </c>
      <c r="X93">
        <f>VLOOKUP($B93,'[1]Plant data'!$A$1:$AB$315,6,0)</f>
        <v>10.700000000000001</v>
      </c>
      <c r="Y93">
        <f>VLOOKUP($B93,'[1]Plant data'!$A$1:$AB$315,7,0)</f>
        <v>12.3</v>
      </c>
      <c r="Z93">
        <f>VLOOKUP($B93,'[1]Plant data'!$A$1:$AB$315,8,0)</f>
        <v>3.5</v>
      </c>
      <c r="AA93">
        <f>VLOOKUP($B93,'[1]Plant data'!$A$1:$AB$315,9,0)</f>
        <v>9.5</v>
      </c>
      <c r="AB93">
        <f>VLOOKUP($B93,'[1]Plant data'!$A$1:$AB$315,10,0)</f>
        <v>1.5999999999999999</v>
      </c>
      <c r="AC93">
        <f>VLOOKUP($B93,'[1]Plant data'!$A$1:$AB$315,11,0)</f>
        <v>0.7</v>
      </c>
      <c r="AD93">
        <f>VLOOKUP($B93,'[1]Plant data'!$A$1:$AB$315,12,0)</f>
        <v>1.05</v>
      </c>
      <c r="AE93" t="str">
        <f>VLOOKUP($B93,'[1]Plant data'!$A$1:$AB$315,13,0)</f>
        <v>NA</v>
      </c>
      <c r="AF93" t="str">
        <f>VLOOKUP($B93,'[1]Plant data'!$A$1:$AB$315,14,0)</f>
        <v>NA</v>
      </c>
      <c r="AG93">
        <f>VLOOKUP($B93,'[1]Plant data'!$A$1:$AB$315,15,0)</f>
        <v>2</v>
      </c>
      <c r="AH93" t="str">
        <f>VLOOKUP($B93,'[1]Plant data'!$A$1:$AB$315,16,0)</f>
        <v>NA</v>
      </c>
      <c r="AI93" t="str">
        <f>VLOOKUP($B93,'[1]Plant data'!$A$1:$AB$315,17,0)</f>
        <v>NA</v>
      </c>
      <c r="AJ93" t="str">
        <f>VLOOKUP($B93,'[1]Plant data'!$A$1:$AB$315,18,0)</f>
        <v>Intervales_morfo, Castro &amp; Galetti 2004, Correia 1997, Alves 2008</v>
      </c>
      <c r="AK93">
        <f>VLOOKUP($B93,'[1]Plant data'!$A$1:$AB$315,19,0)</f>
        <v>0.81400000000000006</v>
      </c>
      <c r="AL93">
        <f>VLOOKUP($B93,'[1]Plant data'!$A$1:$AB$315,20,0)</f>
        <v>6.3E-2</v>
      </c>
      <c r="AM93">
        <f>VLOOKUP($B93,'[1]Plant data'!$A$1:$AB$315,21,0)</f>
        <v>6.8000000000000005E-2</v>
      </c>
      <c r="AN93" t="str">
        <f>VLOOKUP($B93,'[1]Plant data'!$A$1:$AB$315,22,0)</f>
        <v>NA</v>
      </c>
      <c r="AO93" t="str">
        <f>VLOOKUP($B93,'[1]Plant data'!$A$1:$AB$315,23,0)</f>
        <v>NA</v>
      </c>
      <c r="AP93" t="str">
        <f>VLOOKUP($B93,'[1]Plant data'!$A$1:$AB$315,24,0)</f>
        <v>NA</v>
      </c>
      <c r="AQ93">
        <f>VLOOKUP($B93,'[1]Plant data'!$A$1:$AB$315,25,0)</f>
        <v>0.82700000000000007</v>
      </c>
      <c r="AR93">
        <f>VLOOKUP($B93,'[1]Plant data'!$A$1:$AB$315,26,0)</f>
        <v>4.0999999999999995E-2</v>
      </c>
      <c r="AS93" t="str">
        <f>VLOOKUP($B93,'[1]Plant data'!$A$1:$AB$315,27,0)</f>
        <v>NA</v>
      </c>
      <c r="AT93" t="str">
        <f>VLOOKUP($B93,'[1]Plant data'!$A$1:$AB$315,28,0)</f>
        <v>Saibadela</v>
      </c>
    </row>
    <row r="94" spans="1:46">
      <c r="A94" s="5" t="s">
        <v>50</v>
      </c>
      <c r="B94" s="14" t="s">
        <v>44</v>
      </c>
      <c r="C94">
        <v>29</v>
      </c>
      <c r="D94" s="7">
        <v>30</v>
      </c>
      <c r="E94" s="8">
        <f>C94/30</f>
        <v>0.96666666666666667</v>
      </c>
      <c r="F94">
        <v>29</v>
      </c>
      <c r="G94" s="9">
        <v>1</v>
      </c>
      <c r="H94" s="9"/>
      <c r="I94" s="8">
        <f>E94*G94</f>
        <v>0.96666666666666667</v>
      </c>
      <c r="J94" t="s">
        <v>211</v>
      </c>
      <c r="K94" t="s">
        <v>212</v>
      </c>
      <c r="L94" t="s">
        <v>22</v>
      </c>
      <c r="M94" t="s">
        <v>47</v>
      </c>
      <c r="N94" s="11">
        <v>69.5</v>
      </c>
      <c r="O94" s="11">
        <v>13.253214290000001</v>
      </c>
      <c r="P94" t="s">
        <v>48</v>
      </c>
      <c r="Q94" t="s">
        <v>25</v>
      </c>
      <c r="R94" t="s">
        <v>26</v>
      </c>
      <c r="S94" t="s">
        <v>31</v>
      </c>
      <c r="T94" t="str">
        <f>VLOOKUP(B94,'[1]Plant data'!$A$1:$AB$315,2,0)</f>
        <v>Verbenaceae</v>
      </c>
      <c r="U94" t="str">
        <f>VLOOKUP($B94,'[1]Plant data'!$A$1:$AB$315,3,0)</f>
        <v>Cytharexylum myrianthum</v>
      </c>
      <c r="V94" t="str">
        <f>VLOOKUP($B94,'[1]Plant data'!$A$1:$AB$315,4,0)</f>
        <v>red</v>
      </c>
      <c r="W94" t="str">
        <f>VLOOKUP($B94,'[1]Plant data'!$A$1:$AB$315,5,0)</f>
        <v>YES</v>
      </c>
      <c r="X94">
        <f>VLOOKUP($B94,'[1]Plant data'!$A$1:$AB$315,6,0)</f>
        <v>10.700000000000001</v>
      </c>
      <c r="Y94">
        <f>VLOOKUP($B94,'[1]Plant data'!$A$1:$AB$315,7,0)</f>
        <v>12.3</v>
      </c>
      <c r="Z94">
        <f>VLOOKUP($B94,'[1]Plant data'!$A$1:$AB$315,8,0)</f>
        <v>3.5</v>
      </c>
      <c r="AA94">
        <f>VLOOKUP($B94,'[1]Plant data'!$A$1:$AB$315,9,0)</f>
        <v>9.5</v>
      </c>
      <c r="AB94">
        <f>VLOOKUP($B94,'[1]Plant data'!$A$1:$AB$315,10,0)</f>
        <v>1.5999999999999999</v>
      </c>
      <c r="AC94">
        <f>VLOOKUP($B94,'[1]Plant data'!$A$1:$AB$315,11,0)</f>
        <v>0.7</v>
      </c>
      <c r="AD94">
        <f>VLOOKUP($B94,'[1]Plant data'!$A$1:$AB$315,12,0)</f>
        <v>1.05</v>
      </c>
      <c r="AE94" t="str">
        <f>VLOOKUP($B94,'[1]Plant data'!$A$1:$AB$315,13,0)</f>
        <v>NA</v>
      </c>
      <c r="AF94" t="str">
        <f>VLOOKUP($B94,'[1]Plant data'!$A$1:$AB$315,14,0)</f>
        <v>NA</v>
      </c>
      <c r="AG94">
        <f>VLOOKUP($B94,'[1]Plant data'!$A$1:$AB$315,15,0)</f>
        <v>2</v>
      </c>
      <c r="AH94" t="str">
        <f>VLOOKUP($B94,'[1]Plant data'!$A$1:$AB$315,16,0)</f>
        <v>NA</v>
      </c>
      <c r="AI94" t="str">
        <f>VLOOKUP($B94,'[1]Plant data'!$A$1:$AB$315,17,0)</f>
        <v>NA</v>
      </c>
      <c r="AJ94" t="str">
        <f>VLOOKUP($B94,'[1]Plant data'!$A$1:$AB$315,18,0)</f>
        <v>Intervales_morfo, Castro &amp; Galetti 2004, Correia 1997, Alves 2008</v>
      </c>
      <c r="AK94">
        <f>VLOOKUP($B94,'[1]Plant data'!$A$1:$AB$315,19,0)</f>
        <v>0.81400000000000006</v>
      </c>
      <c r="AL94">
        <f>VLOOKUP($B94,'[1]Plant data'!$A$1:$AB$315,20,0)</f>
        <v>6.3E-2</v>
      </c>
      <c r="AM94">
        <f>VLOOKUP($B94,'[1]Plant data'!$A$1:$AB$315,21,0)</f>
        <v>6.8000000000000005E-2</v>
      </c>
      <c r="AN94" t="str">
        <f>VLOOKUP($B94,'[1]Plant data'!$A$1:$AB$315,22,0)</f>
        <v>NA</v>
      </c>
      <c r="AO94" t="str">
        <f>VLOOKUP($B94,'[1]Plant data'!$A$1:$AB$315,23,0)</f>
        <v>NA</v>
      </c>
      <c r="AP94" t="str">
        <f>VLOOKUP($B94,'[1]Plant data'!$A$1:$AB$315,24,0)</f>
        <v>NA</v>
      </c>
      <c r="AQ94">
        <f>VLOOKUP($B94,'[1]Plant data'!$A$1:$AB$315,25,0)</f>
        <v>0.82700000000000007</v>
      </c>
      <c r="AR94">
        <f>VLOOKUP($B94,'[1]Plant data'!$A$1:$AB$315,26,0)</f>
        <v>4.0999999999999995E-2</v>
      </c>
      <c r="AS94" t="str">
        <f>VLOOKUP($B94,'[1]Plant data'!$A$1:$AB$315,27,0)</f>
        <v>NA</v>
      </c>
      <c r="AT94" t="str">
        <f>VLOOKUP($B94,'[1]Plant data'!$A$1:$AB$315,28,0)</f>
        <v>Saibadela</v>
      </c>
    </row>
    <row r="95" spans="1:46">
      <c r="A95" s="5" t="s">
        <v>43</v>
      </c>
      <c r="B95" s="15" t="s">
        <v>44</v>
      </c>
      <c r="C95">
        <v>14</v>
      </c>
      <c r="D95" s="7">
        <v>42</v>
      </c>
      <c r="E95" s="8">
        <f>C95/42</f>
        <v>0.33333333333333331</v>
      </c>
      <c r="F95">
        <v>8</v>
      </c>
      <c r="G95" s="9">
        <f>F95/C95</f>
        <v>0.5714285714285714</v>
      </c>
      <c r="H95" s="9"/>
      <c r="I95" s="8">
        <f>E95*G95</f>
        <v>0.19047619047619047</v>
      </c>
      <c r="J95" t="s">
        <v>216</v>
      </c>
      <c r="K95" t="s">
        <v>217</v>
      </c>
      <c r="L95" t="s">
        <v>22</v>
      </c>
      <c r="M95" t="s">
        <v>30</v>
      </c>
      <c r="N95" s="11">
        <v>32.5</v>
      </c>
      <c r="O95" s="11">
        <v>8.9205555560000001</v>
      </c>
      <c r="P95" t="s">
        <v>24</v>
      </c>
      <c r="Q95" t="s">
        <v>25</v>
      </c>
      <c r="R95" t="s">
        <v>26</v>
      </c>
      <c r="S95" t="s">
        <v>31</v>
      </c>
      <c r="T95" t="str">
        <f>VLOOKUP(B95,'[1]Plant data'!$A$1:$AB$315,2,0)</f>
        <v>Verbenaceae</v>
      </c>
      <c r="U95" t="str">
        <f>VLOOKUP($B95,'[1]Plant data'!$A$1:$AB$315,3,0)</f>
        <v>Cytharexylum myrianthum</v>
      </c>
      <c r="V95" t="str">
        <f>VLOOKUP($B95,'[1]Plant data'!$A$1:$AB$315,4,0)</f>
        <v>red</v>
      </c>
      <c r="W95" t="str">
        <f>VLOOKUP($B95,'[1]Plant data'!$A$1:$AB$315,5,0)</f>
        <v>YES</v>
      </c>
      <c r="X95">
        <f>VLOOKUP($B95,'[1]Plant data'!$A$1:$AB$315,6,0)</f>
        <v>10.700000000000001</v>
      </c>
      <c r="Y95">
        <f>VLOOKUP($B95,'[1]Plant data'!$A$1:$AB$315,7,0)</f>
        <v>12.3</v>
      </c>
      <c r="Z95">
        <f>VLOOKUP($B95,'[1]Plant data'!$A$1:$AB$315,8,0)</f>
        <v>3.5</v>
      </c>
      <c r="AA95">
        <f>VLOOKUP($B95,'[1]Plant data'!$A$1:$AB$315,9,0)</f>
        <v>9.5</v>
      </c>
      <c r="AB95">
        <f>VLOOKUP($B95,'[1]Plant data'!$A$1:$AB$315,10,0)</f>
        <v>1.5999999999999999</v>
      </c>
      <c r="AC95">
        <f>VLOOKUP($B95,'[1]Plant data'!$A$1:$AB$315,11,0)</f>
        <v>0.7</v>
      </c>
      <c r="AD95">
        <f>VLOOKUP($B95,'[1]Plant data'!$A$1:$AB$315,12,0)</f>
        <v>1.05</v>
      </c>
      <c r="AE95" t="str">
        <f>VLOOKUP($B95,'[1]Plant data'!$A$1:$AB$315,13,0)</f>
        <v>NA</v>
      </c>
      <c r="AF95" t="str">
        <f>VLOOKUP($B95,'[1]Plant data'!$A$1:$AB$315,14,0)</f>
        <v>NA</v>
      </c>
      <c r="AG95">
        <f>VLOOKUP($B95,'[1]Plant data'!$A$1:$AB$315,15,0)</f>
        <v>2</v>
      </c>
      <c r="AH95" t="str">
        <f>VLOOKUP($B95,'[1]Plant data'!$A$1:$AB$315,16,0)</f>
        <v>NA</v>
      </c>
      <c r="AI95" t="str">
        <f>VLOOKUP($B95,'[1]Plant data'!$A$1:$AB$315,17,0)</f>
        <v>NA</v>
      </c>
      <c r="AJ95" t="str">
        <f>VLOOKUP($B95,'[1]Plant data'!$A$1:$AB$315,18,0)</f>
        <v>Intervales_morfo, Castro &amp; Galetti 2004, Correia 1997, Alves 2008</v>
      </c>
      <c r="AK95">
        <f>VLOOKUP($B95,'[1]Plant data'!$A$1:$AB$315,19,0)</f>
        <v>0.81400000000000006</v>
      </c>
      <c r="AL95">
        <f>VLOOKUP($B95,'[1]Plant data'!$A$1:$AB$315,20,0)</f>
        <v>6.3E-2</v>
      </c>
      <c r="AM95">
        <f>VLOOKUP($B95,'[1]Plant data'!$A$1:$AB$315,21,0)</f>
        <v>6.8000000000000005E-2</v>
      </c>
      <c r="AN95" t="str">
        <f>VLOOKUP($B95,'[1]Plant data'!$A$1:$AB$315,22,0)</f>
        <v>NA</v>
      </c>
      <c r="AO95" t="str">
        <f>VLOOKUP($B95,'[1]Plant data'!$A$1:$AB$315,23,0)</f>
        <v>NA</v>
      </c>
      <c r="AP95" t="str">
        <f>VLOOKUP($B95,'[1]Plant data'!$A$1:$AB$315,24,0)</f>
        <v>NA</v>
      </c>
      <c r="AQ95">
        <f>VLOOKUP($B95,'[1]Plant data'!$A$1:$AB$315,25,0)</f>
        <v>0.82700000000000007</v>
      </c>
      <c r="AR95">
        <f>VLOOKUP($B95,'[1]Plant data'!$A$1:$AB$315,26,0)</f>
        <v>4.0999999999999995E-2</v>
      </c>
      <c r="AS95" t="str">
        <f>VLOOKUP($B95,'[1]Plant data'!$A$1:$AB$315,27,0)</f>
        <v>NA</v>
      </c>
      <c r="AT95" t="str">
        <f>VLOOKUP($B95,'[1]Plant data'!$A$1:$AB$315,28,0)</f>
        <v>Saibadela</v>
      </c>
    </row>
    <row r="96" spans="1:46">
      <c r="A96" s="5" t="s">
        <v>32</v>
      </c>
      <c r="B96" s="6" t="s">
        <v>33</v>
      </c>
      <c r="C96" s="7">
        <v>4</v>
      </c>
      <c r="D96" s="7">
        <v>10.6</v>
      </c>
      <c r="E96" s="8">
        <f>C96/D96</f>
        <v>0.37735849056603776</v>
      </c>
      <c r="F96" t="s">
        <v>19</v>
      </c>
      <c r="G96" s="9" t="s">
        <v>19</v>
      </c>
      <c r="H96" s="9"/>
      <c r="I96" s="8" t="s">
        <v>19</v>
      </c>
      <c r="J96" s="10" t="s">
        <v>20</v>
      </c>
      <c r="K96" t="s">
        <v>21</v>
      </c>
      <c r="L96" t="s">
        <v>22</v>
      </c>
      <c r="M96" t="s">
        <v>30</v>
      </c>
      <c r="N96" s="11">
        <v>18</v>
      </c>
      <c r="O96" s="11">
        <v>5.1684999999999999</v>
      </c>
      <c r="P96" t="s">
        <v>24</v>
      </c>
      <c r="Q96" s="13" t="s">
        <v>25</v>
      </c>
      <c r="R96" s="13" t="s">
        <v>26</v>
      </c>
      <c r="S96" s="13" t="s">
        <v>31</v>
      </c>
      <c r="T96" t="str">
        <f>VLOOKUP(B96,'[1]Plant data'!$A$1:$AB$315,2,0)</f>
        <v>Clusiaceae</v>
      </c>
      <c r="U96" t="str">
        <f>VLOOKUP($B96,'[1]Plant data'!$A$1:$AB$315,3,0)</f>
        <v>NA</v>
      </c>
      <c r="V96" t="str">
        <f>VLOOKUP($B96,'[1]Plant data'!$A$1:$AB$315,4,0)</f>
        <v>red</v>
      </c>
      <c r="W96" t="str">
        <f>VLOOKUP($B96,'[1]Plant data'!$A$1:$AB$315,5,0)</f>
        <v>YES</v>
      </c>
      <c r="X96">
        <f>VLOOKUP($B96,'[1]Plant data'!$A$1:$AB$315,6,0)</f>
        <v>5.4749999999999996</v>
      </c>
      <c r="Y96">
        <f>VLOOKUP($B96,'[1]Plant data'!$A$1:$AB$315,7,0)</f>
        <v>9.8425000000000011</v>
      </c>
      <c r="Z96">
        <f>VLOOKUP($B96,'[1]Plant data'!$A$1:$AB$315,8,0)</f>
        <v>1.6966666666666665</v>
      </c>
      <c r="AA96">
        <f>VLOOKUP($B96,'[1]Plant data'!$A$1:$AB$315,9,0)</f>
        <v>4</v>
      </c>
      <c r="AB96">
        <f>VLOOKUP($B96,'[1]Plant data'!$A$1:$AB$315,10,0)</f>
        <v>0.25719999999999998</v>
      </c>
      <c r="AC96">
        <f>VLOOKUP($B96,'[1]Plant data'!$A$1:$AB$315,11,0)</f>
        <v>0.33</v>
      </c>
      <c r="AD96">
        <f>VLOOKUP($B96,'[1]Plant data'!$A$1:$AB$315,12,0)</f>
        <v>5.1000000000000004E-3</v>
      </c>
      <c r="AE96">
        <f>VLOOKUP($B96,'[1]Plant data'!$A$1:$AB$315,13,0)</f>
        <v>5.1799999999999999E-2</v>
      </c>
      <c r="AF96">
        <f>VLOOKUP($B96,'[1]Plant data'!$A$1:$AB$315,14,0)</f>
        <v>0.14899999999999999</v>
      </c>
      <c r="AG96">
        <f>VLOOKUP($B96,'[1]Plant data'!$A$1:$AB$315,15,0)</f>
        <v>19.933333333333334</v>
      </c>
      <c r="AH96">
        <f>VLOOKUP($B96,'[1]Plant data'!$A$1:$AB$315,16,0)</f>
        <v>1.1100000000000001</v>
      </c>
      <c r="AI96">
        <f>VLOOKUP($B96,'[1]Plant data'!$A$1:$AB$315,17,0)</f>
        <v>0.57416666666666671</v>
      </c>
      <c r="AJ96" t="str">
        <f>VLOOKUP($B96,'[1]Plant data'!$A$1:$AB$315,18,0)</f>
        <v>ATLANTIC, Cazetta 2007, Erica&amp;Wesley, Passos &amp; Oliveira 2003, Alves 2008</v>
      </c>
      <c r="AK96" t="str">
        <f>VLOOKUP($B96,'[1]Plant data'!$A$1:$AB$315,19,0)</f>
        <v>NA</v>
      </c>
      <c r="AL96">
        <f>VLOOKUP($B96,'[1]Plant data'!$A$1:$AB$315,20,0)</f>
        <v>0.74609772374074845</v>
      </c>
      <c r="AM96">
        <f>VLOOKUP($B96,'[1]Plant data'!$A$1:$AB$315,21,0)</f>
        <v>5.5761000000000005E-2</v>
      </c>
      <c r="AN96">
        <f>VLOOKUP($B96,'[1]Plant data'!$A$1:$AB$315,22,0)</f>
        <v>1.7926766066134539E-2</v>
      </c>
      <c r="AO96">
        <f>VLOOKUP($B96,'[1]Plant data'!$A$1:$AB$315,23,0)</f>
        <v>3.0705513460981874E-2</v>
      </c>
      <c r="AP96" t="str">
        <f>VLOOKUP($B96,'[1]Plant data'!$A$1:$AB$315,24,0)</f>
        <v>NA</v>
      </c>
      <c r="AQ96">
        <f>VLOOKUP($B96,'[1]Plant data'!$A$1:$AB$315,25,0)</f>
        <v>9.1700000000000004E-2</v>
      </c>
      <c r="AR96">
        <f>VLOOKUP($B96,'[1]Plant data'!$A$1:$AB$315,26,0)</f>
        <v>9.7000000000000003E-3</v>
      </c>
      <c r="AS96" t="str">
        <f>VLOOKUP($B96,'[1]Plant data'!$A$1:$AB$315,27,0)</f>
        <v>NA</v>
      </c>
      <c r="AT96" t="str">
        <f>VLOOKUP($B96,'[1]Plant data'!$A$1:$AB$315,28,0)</f>
        <v>Erica &amp; Wesley, unpubl., Passos 2001</v>
      </c>
    </row>
    <row r="97" spans="1:46">
      <c r="A97" s="5" t="s">
        <v>62</v>
      </c>
      <c r="B97" s="6" t="s">
        <v>33</v>
      </c>
      <c r="C97" s="7">
        <v>1</v>
      </c>
      <c r="D97" s="25">
        <v>17.329999999999998</v>
      </c>
      <c r="E97" s="8">
        <f>C97/17.33</f>
        <v>5.7703404500865557E-2</v>
      </c>
      <c r="F97" t="s">
        <v>19</v>
      </c>
      <c r="G97" s="9" t="s">
        <v>19</v>
      </c>
      <c r="H97" s="9"/>
      <c r="I97" s="8" t="s">
        <v>19</v>
      </c>
      <c r="J97" t="s">
        <v>268</v>
      </c>
      <c r="K97" t="s">
        <v>269</v>
      </c>
      <c r="L97" t="s">
        <v>22</v>
      </c>
      <c r="M97" t="s">
        <v>30</v>
      </c>
      <c r="N97" s="11">
        <v>18.7</v>
      </c>
      <c r="O97" s="11">
        <v>6.1185714290000002</v>
      </c>
      <c r="P97" t="s">
        <v>24</v>
      </c>
      <c r="Q97" t="s">
        <v>25</v>
      </c>
      <c r="R97" t="s">
        <v>26</v>
      </c>
      <c r="S97" t="s">
        <v>31</v>
      </c>
      <c r="T97" t="str">
        <f>VLOOKUP(B97,'[1]Plant data'!$A$1:$AB$315,2,0)</f>
        <v>Clusiaceae</v>
      </c>
      <c r="U97" t="str">
        <f>VLOOKUP($B97,'[1]Plant data'!$A$1:$AB$315,3,0)</f>
        <v>NA</v>
      </c>
      <c r="V97" t="str">
        <f>VLOOKUP($B97,'[1]Plant data'!$A$1:$AB$315,4,0)</f>
        <v>red</v>
      </c>
      <c r="W97" t="str">
        <f>VLOOKUP($B97,'[1]Plant data'!$A$1:$AB$315,5,0)</f>
        <v>YES</v>
      </c>
      <c r="X97">
        <f>VLOOKUP($B97,'[1]Plant data'!$A$1:$AB$315,6,0)</f>
        <v>5.4749999999999996</v>
      </c>
      <c r="Y97">
        <f>VLOOKUP($B97,'[1]Plant data'!$A$1:$AB$315,7,0)</f>
        <v>9.8425000000000011</v>
      </c>
      <c r="Z97">
        <f>VLOOKUP($B97,'[1]Plant data'!$A$1:$AB$315,8,0)</f>
        <v>1.6966666666666665</v>
      </c>
      <c r="AA97">
        <f>VLOOKUP($B97,'[1]Plant data'!$A$1:$AB$315,9,0)</f>
        <v>4</v>
      </c>
      <c r="AB97">
        <f>VLOOKUP($B97,'[1]Plant data'!$A$1:$AB$315,10,0)</f>
        <v>0.25719999999999998</v>
      </c>
      <c r="AC97">
        <f>VLOOKUP($B97,'[1]Plant data'!$A$1:$AB$315,11,0)</f>
        <v>0.33</v>
      </c>
      <c r="AD97">
        <f>VLOOKUP($B97,'[1]Plant data'!$A$1:$AB$315,12,0)</f>
        <v>5.1000000000000004E-3</v>
      </c>
      <c r="AE97">
        <f>VLOOKUP($B97,'[1]Plant data'!$A$1:$AB$315,13,0)</f>
        <v>5.1799999999999999E-2</v>
      </c>
      <c r="AF97">
        <f>VLOOKUP($B97,'[1]Plant data'!$A$1:$AB$315,14,0)</f>
        <v>0.14899999999999999</v>
      </c>
      <c r="AG97">
        <f>VLOOKUP($B97,'[1]Plant data'!$A$1:$AB$315,15,0)</f>
        <v>19.933333333333334</v>
      </c>
      <c r="AH97">
        <f>VLOOKUP($B97,'[1]Plant data'!$A$1:$AB$315,16,0)</f>
        <v>1.1100000000000001</v>
      </c>
      <c r="AI97">
        <f>VLOOKUP($B97,'[1]Plant data'!$A$1:$AB$315,17,0)</f>
        <v>0.57416666666666671</v>
      </c>
      <c r="AJ97" t="str">
        <f>VLOOKUP($B97,'[1]Plant data'!$A$1:$AB$315,18,0)</f>
        <v>ATLANTIC, Cazetta 2007, Erica&amp;Wesley, Passos &amp; Oliveira 2003, Alves 2008</v>
      </c>
      <c r="AK97" t="str">
        <f>VLOOKUP($B97,'[1]Plant data'!$A$1:$AB$315,19,0)</f>
        <v>NA</v>
      </c>
      <c r="AL97">
        <f>VLOOKUP($B97,'[1]Plant data'!$A$1:$AB$315,20,0)</f>
        <v>0.74609772374074845</v>
      </c>
      <c r="AM97">
        <f>VLOOKUP($B97,'[1]Plant data'!$A$1:$AB$315,21,0)</f>
        <v>5.5761000000000005E-2</v>
      </c>
      <c r="AN97">
        <f>VLOOKUP($B97,'[1]Plant data'!$A$1:$AB$315,22,0)</f>
        <v>1.7926766066134539E-2</v>
      </c>
      <c r="AO97">
        <f>VLOOKUP($B97,'[1]Plant data'!$A$1:$AB$315,23,0)</f>
        <v>3.0705513460981874E-2</v>
      </c>
      <c r="AP97" t="str">
        <f>VLOOKUP($B97,'[1]Plant data'!$A$1:$AB$315,24,0)</f>
        <v>NA</v>
      </c>
      <c r="AQ97">
        <f>VLOOKUP($B97,'[1]Plant data'!$A$1:$AB$315,25,0)</f>
        <v>9.1700000000000004E-2</v>
      </c>
      <c r="AR97">
        <f>VLOOKUP($B97,'[1]Plant data'!$A$1:$AB$315,26,0)</f>
        <v>9.7000000000000003E-3</v>
      </c>
      <c r="AS97" t="str">
        <f>VLOOKUP($B97,'[1]Plant data'!$A$1:$AB$315,27,0)</f>
        <v>NA</v>
      </c>
      <c r="AT97" t="str">
        <f>VLOOKUP($B97,'[1]Plant data'!$A$1:$AB$315,28,0)</f>
        <v>Erica &amp; Wesley, unpubl., Passos 2001</v>
      </c>
    </row>
    <row r="98" spans="1:46">
      <c r="A98" s="5" t="s">
        <v>28</v>
      </c>
      <c r="B98" s="6" t="s">
        <v>213</v>
      </c>
      <c r="C98" s="7">
        <v>16</v>
      </c>
      <c r="D98" s="7">
        <v>36</v>
      </c>
      <c r="E98" s="8">
        <f>C98/D98</f>
        <v>0.44444444444444442</v>
      </c>
      <c r="F98" s="27">
        <v>8</v>
      </c>
      <c r="G98" s="9">
        <f>F98/C98</f>
        <v>0.5</v>
      </c>
      <c r="H98" s="9"/>
      <c r="I98" s="8">
        <f t="shared" ref="I98:I103" si="8">E98*G98</f>
        <v>0.22222222222222221</v>
      </c>
      <c r="J98" s="10" t="s">
        <v>211</v>
      </c>
      <c r="K98" t="s">
        <v>212</v>
      </c>
      <c r="L98" t="s">
        <v>22</v>
      </c>
      <c r="M98" t="s">
        <v>30</v>
      </c>
      <c r="N98" s="11">
        <v>18</v>
      </c>
      <c r="O98" s="11">
        <v>7.4188405800000004</v>
      </c>
      <c r="P98" t="s">
        <v>24</v>
      </c>
      <c r="Q98" s="13" t="s">
        <v>25</v>
      </c>
      <c r="R98" s="13" t="s">
        <v>26</v>
      </c>
      <c r="S98" s="13" t="s">
        <v>31</v>
      </c>
      <c r="T98" t="str">
        <f>VLOOKUP(B98,'[1]Plant data'!$A$1:$AB$315,2,0)</f>
        <v>Fabaceae</v>
      </c>
      <c r="U98" t="str">
        <f>VLOOKUP($B98,'[1]Plant data'!$A$1:$AB$315,3,0)</f>
        <v>NA</v>
      </c>
      <c r="V98" t="str">
        <f>VLOOKUP($B98,'[1]Plant data'!$A$1:$AB$315,4,0)</f>
        <v>multicolor</v>
      </c>
      <c r="W98" t="str">
        <f>VLOOKUP($B98,'[1]Plant data'!$A$1:$AB$315,5,0)</f>
        <v>YES</v>
      </c>
      <c r="X98">
        <f>VLOOKUP($B98,'[1]Plant data'!$A$1:$AB$315,6,0)</f>
        <v>15.360000000000001</v>
      </c>
      <c r="Y98">
        <f>VLOOKUP($B98,'[1]Plant data'!$A$1:$AB$315,7,0)</f>
        <v>21.445</v>
      </c>
      <c r="Z98">
        <f>VLOOKUP($B98,'[1]Plant data'!$A$1:$AB$315,8,0)</f>
        <v>9.8633333333333333</v>
      </c>
      <c r="AA98">
        <f>VLOOKUP($B98,'[1]Plant data'!$A$1:$AB$315,9,0)</f>
        <v>13.736666666666666</v>
      </c>
      <c r="AB98">
        <f>VLOOKUP($B98,'[1]Plant data'!$A$1:$AB$315,10,0)</f>
        <v>0.98</v>
      </c>
      <c r="AC98" t="str">
        <f>VLOOKUP($B98,'[1]Plant data'!$A$1:$AB$315,11,0)</f>
        <v>NA</v>
      </c>
      <c r="AD98">
        <f>VLOOKUP($B98,'[1]Plant data'!$A$1:$AB$315,12,0)</f>
        <v>0.70500000000000007</v>
      </c>
      <c r="AE98" t="str">
        <f>VLOOKUP($B98,'[1]Plant data'!$A$1:$AB$315,13,0)</f>
        <v>NA</v>
      </c>
      <c r="AF98" t="str">
        <f>VLOOKUP($B98,'[1]Plant data'!$A$1:$AB$315,14,0)</f>
        <v>NA</v>
      </c>
      <c r="AG98">
        <f>VLOOKUP($B98,'[1]Plant data'!$A$1:$AB$315,15,0)</f>
        <v>1.0433333333333332</v>
      </c>
      <c r="AH98" t="str">
        <f>VLOOKUP($B98,'[1]Plant data'!$A$1:$AB$315,16,0)</f>
        <v>NA</v>
      </c>
      <c r="AI98" t="str">
        <f>VLOOKUP($B98,'[1]Plant data'!$A$1:$AB$315,17,0)</f>
        <v>NA</v>
      </c>
      <c r="AJ98" t="str">
        <f>VLOOKUP($B98,'[1]Plant data'!$A$1:$AB$315,18,0)</f>
        <v>ATLANTIC, Intervales_morfo, Camargo 2014, Gondim 2002</v>
      </c>
      <c r="AK98">
        <f>VLOOKUP($B98,'[1]Plant data'!$A$1:$AB$315,19,0)</f>
        <v>0.752</v>
      </c>
      <c r="AL98">
        <f>VLOOKUP($B98,'[1]Plant data'!$A$1:$AB$315,20,0)</f>
        <v>0.155</v>
      </c>
      <c r="AM98">
        <f>VLOOKUP($B98,'[1]Plant data'!$A$1:$AB$315,21,0)</f>
        <v>9.3000000000000013E-2</v>
      </c>
      <c r="AN98" t="str">
        <f>VLOOKUP($B98,'[1]Plant data'!$A$1:$AB$315,22,0)</f>
        <v>NA</v>
      </c>
      <c r="AO98" t="str">
        <f>VLOOKUP($B98,'[1]Plant data'!$A$1:$AB$315,23,0)</f>
        <v>NA</v>
      </c>
      <c r="AP98" t="str">
        <f>VLOOKUP($B98,'[1]Plant data'!$A$1:$AB$315,24,0)</f>
        <v>NA</v>
      </c>
      <c r="AQ98">
        <f>VLOOKUP($B98,'[1]Plant data'!$A$1:$AB$315,25,0)</f>
        <v>0.70299999999999996</v>
      </c>
      <c r="AR98">
        <f>VLOOKUP($B98,'[1]Plant data'!$A$1:$AB$315,26,0)</f>
        <v>4.8000000000000001E-2</v>
      </c>
      <c r="AS98" t="str">
        <f>VLOOKUP($B98,'[1]Plant data'!$A$1:$AB$315,27,0)</f>
        <v>NA</v>
      </c>
      <c r="AT98" t="str">
        <f>VLOOKUP($B98,'[1]Plant data'!$A$1:$AB$315,28,0)</f>
        <v>Saibadela</v>
      </c>
    </row>
    <row r="99" spans="1:46">
      <c r="A99" s="5" t="s">
        <v>46</v>
      </c>
      <c r="B99" s="6" t="s">
        <v>213</v>
      </c>
      <c r="C99">
        <v>4</v>
      </c>
      <c r="D99" s="7">
        <v>36</v>
      </c>
      <c r="E99" s="8">
        <f>C99/36</f>
        <v>0.1111111111111111</v>
      </c>
      <c r="F99">
        <v>1</v>
      </c>
      <c r="G99" s="9">
        <f>F99/C99</f>
        <v>0.25</v>
      </c>
      <c r="H99" s="9"/>
      <c r="I99" s="8">
        <f t="shared" si="8"/>
        <v>2.7777777777777776E-2</v>
      </c>
      <c r="J99" t="s">
        <v>211</v>
      </c>
      <c r="K99" t="s">
        <v>212</v>
      </c>
      <c r="L99" t="s">
        <v>22</v>
      </c>
      <c r="M99" t="s">
        <v>47</v>
      </c>
      <c r="N99" s="11">
        <v>54</v>
      </c>
      <c r="O99" s="11">
        <v>11.14875</v>
      </c>
      <c r="P99" t="s">
        <v>48</v>
      </c>
      <c r="Q99" t="s">
        <v>49</v>
      </c>
      <c r="R99" t="s">
        <v>26</v>
      </c>
      <c r="S99" t="s">
        <v>31</v>
      </c>
      <c r="T99" t="str">
        <f>VLOOKUP(B99,'[1]Plant data'!$A$1:$AB$315,2,0)</f>
        <v>Fabaceae</v>
      </c>
      <c r="U99" t="str">
        <f>VLOOKUP($B99,'[1]Plant data'!$A$1:$AB$315,3,0)</f>
        <v>NA</v>
      </c>
      <c r="V99" t="str">
        <f>VLOOKUP($B99,'[1]Plant data'!$A$1:$AB$315,4,0)</f>
        <v>multicolor</v>
      </c>
      <c r="W99" t="str">
        <f>VLOOKUP($B99,'[1]Plant data'!$A$1:$AB$315,5,0)</f>
        <v>YES</v>
      </c>
      <c r="X99">
        <f>VLOOKUP($B99,'[1]Plant data'!$A$1:$AB$315,6,0)</f>
        <v>15.360000000000001</v>
      </c>
      <c r="Y99">
        <f>VLOOKUP($B99,'[1]Plant data'!$A$1:$AB$315,7,0)</f>
        <v>21.445</v>
      </c>
      <c r="Z99">
        <f>VLOOKUP($B99,'[1]Plant data'!$A$1:$AB$315,8,0)</f>
        <v>9.8633333333333333</v>
      </c>
      <c r="AA99">
        <f>VLOOKUP($B99,'[1]Plant data'!$A$1:$AB$315,9,0)</f>
        <v>13.736666666666666</v>
      </c>
      <c r="AB99">
        <f>VLOOKUP($B99,'[1]Plant data'!$A$1:$AB$315,10,0)</f>
        <v>0.98</v>
      </c>
      <c r="AC99" t="str">
        <f>VLOOKUP($B99,'[1]Plant data'!$A$1:$AB$315,11,0)</f>
        <v>NA</v>
      </c>
      <c r="AD99">
        <f>VLOOKUP($B99,'[1]Plant data'!$A$1:$AB$315,12,0)</f>
        <v>0.70500000000000007</v>
      </c>
      <c r="AE99" t="str">
        <f>VLOOKUP($B99,'[1]Plant data'!$A$1:$AB$315,13,0)</f>
        <v>NA</v>
      </c>
      <c r="AF99" t="str">
        <f>VLOOKUP($B99,'[1]Plant data'!$A$1:$AB$315,14,0)</f>
        <v>NA</v>
      </c>
      <c r="AG99">
        <f>VLOOKUP($B99,'[1]Plant data'!$A$1:$AB$315,15,0)</f>
        <v>1.0433333333333332</v>
      </c>
      <c r="AH99" t="str">
        <f>VLOOKUP($B99,'[1]Plant data'!$A$1:$AB$315,16,0)</f>
        <v>NA</v>
      </c>
      <c r="AI99" t="str">
        <f>VLOOKUP($B99,'[1]Plant data'!$A$1:$AB$315,17,0)</f>
        <v>NA</v>
      </c>
      <c r="AJ99" t="str">
        <f>VLOOKUP($B99,'[1]Plant data'!$A$1:$AB$315,18,0)</f>
        <v>ATLANTIC, Intervales_morfo, Camargo 2014, Gondim 2002</v>
      </c>
      <c r="AK99">
        <f>VLOOKUP($B99,'[1]Plant data'!$A$1:$AB$315,19,0)</f>
        <v>0.752</v>
      </c>
      <c r="AL99">
        <f>VLOOKUP($B99,'[1]Plant data'!$A$1:$AB$315,20,0)</f>
        <v>0.155</v>
      </c>
      <c r="AM99">
        <f>VLOOKUP($B99,'[1]Plant data'!$A$1:$AB$315,21,0)</f>
        <v>9.3000000000000013E-2</v>
      </c>
      <c r="AN99" t="str">
        <f>VLOOKUP($B99,'[1]Plant data'!$A$1:$AB$315,22,0)</f>
        <v>NA</v>
      </c>
      <c r="AO99" t="str">
        <f>VLOOKUP($B99,'[1]Plant data'!$A$1:$AB$315,23,0)</f>
        <v>NA</v>
      </c>
      <c r="AP99" t="str">
        <f>VLOOKUP($B99,'[1]Plant data'!$A$1:$AB$315,24,0)</f>
        <v>NA</v>
      </c>
      <c r="AQ99">
        <f>VLOOKUP($B99,'[1]Plant data'!$A$1:$AB$315,25,0)</f>
        <v>0.70299999999999996</v>
      </c>
      <c r="AR99">
        <f>VLOOKUP($B99,'[1]Plant data'!$A$1:$AB$315,26,0)</f>
        <v>4.8000000000000001E-2</v>
      </c>
      <c r="AS99" t="str">
        <f>VLOOKUP($B99,'[1]Plant data'!$A$1:$AB$315,27,0)</f>
        <v>NA</v>
      </c>
      <c r="AT99" t="str">
        <f>VLOOKUP($B99,'[1]Plant data'!$A$1:$AB$315,28,0)</f>
        <v>Saibadela</v>
      </c>
    </row>
    <row r="100" spans="1:46">
      <c r="A100" s="5" t="s">
        <v>50</v>
      </c>
      <c r="B100" s="14" t="s">
        <v>213</v>
      </c>
      <c r="C100">
        <v>1</v>
      </c>
      <c r="D100">
        <v>41.25</v>
      </c>
      <c r="E100" s="8">
        <f>C100/D100</f>
        <v>2.4242424242424242E-2</v>
      </c>
      <c r="F100" t="s">
        <v>19</v>
      </c>
      <c r="G100" s="9">
        <v>4</v>
      </c>
      <c r="H100" s="9"/>
      <c r="I100" s="8">
        <f t="shared" si="8"/>
        <v>9.696969696969697E-2</v>
      </c>
      <c r="J100" s="10" t="s">
        <v>222</v>
      </c>
      <c r="K100" t="s">
        <v>153</v>
      </c>
      <c r="L100" t="s">
        <v>22</v>
      </c>
      <c r="M100" t="s">
        <v>47</v>
      </c>
      <c r="N100" s="11">
        <v>69.5</v>
      </c>
      <c r="O100" s="11">
        <v>13.253214290000001</v>
      </c>
      <c r="P100" t="s">
        <v>48</v>
      </c>
      <c r="Q100" t="s">
        <v>25</v>
      </c>
      <c r="R100" t="s">
        <v>26</v>
      </c>
      <c r="S100" t="s">
        <v>31</v>
      </c>
      <c r="T100" t="str">
        <f>VLOOKUP(B100,'[1]Plant data'!$A$1:$AB$315,2,0)</f>
        <v>Fabaceae</v>
      </c>
      <c r="U100" t="str">
        <f>VLOOKUP($B100,'[1]Plant data'!$A$1:$AB$315,3,0)</f>
        <v>NA</v>
      </c>
      <c r="V100" t="str">
        <f>VLOOKUP($B100,'[1]Plant data'!$A$1:$AB$315,4,0)</f>
        <v>multicolor</v>
      </c>
      <c r="W100" t="str">
        <f>VLOOKUP($B100,'[1]Plant data'!$A$1:$AB$315,5,0)</f>
        <v>YES</v>
      </c>
      <c r="X100">
        <f>VLOOKUP($B100,'[1]Plant data'!$A$1:$AB$315,6,0)</f>
        <v>15.360000000000001</v>
      </c>
      <c r="Y100">
        <f>VLOOKUP($B100,'[1]Plant data'!$A$1:$AB$315,7,0)</f>
        <v>21.445</v>
      </c>
      <c r="Z100">
        <f>VLOOKUP($B100,'[1]Plant data'!$A$1:$AB$315,8,0)</f>
        <v>9.8633333333333333</v>
      </c>
      <c r="AA100">
        <f>VLOOKUP($B100,'[1]Plant data'!$A$1:$AB$315,9,0)</f>
        <v>13.736666666666666</v>
      </c>
      <c r="AB100">
        <f>VLOOKUP($B100,'[1]Plant data'!$A$1:$AB$315,10,0)</f>
        <v>0.98</v>
      </c>
      <c r="AC100" t="str">
        <f>VLOOKUP($B100,'[1]Plant data'!$A$1:$AB$315,11,0)</f>
        <v>NA</v>
      </c>
      <c r="AD100">
        <f>VLOOKUP($B100,'[1]Plant data'!$A$1:$AB$315,12,0)</f>
        <v>0.70500000000000007</v>
      </c>
      <c r="AE100" t="str">
        <f>VLOOKUP($B100,'[1]Plant data'!$A$1:$AB$315,13,0)</f>
        <v>NA</v>
      </c>
      <c r="AF100" t="str">
        <f>VLOOKUP($B100,'[1]Plant data'!$A$1:$AB$315,14,0)</f>
        <v>NA</v>
      </c>
      <c r="AG100">
        <f>VLOOKUP($B100,'[1]Plant data'!$A$1:$AB$315,15,0)</f>
        <v>1.0433333333333332</v>
      </c>
      <c r="AH100" t="str">
        <f>VLOOKUP($B100,'[1]Plant data'!$A$1:$AB$315,16,0)</f>
        <v>NA</v>
      </c>
      <c r="AI100" t="str">
        <f>VLOOKUP($B100,'[1]Plant data'!$A$1:$AB$315,17,0)</f>
        <v>NA</v>
      </c>
      <c r="AJ100" t="str">
        <f>VLOOKUP($B100,'[1]Plant data'!$A$1:$AB$315,18,0)</f>
        <v>ATLANTIC, Intervales_morfo, Camargo 2014, Gondim 2002</v>
      </c>
      <c r="AK100">
        <f>VLOOKUP($B100,'[1]Plant data'!$A$1:$AB$315,19,0)</f>
        <v>0.752</v>
      </c>
      <c r="AL100">
        <f>VLOOKUP($B100,'[1]Plant data'!$A$1:$AB$315,20,0)</f>
        <v>0.155</v>
      </c>
      <c r="AM100">
        <f>VLOOKUP($B100,'[1]Plant data'!$A$1:$AB$315,21,0)</f>
        <v>9.3000000000000013E-2</v>
      </c>
      <c r="AN100" t="str">
        <f>VLOOKUP($B100,'[1]Plant data'!$A$1:$AB$315,22,0)</f>
        <v>NA</v>
      </c>
      <c r="AO100" t="str">
        <f>VLOOKUP($B100,'[1]Plant data'!$A$1:$AB$315,23,0)</f>
        <v>NA</v>
      </c>
      <c r="AP100" t="str">
        <f>VLOOKUP($B100,'[1]Plant data'!$A$1:$AB$315,24,0)</f>
        <v>NA</v>
      </c>
      <c r="AQ100">
        <f>VLOOKUP($B100,'[1]Plant data'!$A$1:$AB$315,25,0)</f>
        <v>0.70299999999999996</v>
      </c>
      <c r="AR100">
        <f>VLOOKUP($B100,'[1]Plant data'!$A$1:$AB$315,26,0)</f>
        <v>4.8000000000000001E-2</v>
      </c>
      <c r="AS100" t="str">
        <f>VLOOKUP($B100,'[1]Plant data'!$A$1:$AB$315,27,0)</f>
        <v>NA</v>
      </c>
      <c r="AT100" t="str">
        <f>VLOOKUP($B100,'[1]Plant data'!$A$1:$AB$315,28,0)</f>
        <v>Saibadela</v>
      </c>
    </row>
    <row r="101" spans="1:46">
      <c r="A101" s="5" t="s">
        <v>28</v>
      </c>
      <c r="B101" s="14" t="s">
        <v>213</v>
      </c>
      <c r="C101" s="7">
        <v>7</v>
      </c>
      <c r="D101" s="25">
        <v>40</v>
      </c>
      <c r="E101" s="8">
        <f>C101/D101</f>
        <v>0.17499999999999999</v>
      </c>
      <c r="F101">
        <v>8</v>
      </c>
      <c r="G101" s="9">
        <f>F101/C101</f>
        <v>1.1428571428571428</v>
      </c>
      <c r="H101" s="9"/>
      <c r="I101" s="8">
        <f t="shared" si="8"/>
        <v>0.19999999999999998</v>
      </c>
      <c r="J101" t="s">
        <v>272</v>
      </c>
      <c r="K101" t="s">
        <v>273</v>
      </c>
      <c r="L101" t="s">
        <v>22</v>
      </c>
      <c r="M101" t="s">
        <v>30</v>
      </c>
      <c r="N101" s="11">
        <v>18</v>
      </c>
      <c r="O101" s="11">
        <v>7.4188405800000004</v>
      </c>
      <c r="P101" t="s">
        <v>24</v>
      </c>
      <c r="Q101" s="13" t="s">
        <v>25</v>
      </c>
      <c r="R101" s="13" t="s">
        <v>26</v>
      </c>
      <c r="S101" s="13" t="s">
        <v>31</v>
      </c>
      <c r="T101" t="str">
        <f>VLOOKUP(B101,'[1]Plant data'!$A$1:$AB$315,2,0)</f>
        <v>Fabaceae</v>
      </c>
      <c r="U101" t="str">
        <f>VLOOKUP($B101,'[1]Plant data'!$A$1:$AB$315,3,0)</f>
        <v>NA</v>
      </c>
      <c r="V101" t="str">
        <f>VLOOKUP($B101,'[1]Plant data'!$A$1:$AB$315,4,0)</f>
        <v>multicolor</v>
      </c>
      <c r="W101" t="str">
        <f>VLOOKUP($B101,'[1]Plant data'!$A$1:$AB$315,5,0)</f>
        <v>YES</v>
      </c>
      <c r="X101">
        <f>VLOOKUP($B101,'[1]Plant data'!$A$1:$AB$315,6,0)</f>
        <v>15.360000000000001</v>
      </c>
      <c r="Y101">
        <f>VLOOKUP($B101,'[1]Plant data'!$A$1:$AB$315,7,0)</f>
        <v>21.445</v>
      </c>
      <c r="Z101">
        <f>VLOOKUP($B101,'[1]Plant data'!$A$1:$AB$315,8,0)</f>
        <v>9.8633333333333333</v>
      </c>
      <c r="AA101">
        <f>VLOOKUP($B101,'[1]Plant data'!$A$1:$AB$315,9,0)</f>
        <v>13.736666666666666</v>
      </c>
      <c r="AB101">
        <f>VLOOKUP($B101,'[1]Plant data'!$A$1:$AB$315,10,0)</f>
        <v>0.98</v>
      </c>
      <c r="AC101" t="str">
        <f>VLOOKUP($B101,'[1]Plant data'!$A$1:$AB$315,11,0)</f>
        <v>NA</v>
      </c>
      <c r="AD101">
        <f>VLOOKUP($B101,'[1]Plant data'!$A$1:$AB$315,12,0)</f>
        <v>0.70500000000000007</v>
      </c>
      <c r="AE101" t="str">
        <f>VLOOKUP($B101,'[1]Plant data'!$A$1:$AB$315,13,0)</f>
        <v>NA</v>
      </c>
      <c r="AF101" t="str">
        <f>VLOOKUP($B101,'[1]Plant data'!$A$1:$AB$315,14,0)</f>
        <v>NA</v>
      </c>
      <c r="AG101">
        <f>VLOOKUP($B101,'[1]Plant data'!$A$1:$AB$315,15,0)</f>
        <v>1.0433333333333332</v>
      </c>
      <c r="AH101" t="str">
        <f>VLOOKUP($B101,'[1]Plant data'!$A$1:$AB$315,16,0)</f>
        <v>NA</v>
      </c>
      <c r="AI101" t="str">
        <f>VLOOKUP($B101,'[1]Plant data'!$A$1:$AB$315,17,0)</f>
        <v>NA</v>
      </c>
      <c r="AJ101" t="str">
        <f>VLOOKUP($B101,'[1]Plant data'!$A$1:$AB$315,18,0)</f>
        <v>ATLANTIC, Intervales_morfo, Camargo 2014, Gondim 2002</v>
      </c>
      <c r="AK101">
        <f>VLOOKUP($B101,'[1]Plant data'!$A$1:$AB$315,19,0)</f>
        <v>0.752</v>
      </c>
      <c r="AL101">
        <f>VLOOKUP($B101,'[1]Plant data'!$A$1:$AB$315,20,0)</f>
        <v>0.155</v>
      </c>
      <c r="AM101">
        <f>VLOOKUP($B101,'[1]Plant data'!$A$1:$AB$315,21,0)</f>
        <v>9.3000000000000013E-2</v>
      </c>
      <c r="AN101" t="str">
        <f>VLOOKUP($B101,'[1]Plant data'!$A$1:$AB$315,22,0)</f>
        <v>NA</v>
      </c>
      <c r="AO101" t="str">
        <f>VLOOKUP($B101,'[1]Plant data'!$A$1:$AB$315,23,0)</f>
        <v>NA</v>
      </c>
      <c r="AP101" t="str">
        <f>VLOOKUP($B101,'[1]Plant data'!$A$1:$AB$315,24,0)</f>
        <v>NA</v>
      </c>
      <c r="AQ101">
        <f>VLOOKUP($B101,'[1]Plant data'!$A$1:$AB$315,25,0)</f>
        <v>0.70299999999999996</v>
      </c>
      <c r="AR101">
        <f>VLOOKUP($B101,'[1]Plant data'!$A$1:$AB$315,26,0)</f>
        <v>4.8000000000000001E-2</v>
      </c>
      <c r="AS101" t="str">
        <f>VLOOKUP($B101,'[1]Plant data'!$A$1:$AB$315,27,0)</f>
        <v>NA</v>
      </c>
      <c r="AT101" t="str">
        <f>VLOOKUP($B101,'[1]Plant data'!$A$1:$AB$315,28,0)</f>
        <v>Saibadela</v>
      </c>
    </row>
    <row r="102" spans="1:46">
      <c r="A102" s="5" t="s">
        <v>43</v>
      </c>
      <c r="B102" s="14" t="s">
        <v>213</v>
      </c>
      <c r="C102">
        <v>32</v>
      </c>
      <c r="D102" s="25">
        <v>40</v>
      </c>
      <c r="E102" s="8">
        <f>C102/40</f>
        <v>0.8</v>
      </c>
      <c r="F102">
        <v>54</v>
      </c>
      <c r="G102" s="9">
        <f>F102/C102</f>
        <v>1.6875</v>
      </c>
      <c r="H102" s="9"/>
      <c r="I102" s="8">
        <f t="shared" si="8"/>
        <v>1.35</v>
      </c>
      <c r="J102" t="s">
        <v>272</v>
      </c>
      <c r="K102" t="s">
        <v>273</v>
      </c>
      <c r="L102" t="s">
        <v>22</v>
      </c>
      <c r="M102" t="s">
        <v>30</v>
      </c>
      <c r="N102" s="11">
        <v>32.5</v>
      </c>
      <c r="O102" s="11">
        <v>8.9205555560000001</v>
      </c>
      <c r="P102" t="s">
        <v>24</v>
      </c>
      <c r="Q102" t="s">
        <v>25</v>
      </c>
      <c r="R102" t="s">
        <v>26</v>
      </c>
      <c r="S102" t="s">
        <v>31</v>
      </c>
      <c r="T102" t="str">
        <f>VLOOKUP(B102,'[1]Plant data'!$A$1:$AB$315,2,0)</f>
        <v>Fabaceae</v>
      </c>
      <c r="U102" t="str">
        <f>VLOOKUP($B102,'[1]Plant data'!$A$1:$AB$315,3,0)</f>
        <v>NA</v>
      </c>
      <c r="V102" t="str">
        <f>VLOOKUP($B102,'[1]Plant data'!$A$1:$AB$315,4,0)</f>
        <v>multicolor</v>
      </c>
      <c r="W102" t="str">
        <f>VLOOKUP($B102,'[1]Plant data'!$A$1:$AB$315,5,0)</f>
        <v>YES</v>
      </c>
      <c r="X102">
        <f>VLOOKUP($B102,'[1]Plant data'!$A$1:$AB$315,6,0)</f>
        <v>15.360000000000001</v>
      </c>
      <c r="Y102">
        <f>VLOOKUP($B102,'[1]Plant data'!$A$1:$AB$315,7,0)</f>
        <v>21.445</v>
      </c>
      <c r="Z102">
        <f>VLOOKUP($B102,'[1]Plant data'!$A$1:$AB$315,8,0)</f>
        <v>9.8633333333333333</v>
      </c>
      <c r="AA102">
        <f>VLOOKUP($B102,'[1]Plant data'!$A$1:$AB$315,9,0)</f>
        <v>13.736666666666666</v>
      </c>
      <c r="AB102">
        <f>VLOOKUP($B102,'[1]Plant data'!$A$1:$AB$315,10,0)</f>
        <v>0.98</v>
      </c>
      <c r="AC102" t="str">
        <f>VLOOKUP($B102,'[1]Plant data'!$A$1:$AB$315,11,0)</f>
        <v>NA</v>
      </c>
      <c r="AD102">
        <f>VLOOKUP($B102,'[1]Plant data'!$A$1:$AB$315,12,0)</f>
        <v>0.70500000000000007</v>
      </c>
      <c r="AE102" t="str">
        <f>VLOOKUP($B102,'[1]Plant data'!$A$1:$AB$315,13,0)</f>
        <v>NA</v>
      </c>
      <c r="AF102" t="str">
        <f>VLOOKUP($B102,'[1]Plant data'!$A$1:$AB$315,14,0)</f>
        <v>NA</v>
      </c>
      <c r="AG102">
        <f>VLOOKUP($B102,'[1]Plant data'!$A$1:$AB$315,15,0)</f>
        <v>1.0433333333333332</v>
      </c>
      <c r="AH102" t="str">
        <f>VLOOKUP($B102,'[1]Plant data'!$A$1:$AB$315,16,0)</f>
        <v>NA</v>
      </c>
      <c r="AI102" t="str">
        <f>VLOOKUP($B102,'[1]Plant data'!$A$1:$AB$315,17,0)</f>
        <v>NA</v>
      </c>
      <c r="AJ102" t="str">
        <f>VLOOKUP($B102,'[1]Plant data'!$A$1:$AB$315,18,0)</f>
        <v>ATLANTIC, Intervales_morfo, Camargo 2014, Gondim 2002</v>
      </c>
      <c r="AK102">
        <f>VLOOKUP($B102,'[1]Plant data'!$A$1:$AB$315,19,0)</f>
        <v>0.752</v>
      </c>
      <c r="AL102">
        <f>VLOOKUP($B102,'[1]Plant data'!$A$1:$AB$315,20,0)</f>
        <v>0.155</v>
      </c>
      <c r="AM102">
        <f>VLOOKUP($B102,'[1]Plant data'!$A$1:$AB$315,21,0)</f>
        <v>9.3000000000000013E-2</v>
      </c>
      <c r="AN102" t="str">
        <f>VLOOKUP($B102,'[1]Plant data'!$A$1:$AB$315,22,0)</f>
        <v>NA</v>
      </c>
      <c r="AO102" t="str">
        <f>VLOOKUP($B102,'[1]Plant data'!$A$1:$AB$315,23,0)</f>
        <v>NA</v>
      </c>
      <c r="AP102" t="str">
        <f>VLOOKUP($B102,'[1]Plant data'!$A$1:$AB$315,24,0)</f>
        <v>NA</v>
      </c>
      <c r="AQ102">
        <f>VLOOKUP($B102,'[1]Plant data'!$A$1:$AB$315,25,0)</f>
        <v>0.70299999999999996</v>
      </c>
      <c r="AR102">
        <f>VLOOKUP($B102,'[1]Plant data'!$A$1:$AB$315,26,0)</f>
        <v>4.8000000000000001E-2</v>
      </c>
      <c r="AS102" t="str">
        <f>VLOOKUP($B102,'[1]Plant data'!$A$1:$AB$315,27,0)</f>
        <v>NA</v>
      </c>
      <c r="AT102" t="str">
        <f>VLOOKUP($B102,'[1]Plant data'!$A$1:$AB$315,28,0)</f>
        <v>Saibadela</v>
      </c>
    </row>
    <row r="103" spans="1:46">
      <c r="A103" s="5" t="s">
        <v>50</v>
      </c>
      <c r="B103" s="14" t="s">
        <v>213</v>
      </c>
      <c r="C103">
        <v>8</v>
      </c>
      <c r="D103" s="25">
        <v>40</v>
      </c>
      <c r="E103" s="8">
        <f>C103/40</f>
        <v>0.2</v>
      </c>
      <c r="F103">
        <v>16</v>
      </c>
      <c r="G103" s="9">
        <f>F103/C103</f>
        <v>2</v>
      </c>
      <c r="H103" s="9"/>
      <c r="I103" s="8">
        <f t="shared" si="8"/>
        <v>0.4</v>
      </c>
      <c r="J103" t="s">
        <v>272</v>
      </c>
      <c r="K103" t="s">
        <v>273</v>
      </c>
      <c r="L103" t="s">
        <v>22</v>
      </c>
      <c r="M103" t="s">
        <v>47</v>
      </c>
      <c r="N103" s="11">
        <v>69.5</v>
      </c>
      <c r="O103" s="11">
        <v>13.253214290000001</v>
      </c>
      <c r="P103" t="s">
        <v>48</v>
      </c>
      <c r="Q103" t="s">
        <v>25</v>
      </c>
      <c r="R103" t="s">
        <v>26</v>
      </c>
      <c r="S103" t="s">
        <v>31</v>
      </c>
      <c r="T103" t="str">
        <f>VLOOKUP(B103,'[1]Plant data'!$A$1:$AB$315,2,0)</f>
        <v>Fabaceae</v>
      </c>
      <c r="U103" t="str">
        <f>VLOOKUP($B103,'[1]Plant data'!$A$1:$AB$315,3,0)</f>
        <v>NA</v>
      </c>
      <c r="V103" t="str">
        <f>VLOOKUP($B103,'[1]Plant data'!$A$1:$AB$315,4,0)</f>
        <v>multicolor</v>
      </c>
      <c r="W103" t="str">
        <f>VLOOKUP($B103,'[1]Plant data'!$A$1:$AB$315,5,0)</f>
        <v>YES</v>
      </c>
      <c r="X103">
        <f>VLOOKUP($B103,'[1]Plant data'!$A$1:$AB$315,6,0)</f>
        <v>15.360000000000001</v>
      </c>
      <c r="Y103">
        <f>VLOOKUP($B103,'[1]Plant data'!$A$1:$AB$315,7,0)</f>
        <v>21.445</v>
      </c>
      <c r="Z103">
        <f>VLOOKUP($B103,'[1]Plant data'!$A$1:$AB$315,8,0)</f>
        <v>9.8633333333333333</v>
      </c>
      <c r="AA103">
        <f>VLOOKUP($B103,'[1]Plant data'!$A$1:$AB$315,9,0)</f>
        <v>13.736666666666666</v>
      </c>
      <c r="AB103">
        <f>VLOOKUP($B103,'[1]Plant data'!$A$1:$AB$315,10,0)</f>
        <v>0.98</v>
      </c>
      <c r="AC103" t="str">
        <f>VLOOKUP($B103,'[1]Plant data'!$A$1:$AB$315,11,0)</f>
        <v>NA</v>
      </c>
      <c r="AD103">
        <f>VLOOKUP($B103,'[1]Plant data'!$A$1:$AB$315,12,0)</f>
        <v>0.70500000000000007</v>
      </c>
      <c r="AE103" t="str">
        <f>VLOOKUP($B103,'[1]Plant data'!$A$1:$AB$315,13,0)</f>
        <v>NA</v>
      </c>
      <c r="AF103" t="str">
        <f>VLOOKUP($B103,'[1]Plant data'!$A$1:$AB$315,14,0)</f>
        <v>NA</v>
      </c>
      <c r="AG103">
        <f>VLOOKUP($B103,'[1]Plant data'!$A$1:$AB$315,15,0)</f>
        <v>1.0433333333333332</v>
      </c>
      <c r="AH103" t="str">
        <f>VLOOKUP($B103,'[1]Plant data'!$A$1:$AB$315,16,0)</f>
        <v>NA</v>
      </c>
      <c r="AI103" t="str">
        <f>VLOOKUP($B103,'[1]Plant data'!$A$1:$AB$315,17,0)</f>
        <v>NA</v>
      </c>
      <c r="AJ103" t="str">
        <f>VLOOKUP($B103,'[1]Plant data'!$A$1:$AB$315,18,0)</f>
        <v>ATLANTIC, Intervales_morfo, Camargo 2014, Gondim 2002</v>
      </c>
      <c r="AK103">
        <f>VLOOKUP($B103,'[1]Plant data'!$A$1:$AB$315,19,0)</f>
        <v>0.752</v>
      </c>
      <c r="AL103">
        <f>VLOOKUP($B103,'[1]Plant data'!$A$1:$AB$315,20,0)</f>
        <v>0.155</v>
      </c>
      <c r="AM103">
        <f>VLOOKUP($B103,'[1]Plant data'!$A$1:$AB$315,21,0)</f>
        <v>9.3000000000000013E-2</v>
      </c>
      <c r="AN103" t="str">
        <f>VLOOKUP($B103,'[1]Plant data'!$A$1:$AB$315,22,0)</f>
        <v>NA</v>
      </c>
      <c r="AO103" t="str">
        <f>VLOOKUP($B103,'[1]Plant data'!$A$1:$AB$315,23,0)</f>
        <v>NA</v>
      </c>
      <c r="AP103" t="str">
        <f>VLOOKUP($B103,'[1]Plant data'!$A$1:$AB$315,24,0)</f>
        <v>NA</v>
      </c>
      <c r="AQ103">
        <f>VLOOKUP($B103,'[1]Plant data'!$A$1:$AB$315,25,0)</f>
        <v>0.70299999999999996</v>
      </c>
      <c r="AR103">
        <f>VLOOKUP($B103,'[1]Plant data'!$A$1:$AB$315,26,0)</f>
        <v>4.8000000000000001E-2</v>
      </c>
      <c r="AS103" t="str">
        <f>VLOOKUP($B103,'[1]Plant data'!$A$1:$AB$315,27,0)</f>
        <v>NA</v>
      </c>
      <c r="AT103" t="str">
        <f>VLOOKUP($B103,'[1]Plant data'!$A$1:$AB$315,28,0)</f>
        <v>Saibadela</v>
      </c>
    </row>
    <row r="104" spans="1:46">
      <c r="A104" s="5" t="s">
        <v>70</v>
      </c>
      <c r="B104" s="15" t="s">
        <v>71</v>
      </c>
      <c r="C104" s="7">
        <v>138</v>
      </c>
      <c r="D104" s="7">
        <v>24.2</v>
      </c>
      <c r="E104" s="8">
        <f>C104/24.2</f>
        <v>5.7024793388429753</v>
      </c>
      <c r="F104" t="s">
        <v>19</v>
      </c>
      <c r="G104" s="9" t="s">
        <v>19</v>
      </c>
      <c r="H104" s="9"/>
      <c r="I104" s="8" t="s">
        <v>19</v>
      </c>
      <c r="J104" s="24" t="s">
        <v>67</v>
      </c>
      <c r="K104" s="25" t="s">
        <v>68</v>
      </c>
      <c r="L104" t="s">
        <v>22</v>
      </c>
      <c r="M104" t="s">
        <v>23</v>
      </c>
      <c r="N104" s="11">
        <v>15</v>
      </c>
      <c r="O104" s="11">
        <v>6.9235714289999999</v>
      </c>
      <c r="P104" t="s">
        <v>24</v>
      </c>
      <c r="Q104" t="s">
        <v>25</v>
      </c>
      <c r="R104" t="s">
        <v>26</v>
      </c>
      <c r="S104" t="s">
        <v>27</v>
      </c>
      <c r="T104" t="str">
        <f>VLOOKUP(B104,'[1]Plant data'!$A$1:$AB$315,2,0)</f>
        <v>Boraginaceae</v>
      </c>
      <c r="U104" t="str">
        <f>VLOOKUP($B104,'[1]Plant data'!$A$1:$AB$315,3,0)</f>
        <v>Varronia curassavica, Cordia verbenacea</v>
      </c>
      <c r="V104" t="str">
        <f>VLOOKUP($B104,'[1]Plant data'!$A$1:$AB$315,4,0)</f>
        <v>red</v>
      </c>
      <c r="W104" t="str">
        <f>VLOOKUP($B104,'[1]Plant data'!$A$1:$AB$315,5,0)</f>
        <v>YES</v>
      </c>
      <c r="X104">
        <f>VLOOKUP($B104,'[1]Plant data'!$A$1:$AB$315,6,0)</f>
        <v>6.5750000000000002</v>
      </c>
      <c r="Y104">
        <f>VLOOKUP($B104,'[1]Plant data'!$A$1:$AB$315,7,0)</f>
        <v>5.92</v>
      </c>
      <c r="Z104">
        <f>VLOOKUP($B104,'[1]Plant data'!$A$1:$AB$315,8,0)</f>
        <v>2.855</v>
      </c>
      <c r="AA104">
        <f>VLOOKUP($B104,'[1]Plant data'!$A$1:$AB$315,9,0)</f>
        <v>3.8850000000000002</v>
      </c>
      <c r="AB104">
        <f>VLOOKUP($B104,'[1]Plant data'!$A$1:$AB$315,10,0)</f>
        <v>0.13450000000000001</v>
      </c>
      <c r="AC104">
        <f>VLOOKUP($B104,'[1]Plant data'!$A$1:$AB$315,11,0)</f>
        <v>0.16</v>
      </c>
      <c r="AD104" t="str">
        <f>VLOOKUP($B104,'[1]Plant data'!$A$1:$AB$315,12,0)</f>
        <v>NA</v>
      </c>
      <c r="AE104">
        <f>VLOOKUP($B104,'[1]Plant data'!$A$1:$AB$315,13,0)</f>
        <v>0.02</v>
      </c>
      <c r="AF104">
        <f>VLOOKUP($B104,'[1]Plant data'!$A$1:$AB$315,14,0)</f>
        <v>0.02</v>
      </c>
      <c r="AG104">
        <f>VLOOKUP($B104,'[1]Plant data'!$A$1:$AB$315,15,0)</f>
        <v>1</v>
      </c>
      <c r="AH104" t="str">
        <f>VLOOKUP($B104,'[1]Plant data'!$A$1:$AB$315,16,0)</f>
        <v>NA</v>
      </c>
      <c r="AI104">
        <f>VLOOKUP($B104,'[1]Plant data'!$A$1:$AB$315,17,0)</f>
        <v>1</v>
      </c>
      <c r="AJ104" t="str">
        <f>VLOOKUP($B104,'[1]Plant data'!$A$1:$AB$315,18,0)</f>
        <v>Cazetta 2007, Argel-de-Oliveira 1999</v>
      </c>
      <c r="AK104">
        <f>VLOOKUP($B104,'[1]Plant data'!$A$1:$AB$315,19,0)</f>
        <v>0.875</v>
      </c>
      <c r="AL104">
        <f>VLOOKUP($B104,'[1]Plant data'!$A$1:$AB$315,20,0)</f>
        <v>0.18420000000000003</v>
      </c>
      <c r="AM104">
        <f>VLOOKUP($B104,'[1]Plant data'!$A$1:$AB$315,21,0)</f>
        <v>9.4499999999999987E-2</v>
      </c>
      <c r="AN104">
        <f>VLOOKUP($B104,'[1]Plant data'!$A$1:$AB$315,22,0)</f>
        <v>2.0899999999999998E-2</v>
      </c>
      <c r="AO104" t="str">
        <f>VLOOKUP($B104,'[1]Plant data'!$A$1:$AB$315,23,0)</f>
        <v>NA</v>
      </c>
      <c r="AP104" t="str">
        <f>VLOOKUP($B104,'[1]Plant data'!$A$1:$AB$315,24,0)</f>
        <v>NA</v>
      </c>
      <c r="AQ104" t="str">
        <f>VLOOKUP($B104,'[1]Plant data'!$A$1:$AB$315,25,0)</f>
        <v>NA</v>
      </c>
      <c r="AR104" t="str">
        <f>VLOOKUP($B104,'[1]Plant data'!$A$1:$AB$315,26,0)</f>
        <v>NA</v>
      </c>
      <c r="AS104" t="str">
        <f>VLOOKUP($B104,'[1]Plant data'!$A$1:$AB$315,27,0)</f>
        <v>NA</v>
      </c>
      <c r="AT104" t="str">
        <f>VLOOKUP($B104,'[1]Plant data'!$A$1:$AB$315,28,0)</f>
        <v>Cazetta 2007</v>
      </c>
    </row>
    <row r="105" spans="1:46">
      <c r="A105" s="5" t="s">
        <v>41</v>
      </c>
      <c r="B105" s="15" t="s">
        <v>71</v>
      </c>
      <c r="C105" s="7">
        <v>1</v>
      </c>
      <c r="D105" s="7">
        <v>24.2</v>
      </c>
      <c r="E105" s="8">
        <f>C105/24.2</f>
        <v>4.1322314049586778E-2</v>
      </c>
      <c r="F105" t="s">
        <v>19</v>
      </c>
      <c r="G105" s="9" t="s">
        <v>19</v>
      </c>
      <c r="H105" s="9"/>
      <c r="I105" s="8" t="s">
        <v>19</v>
      </c>
      <c r="J105" s="24" t="s">
        <v>67</v>
      </c>
      <c r="K105" s="25" t="s">
        <v>68</v>
      </c>
      <c r="L105" t="s">
        <v>22</v>
      </c>
      <c r="M105" t="s">
        <v>30</v>
      </c>
      <c r="N105" s="11">
        <v>39</v>
      </c>
      <c r="O105" s="11">
        <v>8.2839869279999991</v>
      </c>
      <c r="P105" t="s">
        <v>24</v>
      </c>
      <c r="Q105" t="s">
        <v>25</v>
      </c>
      <c r="R105" t="s">
        <v>26</v>
      </c>
      <c r="S105" t="s">
        <v>31</v>
      </c>
      <c r="T105" t="str">
        <f>VLOOKUP(B105,'[1]Plant data'!$A$1:$AB$315,2,0)</f>
        <v>Boraginaceae</v>
      </c>
      <c r="U105" t="str">
        <f>VLOOKUP($B105,'[1]Plant data'!$A$1:$AB$315,3,0)</f>
        <v>Varronia curassavica, Cordia verbenacea</v>
      </c>
      <c r="V105" t="str">
        <f>VLOOKUP($B105,'[1]Plant data'!$A$1:$AB$315,4,0)</f>
        <v>red</v>
      </c>
      <c r="W105" t="str">
        <f>VLOOKUP($B105,'[1]Plant data'!$A$1:$AB$315,5,0)</f>
        <v>YES</v>
      </c>
      <c r="X105">
        <f>VLOOKUP($B105,'[1]Plant data'!$A$1:$AB$315,6,0)</f>
        <v>6.5750000000000002</v>
      </c>
      <c r="Y105">
        <f>VLOOKUP($B105,'[1]Plant data'!$A$1:$AB$315,7,0)</f>
        <v>5.92</v>
      </c>
      <c r="Z105">
        <f>VLOOKUP($B105,'[1]Plant data'!$A$1:$AB$315,8,0)</f>
        <v>2.855</v>
      </c>
      <c r="AA105">
        <f>VLOOKUP($B105,'[1]Plant data'!$A$1:$AB$315,9,0)</f>
        <v>3.8850000000000002</v>
      </c>
      <c r="AB105">
        <f>VLOOKUP($B105,'[1]Plant data'!$A$1:$AB$315,10,0)</f>
        <v>0.13450000000000001</v>
      </c>
      <c r="AC105">
        <f>VLOOKUP($B105,'[1]Plant data'!$A$1:$AB$315,11,0)</f>
        <v>0.16</v>
      </c>
      <c r="AD105" t="str">
        <f>VLOOKUP($B105,'[1]Plant data'!$A$1:$AB$315,12,0)</f>
        <v>NA</v>
      </c>
      <c r="AE105">
        <f>VLOOKUP($B105,'[1]Plant data'!$A$1:$AB$315,13,0)</f>
        <v>0.02</v>
      </c>
      <c r="AF105">
        <f>VLOOKUP($B105,'[1]Plant data'!$A$1:$AB$315,14,0)</f>
        <v>0.02</v>
      </c>
      <c r="AG105">
        <f>VLOOKUP($B105,'[1]Plant data'!$A$1:$AB$315,15,0)</f>
        <v>1</v>
      </c>
      <c r="AH105" t="str">
        <f>VLOOKUP($B105,'[1]Plant data'!$A$1:$AB$315,16,0)</f>
        <v>NA</v>
      </c>
      <c r="AI105">
        <f>VLOOKUP($B105,'[1]Plant data'!$A$1:$AB$315,17,0)</f>
        <v>1</v>
      </c>
      <c r="AJ105" t="str">
        <f>VLOOKUP($B105,'[1]Plant data'!$A$1:$AB$315,18,0)</f>
        <v>Cazetta 2007, Argel-de-Oliveira 1999</v>
      </c>
      <c r="AK105">
        <f>VLOOKUP($B105,'[1]Plant data'!$A$1:$AB$315,19,0)</f>
        <v>0.875</v>
      </c>
      <c r="AL105">
        <f>VLOOKUP($B105,'[1]Plant data'!$A$1:$AB$315,20,0)</f>
        <v>0.18420000000000003</v>
      </c>
      <c r="AM105">
        <f>VLOOKUP($B105,'[1]Plant data'!$A$1:$AB$315,21,0)</f>
        <v>9.4499999999999987E-2</v>
      </c>
      <c r="AN105">
        <f>VLOOKUP($B105,'[1]Plant data'!$A$1:$AB$315,22,0)</f>
        <v>2.0899999999999998E-2</v>
      </c>
      <c r="AO105" t="str">
        <f>VLOOKUP($B105,'[1]Plant data'!$A$1:$AB$315,23,0)</f>
        <v>NA</v>
      </c>
      <c r="AP105" t="str">
        <f>VLOOKUP($B105,'[1]Plant data'!$A$1:$AB$315,24,0)</f>
        <v>NA</v>
      </c>
      <c r="AQ105" t="str">
        <f>VLOOKUP($B105,'[1]Plant data'!$A$1:$AB$315,25,0)</f>
        <v>NA</v>
      </c>
      <c r="AR105" t="str">
        <f>VLOOKUP($B105,'[1]Plant data'!$A$1:$AB$315,26,0)</f>
        <v>NA</v>
      </c>
      <c r="AS105" t="str">
        <f>VLOOKUP($B105,'[1]Plant data'!$A$1:$AB$315,27,0)</f>
        <v>NA</v>
      </c>
      <c r="AT105" t="str">
        <f>VLOOKUP($B105,'[1]Plant data'!$A$1:$AB$315,28,0)</f>
        <v>Cazetta 2007</v>
      </c>
    </row>
    <row r="106" spans="1:46">
      <c r="A106" s="5" t="s">
        <v>43</v>
      </c>
      <c r="B106" s="15" t="s">
        <v>71</v>
      </c>
      <c r="C106" s="7">
        <v>1</v>
      </c>
      <c r="D106" s="7">
        <v>24.2</v>
      </c>
      <c r="E106" s="8">
        <f>C106/24.2</f>
        <v>4.1322314049586778E-2</v>
      </c>
      <c r="F106" t="s">
        <v>19</v>
      </c>
      <c r="G106" s="9" t="s">
        <v>19</v>
      </c>
      <c r="H106" s="9"/>
      <c r="I106" s="8" t="s">
        <v>19</v>
      </c>
      <c r="J106" s="25" t="s">
        <v>67</v>
      </c>
      <c r="K106" s="25" t="s">
        <v>68</v>
      </c>
      <c r="L106" t="s">
        <v>22</v>
      </c>
      <c r="M106" t="s">
        <v>30</v>
      </c>
      <c r="N106" s="11">
        <v>32.5</v>
      </c>
      <c r="O106" s="11">
        <v>8.9205555560000001</v>
      </c>
      <c r="P106" t="s">
        <v>24</v>
      </c>
      <c r="Q106" t="s">
        <v>25</v>
      </c>
      <c r="R106" t="s">
        <v>26</v>
      </c>
      <c r="S106" t="s">
        <v>31</v>
      </c>
      <c r="T106" t="str">
        <f>VLOOKUP(B106,'[1]Plant data'!$A$1:$AB$315,2,0)</f>
        <v>Boraginaceae</v>
      </c>
      <c r="U106" t="str">
        <f>VLOOKUP($B106,'[1]Plant data'!$A$1:$AB$315,3,0)</f>
        <v>Varronia curassavica, Cordia verbenacea</v>
      </c>
      <c r="V106" t="str">
        <f>VLOOKUP($B106,'[1]Plant data'!$A$1:$AB$315,4,0)</f>
        <v>red</v>
      </c>
      <c r="W106" t="str">
        <f>VLOOKUP($B106,'[1]Plant data'!$A$1:$AB$315,5,0)</f>
        <v>YES</v>
      </c>
      <c r="X106">
        <f>VLOOKUP($B106,'[1]Plant data'!$A$1:$AB$315,6,0)</f>
        <v>6.5750000000000002</v>
      </c>
      <c r="Y106">
        <f>VLOOKUP($B106,'[1]Plant data'!$A$1:$AB$315,7,0)</f>
        <v>5.92</v>
      </c>
      <c r="Z106">
        <f>VLOOKUP($B106,'[1]Plant data'!$A$1:$AB$315,8,0)</f>
        <v>2.855</v>
      </c>
      <c r="AA106">
        <f>VLOOKUP($B106,'[1]Plant data'!$A$1:$AB$315,9,0)</f>
        <v>3.8850000000000002</v>
      </c>
      <c r="AB106">
        <f>VLOOKUP($B106,'[1]Plant data'!$A$1:$AB$315,10,0)</f>
        <v>0.13450000000000001</v>
      </c>
      <c r="AC106">
        <f>VLOOKUP($B106,'[1]Plant data'!$A$1:$AB$315,11,0)</f>
        <v>0.16</v>
      </c>
      <c r="AD106" t="str">
        <f>VLOOKUP($B106,'[1]Plant data'!$A$1:$AB$315,12,0)</f>
        <v>NA</v>
      </c>
      <c r="AE106">
        <f>VLOOKUP($B106,'[1]Plant data'!$A$1:$AB$315,13,0)</f>
        <v>0.02</v>
      </c>
      <c r="AF106">
        <f>VLOOKUP($B106,'[1]Plant data'!$A$1:$AB$315,14,0)</f>
        <v>0.02</v>
      </c>
      <c r="AG106">
        <f>VLOOKUP($B106,'[1]Plant data'!$A$1:$AB$315,15,0)</f>
        <v>1</v>
      </c>
      <c r="AH106" t="str">
        <f>VLOOKUP($B106,'[1]Plant data'!$A$1:$AB$315,16,0)</f>
        <v>NA</v>
      </c>
      <c r="AI106">
        <f>VLOOKUP($B106,'[1]Plant data'!$A$1:$AB$315,17,0)</f>
        <v>1</v>
      </c>
      <c r="AJ106" t="str">
        <f>VLOOKUP($B106,'[1]Plant data'!$A$1:$AB$315,18,0)</f>
        <v>Cazetta 2007, Argel-de-Oliveira 1999</v>
      </c>
      <c r="AK106">
        <f>VLOOKUP($B106,'[1]Plant data'!$A$1:$AB$315,19,0)</f>
        <v>0.875</v>
      </c>
      <c r="AL106">
        <f>VLOOKUP($B106,'[1]Plant data'!$A$1:$AB$315,20,0)</f>
        <v>0.18420000000000003</v>
      </c>
      <c r="AM106">
        <f>VLOOKUP($B106,'[1]Plant data'!$A$1:$AB$315,21,0)</f>
        <v>9.4499999999999987E-2</v>
      </c>
      <c r="AN106">
        <f>VLOOKUP($B106,'[1]Plant data'!$A$1:$AB$315,22,0)</f>
        <v>2.0899999999999998E-2</v>
      </c>
      <c r="AO106" t="str">
        <f>VLOOKUP($B106,'[1]Plant data'!$A$1:$AB$315,23,0)</f>
        <v>NA</v>
      </c>
      <c r="AP106" t="str">
        <f>VLOOKUP($B106,'[1]Plant data'!$A$1:$AB$315,24,0)</f>
        <v>NA</v>
      </c>
      <c r="AQ106" t="str">
        <f>VLOOKUP($B106,'[1]Plant data'!$A$1:$AB$315,25,0)</f>
        <v>NA</v>
      </c>
      <c r="AR106" t="str">
        <f>VLOOKUP($B106,'[1]Plant data'!$A$1:$AB$315,26,0)</f>
        <v>NA</v>
      </c>
      <c r="AS106" t="str">
        <f>VLOOKUP($B106,'[1]Plant data'!$A$1:$AB$315,27,0)</f>
        <v>NA</v>
      </c>
      <c r="AT106" t="str">
        <f>VLOOKUP($B106,'[1]Plant data'!$A$1:$AB$315,28,0)</f>
        <v>Cazetta 2007</v>
      </c>
    </row>
    <row r="107" spans="1:46">
      <c r="A107" s="5" t="s">
        <v>50</v>
      </c>
      <c r="B107" s="14" t="s">
        <v>193</v>
      </c>
      <c r="C107">
        <v>1</v>
      </c>
      <c r="D107">
        <v>2.2000000000000002</v>
      </c>
      <c r="E107" s="8">
        <f>C107/2.2</f>
        <v>0.45454545454545453</v>
      </c>
      <c r="F107" t="s">
        <v>19</v>
      </c>
      <c r="G107" s="9" t="s">
        <v>19</v>
      </c>
      <c r="H107" s="9"/>
      <c r="I107" s="8" t="s">
        <v>19</v>
      </c>
      <c r="J107" t="s">
        <v>180</v>
      </c>
      <c r="K107" t="s">
        <v>181</v>
      </c>
      <c r="L107" t="s">
        <v>22</v>
      </c>
      <c r="M107" t="s">
        <v>47</v>
      </c>
      <c r="N107" s="11">
        <v>69.5</v>
      </c>
      <c r="O107" s="11">
        <v>13.253214290000001</v>
      </c>
      <c r="P107" t="s">
        <v>48</v>
      </c>
      <c r="Q107" t="s">
        <v>25</v>
      </c>
      <c r="R107" t="s">
        <v>26</v>
      </c>
      <c r="S107" t="s">
        <v>31</v>
      </c>
      <c r="T107" t="str">
        <f>VLOOKUP(B107,'[1]Plant data'!$A$1:$AB$315,2,0)</f>
        <v>Boraginaceae</v>
      </c>
      <c r="U107" t="str">
        <f>VLOOKUP($B107,'[1]Plant data'!$A$1:$AB$315,3,0)</f>
        <v>NA</v>
      </c>
      <c r="V107" t="str">
        <f>VLOOKUP($B107,'[1]Plant data'!$A$1:$AB$315,4,0)</f>
        <v>red</v>
      </c>
      <c r="W107" t="str">
        <f>VLOOKUP($B107,'[1]Plant data'!$A$1:$AB$315,5,0)</f>
        <v>YES</v>
      </c>
      <c r="X107">
        <f>VLOOKUP($B107,'[1]Plant data'!$A$1:$AB$315,6,0)</f>
        <v>11.05</v>
      </c>
      <c r="Y107">
        <f>VLOOKUP($B107,'[1]Plant data'!$A$1:$AB$315,7,0)</f>
        <v>11.55</v>
      </c>
      <c r="Z107">
        <f>VLOOKUP($B107,'[1]Plant data'!$A$1:$AB$315,8,0)</f>
        <v>7</v>
      </c>
      <c r="AA107">
        <f>VLOOKUP($B107,'[1]Plant data'!$A$1:$AB$315,9,0)</f>
        <v>9</v>
      </c>
      <c r="AB107">
        <f>VLOOKUP($B107,'[1]Plant data'!$A$1:$AB$315,10,0)</f>
        <v>3</v>
      </c>
      <c r="AC107" t="str">
        <f>VLOOKUP($B107,'[1]Plant data'!$A$1:$AB$315,11,0)</f>
        <v>NA</v>
      </c>
      <c r="AD107">
        <f>VLOOKUP($B107,'[1]Plant data'!$A$1:$AB$315,12,0)</f>
        <v>2</v>
      </c>
      <c r="AE107" t="str">
        <f>VLOOKUP($B107,'[1]Plant data'!$A$1:$AB$315,13,0)</f>
        <v>NA</v>
      </c>
      <c r="AF107" t="str">
        <f>VLOOKUP($B107,'[1]Plant data'!$A$1:$AB$315,14,0)</f>
        <v>NA</v>
      </c>
      <c r="AG107">
        <f>VLOOKUP($B107,'[1]Plant data'!$A$1:$AB$315,15,0)</f>
        <v>1</v>
      </c>
      <c r="AH107" t="str">
        <f>VLOOKUP($B107,'[1]Plant data'!$A$1:$AB$315,16,0)</f>
        <v>NA</v>
      </c>
      <c r="AI107" t="str">
        <f>VLOOKUP($B107,'[1]Plant data'!$A$1:$AB$315,17,0)</f>
        <v>NA</v>
      </c>
      <c r="AJ107" t="str">
        <f>VLOOKUP($B107,'[1]Plant data'!$A$1:$AB$315,18,0)</f>
        <v>Alves 2008, Castro &amp; Galetti 2004</v>
      </c>
      <c r="AK107" t="str">
        <f>VLOOKUP($B107,'[1]Plant data'!$A$1:$AB$315,19,0)</f>
        <v>NA</v>
      </c>
      <c r="AL107" t="str">
        <f>VLOOKUP($B107,'[1]Plant data'!$A$1:$AB$315,20,0)</f>
        <v>NA</v>
      </c>
      <c r="AM107" t="str">
        <f>VLOOKUP($B107,'[1]Plant data'!$A$1:$AB$315,21,0)</f>
        <v>NA</v>
      </c>
      <c r="AN107" t="str">
        <f>VLOOKUP($B107,'[1]Plant data'!$A$1:$AB$315,22,0)</f>
        <v>NA</v>
      </c>
      <c r="AO107" t="str">
        <f>VLOOKUP($B107,'[1]Plant data'!$A$1:$AB$315,23,0)</f>
        <v>NA</v>
      </c>
      <c r="AP107" t="str">
        <f>VLOOKUP($B107,'[1]Plant data'!$A$1:$AB$315,24,0)</f>
        <v>NA</v>
      </c>
      <c r="AQ107" t="str">
        <f>VLOOKUP($B107,'[1]Plant data'!$A$1:$AB$315,25,0)</f>
        <v>NA</v>
      </c>
      <c r="AR107" t="str">
        <f>VLOOKUP($B107,'[1]Plant data'!$A$1:$AB$315,26,0)</f>
        <v>NA</v>
      </c>
      <c r="AS107" t="str">
        <f>VLOOKUP($B107,'[1]Plant data'!$A$1:$AB$315,27,0)</f>
        <v>NA</v>
      </c>
      <c r="AT107" t="str">
        <f>VLOOKUP($B107,'[1]Plant data'!$A$1:$AB$315,28,0)</f>
        <v>NA</v>
      </c>
    </row>
    <row r="108" spans="1:46">
      <c r="A108" s="5" t="s">
        <v>110</v>
      </c>
      <c r="B108" s="14" t="s">
        <v>159</v>
      </c>
      <c r="C108">
        <v>3</v>
      </c>
      <c r="D108" t="s">
        <v>19</v>
      </c>
      <c r="E108" s="9" t="s">
        <v>19</v>
      </c>
      <c r="F108" s="9" t="s">
        <v>19</v>
      </c>
      <c r="G108" s="9" t="s">
        <v>19</v>
      </c>
      <c r="H108" s="9"/>
      <c r="I108" s="8" t="s">
        <v>19</v>
      </c>
      <c r="J108" t="s">
        <v>157</v>
      </c>
      <c r="K108" t="s">
        <v>123</v>
      </c>
      <c r="L108" t="s">
        <v>100</v>
      </c>
      <c r="M108" t="s">
        <v>101</v>
      </c>
      <c r="N108" s="11">
        <v>1250</v>
      </c>
      <c r="O108" s="11">
        <v>19.114999999999998</v>
      </c>
      <c r="P108" t="s">
        <v>48</v>
      </c>
      <c r="Q108" t="s">
        <v>95</v>
      </c>
      <c r="R108" t="s">
        <v>114</v>
      </c>
      <c r="S108" t="s">
        <v>27</v>
      </c>
      <c r="T108" t="str">
        <f>VLOOKUP(B108,'[1]Plant data'!$A$1:$AB$315,2,0)</f>
        <v>Boraginaceae</v>
      </c>
      <c r="U108" t="str">
        <f>VLOOKUP($B108,'[1]Plant data'!$A$1:$AB$315,3,0)</f>
        <v>NA</v>
      </c>
      <c r="V108" t="str">
        <f>VLOOKUP($B108,'[1]Plant data'!$A$1:$AB$315,4,0)</f>
        <v>NA</v>
      </c>
      <c r="W108" t="str">
        <f>VLOOKUP($B108,'[1]Plant data'!$A$1:$AB$315,5,0)</f>
        <v>YES</v>
      </c>
      <c r="X108">
        <f>VLOOKUP($B108,'[1]Plant data'!$A$1:$AB$315,6,0)</f>
        <v>9.1</v>
      </c>
      <c r="Y108">
        <f>VLOOKUP($B108,'[1]Plant data'!$A$1:$AB$315,7,0)</f>
        <v>11</v>
      </c>
      <c r="Z108">
        <f>VLOOKUP($B108,'[1]Plant data'!$A$1:$AB$315,8,0)</f>
        <v>4</v>
      </c>
      <c r="AA108">
        <f>VLOOKUP($B108,'[1]Plant data'!$A$1:$AB$315,9,0)</f>
        <v>7.5</v>
      </c>
      <c r="AB108">
        <f>VLOOKUP($B108,'[1]Plant data'!$A$1:$AB$315,10,0)</f>
        <v>0.6</v>
      </c>
      <c r="AC108" t="str">
        <f>VLOOKUP($B108,'[1]Plant data'!$A$1:$AB$315,11,0)</f>
        <v>NA</v>
      </c>
      <c r="AD108">
        <f>VLOOKUP($B108,'[1]Plant data'!$A$1:$AB$315,12,0)</f>
        <v>0.1</v>
      </c>
      <c r="AE108" t="str">
        <f>VLOOKUP($B108,'[1]Plant data'!$A$1:$AB$315,13,0)</f>
        <v>NA</v>
      </c>
      <c r="AF108" t="str">
        <f>VLOOKUP($B108,'[1]Plant data'!$A$1:$AB$315,14,0)</f>
        <v>NA</v>
      </c>
      <c r="AG108">
        <f>VLOOKUP($B108,'[1]Plant data'!$A$1:$AB$315,15,0)</f>
        <v>1</v>
      </c>
      <c r="AH108" t="str">
        <f>VLOOKUP($B108,'[1]Plant data'!$A$1:$AB$315,16,0)</f>
        <v>NA</v>
      </c>
      <c r="AI108" t="str">
        <f>VLOOKUP($B108,'[1]Plant data'!$A$1:$AB$315,17,0)</f>
        <v>NA</v>
      </c>
      <c r="AJ108" t="str">
        <f>VLOOKUP($B108,'[1]Plant data'!$A$1:$AB$315,18,0)</f>
        <v>ATLANTIC, Intervales_morfo</v>
      </c>
      <c r="AK108">
        <f>VLOOKUP($B108,'[1]Plant data'!$A$1:$AB$315,19,0)</f>
        <v>0.81</v>
      </c>
      <c r="AL108">
        <f>VLOOKUP($B108,'[1]Plant data'!$A$1:$AB$315,20,0)</f>
        <v>1.6E-2</v>
      </c>
      <c r="AM108">
        <f>VLOOKUP($B108,'[1]Plant data'!$A$1:$AB$315,21,0)</f>
        <v>7.8E-2</v>
      </c>
      <c r="AN108" t="str">
        <f>VLOOKUP($B108,'[1]Plant data'!$A$1:$AB$315,22,0)</f>
        <v>NA</v>
      </c>
      <c r="AO108" t="str">
        <f>VLOOKUP($B108,'[1]Plant data'!$A$1:$AB$315,23,0)</f>
        <v>NA</v>
      </c>
      <c r="AP108" t="str">
        <f>VLOOKUP($B108,'[1]Plant data'!$A$1:$AB$315,24,0)</f>
        <v>NA</v>
      </c>
      <c r="AQ108">
        <f>VLOOKUP($B108,'[1]Plant data'!$A$1:$AB$315,25,0)</f>
        <v>0.83899999999999997</v>
      </c>
      <c r="AR108">
        <f>VLOOKUP($B108,'[1]Plant data'!$A$1:$AB$315,26,0)</f>
        <v>6.8000000000000005E-2</v>
      </c>
      <c r="AS108" t="str">
        <f>VLOOKUP($B108,'[1]Plant data'!$A$1:$AB$315,27,0)</f>
        <v>NA</v>
      </c>
      <c r="AT108" t="str">
        <f>VLOOKUP($B108,'[1]Plant data'!$A$1:$AB$315,28,0)</f>
        <v>Saibadela</v>
      </c>
    </row>
    <row r="109" spans="1:46">
      <c r="A109" s="5" t="s">
        <v>90</v>
      </c>
      <c r="B109" s="6" t="s">
        <v>200</v>
      </c>
      <c r="C109" s="25">
        <v>5</v>
      </c>
      <c r="D109" s="25">
        <v>177.8</v>
      </c>
      <c r="E109" s="26">
        <f>C109/177.8</f>
        <v>2.8121484814398197E-2</v>
      </c>
      <c r="F109" s="27" t="s">
        <v>19</v>
      </c>
      <c r="G109" s="27" t="s">
        <v>19</v>
      </c>
      <c r="H109" s="27"/>
      <c r="I109" s="8" t="s">
        <v>19</v>
      </c>
      <c r="J109" s="25" t="s">
        <v>198</v>
      </c>
      <c r="K109" t="s">
        <v>199</v>
      </c>
      <c r="L109" t="s">
        <v>93</v>
      </c>
      <c r="M109" t="s">
        <v>94</v>
      </c>
      <c r="N109" s="11">
        <v>331</v>
      </c>
      <c r="O109" s="11">
        <v>30.7</v>
      </c>
      <c r="P109" t="s">
        <v>48</v>
      </c>
      <c r="Q109" t="s">
        <v>95</v>
      </c>
      <c r="R109" t="s">
        <v>26</v>
      </c>
      <c r="S109" t="s">
        <v>27</v>
      </c>
      <c r="T109" t="str">
        <f>VLOOKUP(B109,'[1]Plant data'!$A$1:$AB$315,2,0)</f>
        <v>Urticaceae</v>
      </c>
      <c r="U109" t="str">
        <f>VLOOKUP($B109,'[1]Plant data'!$A$1:$AB$315,3,0)</f>
        <v>NA</v>
      </c>
      <c r="V109" t="str">
        <f>VLOOKUP($B109,'[1]Plant data'!$A$1:$AB$315,4,0)</f>
        <v>black</v>
      </c>
      <c r="W109" t="str">
        <f>VLOOKUP($B109,'[1]Plant data'!$A$1:$AB$315,5,0)</f>
        <v>YES</v>
      </c>
      <c r="X109">
        <f>VLOOKUP($B109,'[1]Plant data'!$A$1:$AB$315,6,0)</f>
        <v>12.11</v>
      </c>
      <c r="Y109">
        <f>VLOOKUP($B109,'[1]Plant data'!$A$1:$AB$315,7,0)</f>
        <v>9.956666666666667</v>
      </c>
      <c r="Z109">
        <f>VLOOKUP($B109,'[1]Plant data'!$A$1:$AB$315,8,0)</f>
        <v>1.4266666666666667</v>
      </c>
      <c r="AA109">
        <f>VLOOKUP($B109,'[1]Plant data'!$A$1:$AB$315,9,0)</f>
        <v>2.6466666666666665</v>
      </c>
      <c r="AB109">
        <f>VLOOKUP($B109,'[1]Plant data'!$A$1:$AB$315,10,0)</f>
        <v>0.35944999999999999</v>
      </c>
      <c r="AC109">
        <f>VLOOKUP($B109,'[1]Plant data'!$A$1:$AB$315,11,0)</f>
        <v>0.45800000000000002</v>
      </c>
      <c r="AD109">
        <f>VLOOKUP($B109,'[1]Plant data'!$A$1:$AB$315,12,0)</f>
        <v>2.0000000000000005E-3</v>
      </c>
      <c r="AE109">
        <f>VLOOKUP($B109,'[1]Plant data'!$A$1:$AB$315,13,0)</f>
        <v>0.1343</v>
      </c>
      <c r="AF109" t="str">
        <f>VLOOKUP($B109,'[1]Plant data'!$A$1:$AB$315,14,0)</f>
        <v>NA</v>
      </c>
      <c r="AG109">
        <f>VLOOKUP($B109,'[1]Plant data'!$A$1:$AB$315,15,0)</f>
        <v>37.299999999999997</v>
      </c>
      <c r="AH109" t="str">
        <f>VLOOKUP($B109,'[1]Plant data'!$A$1:$AB$315,16,0)</f>
        <v>NA</v>
      </c>
      <c r="AI109">
        <f>VLOOKUP($B109,'[1]Plant data'!$A$1:$AB$315,17,0)</f>
        <v>19.14676616915423</v>
      </c>
      <c r="AJ109" t="str">
        <f>VLOOKUP($B109,'[1]Plant data'!$A$1:$AB$315,18,0)</f>
        <v>Cazetta 2007, Erica&amp;Wesley, Intervales_morfo</v>
      </c>
      <c r="AK109" t="str">
        <f>VLOOKUP($B109,'[1]Plant data'!$A$1:$AB$315,19,0)</f>
        <v>NA</v>
      </c>
      <c r="AL109">
        <f>VLOOKUP($B109,'[1]Plant data'!$A$1:$AB$315,20,0)</f>
        <v>2.2737776134571043E-2</v>
      </c>
      <c r="AM109">
        <f>VLOOKUP($B109,'[1]Plant data'!$A$1:$AB$315,21,0)</f>
        <v>0.12401400000000001</v>
      </c>
      <c r="AN109">
        <f>VLOOKUP($B109,'[1]Plant data'!$A$1:$AB$315,22,0)</f>
        <v>5.3758128792152594E-3</v>
      </c>
      <c r="AO109">
        <f>VLOOKUP($B109,'[1]Plant data'!$A$1:$AB$315,23,0)</f>
        <v>6.9127712386219925E-2</v>
      </c>
      <c r="AP109" t="str">
        <f>VLOOKUP($B109,'[1]Plant data'!$A$1:$AB$315,24,0)</f>
        <v>NA</v>
      </c>
      <c r="AQ109" t="str">
        <f>VLOOKUP($B109,'[1]Plant data'!$A$1:$AB$315,25,0)</f>
        <v>NA</v>
      </c>
      <c r="AR109" t="str">
        <f>VLOOKUP($B109,'[1]Plant data'!$A$1:$AB$315,26,0)</f>
        <v>NA</v>
      </c>
      <c r="AS109" t="str">
        <f>VLOOKUP($B109,'[1]Plant data'!$A$1:$AB$315,27,0)</f>
        <v>NA</v>
      </c>
      <c r="AT109" t="str">
        <f>VLOOKUP($B109,'[1]Plant data'!$A$1:$AB$315,28,0)</f>
        <v>Erica &amp; Wesley, unpubl.</v>
      </c>
    </row>
    <row r="110" spans="1:46">
      <c r="A110" s="5" t="s">
        <v>50</v>
      </c>
      <c r="B110" s="14" t="s">
        <v>200</v>
      </c>
      <c r="C110">
        <v>11</v>
      </c>
      <c r="D110" s="25">
        <v>177.8</v>
      </c>
      <c r="E110" s="8">
        <f>C110/177.8</f>
        <v>6.1867266591676039E-2</v>
      </c>
      <c r="F110" s="27" t="s">
        <v>19</v>
      </c>
      <c r="G110" s="9" t="s">
        <v>19</v>
      </c>
      <c r="H110" s="9"/>
      <c r="I110" s="8" t="s">
        <v>19</v>
      </c>
      <c r="J110" s="25" t="s">
        <v>198</v>
      </c>
      <c r="K110" t="s">
        <v>199</v>
      </c>
      <c r="L110" t="s">
        <v>22</v>
      </c>
      <c r="M110" t="s">
        <v>47</v>
      </c>
      <c r="N110" s="11">
        <v>69.5</v>
      </c>
      <c r="O110" s="11">
        <v>13.253214290000001</v>
      </c>
      <c r="P110" t="s">
        <v>48</v>
      </c>
      <c r="Q110" t="s">
        <v>25</v>
      </c>
      <c r="R110" t="s">
        <v>26</v>
      </c>
      <c r="S110" t="s">
        <v>31</v>
      </c>
      <c r="T110" t="str">
        <f>VLOOKUP(B110,'[1]Plant data'!$A$1:$AB$315,2,0)</f>
        <v>Urticaceae</v>
      </c>
      <c r="U110" t="str">
        <f>VLOOKUP($B110,'[1]Plant data'!$A$1:$AB$315,3,0)</f>
        <v>NA</v>
      </c>
      <c r="V110" t="str">
        <f>VLOOKUP($B110,'[1]Plant data'!$A$1:$AB$315,4,0)</f>
        <v>black</v>
      </c>
      <c r="W110" t="str">
        <f>VLOOKUP($B110,'[1]Plant data'!$A$1:$AB$315,5,0)</f>
        <v>YES</v>
      </c>
      <c r="X110">
        <f>VLOOKUP($B110,'[1]Plant data'!$A$1:$AB$315,6,0)</f>
        <v>12.11</v>
      </c>
      <c r="Y110">
        <f>VLOOKUP($B110,'[1]Plant data'!$A$1:$AB$315,7,0)</f>
        <v>9.956666666666667</v>
      </c>
      <c r="Z110">
        <f>VLOOKUP($B110,'[1]Plant data'!$A$1:$AB$315,8,0)</f>
        <v>1.4266666666666667</v>
      </c>
      <c r="AA110">
        <f>VLOOKUP($B110,'[1]Plant data'!$A$1:$AB$315,9,0)</f>
        <v>2.6466666666666665</v>
      </c>
      <c r="AB110">
        <f>VLOOKUP($B110,'[1]Plant data'!$A$1:$AB$315,10,0)</f>
        <v>0.35944999999999999</v>
      </c>
      <c r="AC110">
        <f>VLOOKUP($B110,'[1]Plant data'!$A$1:$AB$315,11,0)</f>
        <v>0.45800000000000002</v>
      </c>
      <c r="AD110">
        <f>VLOOKUP($B110,'[1]Plant data'!$A$1:$AB$315,12,0)</f>
        <v>2.0000000000000005E-3</v>
      </c>
      <c r="AE110">
        <f>VLOOKUP($B110,'[1]Plant data'!$A$1:$AB$315,13,0)</f>
        <v>0.1343</v>
      </c>
      <c r="AF110" t="str">
        <f>VLOOKUP($B110,'[1]Plant data'!$A$1:$AB$315,14,0)</f>
        <v>NA</v>
      </c>
      <c r="AG110">
        <f>VLOOKUP($B110,'[1]Plant data'!$A$1:$AB$315,15,0)</f>
        <v>37.299999999999997</v>
      </c>
      <c r="AH110" t="str">
        <f>VLOOKUP($B110,'[1]Plant data'!$A$1:$AB$315,16,0)</f>
        <v>NA</v>
      </c>
      <c r="AI110">
        <f>VLOOKUP($B110,'[1]Plant data'!$A$1:$AB$315,17,0)</f>
        <v>19.14676616915423</v>
      </c>
      <c r="AJ110" t="str">
        <f>VLOOKUP($B110,'[1]Plant data'!$A$1:$AB$315,18,0)</f>
        <v>Cazetta 2007, Erica&amp;Wesley, Intervales_morfo</v>
      </c>
      <c r="AK110" t="str">
        <f>VLOOKUP($B110,'[1]Plant data'!$A$1:$AB$315,19,0)</f>
        <v>NA</v>
      </c>
      <c r="AL110">
        <f>VLOOKUP($B110,'[1]Plant data'!$A$1:$AB$315,20,0)</f>
        <v>2.2737776134571043E-2</v>
      </c>
      <c r="AM110">
        <f>VLOOKUP($B110,'[1]Plant data'!$A$1:$AB$315,21,0)</f>
        <v>0.12401400000000001</v>
      </c>
      <c r="AN110">
        <f>VLOOKUP($B110,'[1]Plant data'!$A$1:$AB$315,22,0)</f>
        <v>5.3758128792152594E-3</v>
      </c>
      <c r="AO110">
        <f>VLOOKUP($B110,'[1]Plant data'!$A$1:$AB$315,23,0)</f>
        <v>6.9127712386219925E-2</v>
      </c>
      <c r="AP110" t="str">
        <f>VLOOKUP($B110,'[1]Plant data'!$A$1:$AB$315,24,0)</f>
        <v>NA</v>
      </c>
      <c r="AQ110" t="str">
        <f>VLOOKUP($B110,'[1]Plant data'!$A$1:$AB$315,25,0)</f>
        <v>NA</v>
      </c>
      <c r="AR110" t="str">
        <f>VLOOKUP($B110,'[1]Plant data'!$A$1:$AB$315,26,0)</f>
        <v>NA</v>
      </c>
      <c r="AS110" t="str">
        <f>VLOOKUP($B110,'[1]Plant data'!$A$1:$AB$315,27,0)</f>
        <v>NA</v>
      </c>
      <c r="AT110" t="str">
        <f>VLOOKUP($B110,'[1]Plant data'!$A$1:$AB$315,28,0)</f>
        <v>Erica &amp; Wesley, unpubl.</v>
      </c>
    </row>
    <row r="111" spans="1:46">
      <c r="A111" s="5" t="s">
        <v>17</v>
      </c>
      <c r="B111" s="15" t="s">
        <v>200</v>
      </c>
      <c r="C111" s="7">
        <v>9</v>
      </c>
      <c r="D111" s="7">
        <v>43</v>
      </c>
      <c r="E111" s="8">
        <f t="shared" ref="E111:E116" si="9">C111/43</f>
        <v>0.20930232558139536</v>
      </c>
      <c r="F111" t="s">
        <v>19</v>
      </c>
      <c r="G111" s="9" t="s">
        <v>19</v>
      </c>
      <c r="H111" s="9"/>
      <c r="I111" s="8" t="s">
        <v>19</v>
      </c>
      <c r="J111" s="25" t="s">
        <v>242</v>
      </c>
      <c r="K111" t="s">
        <v>243</v>
      </c>
      <c r="L111" t="s">
        <v>22</v>
      </c>
      <c r="M111" t="s">
        <v>23</v>
      </c>
      <c r="N111" s="11">
        <v>14.4</v>
      </c>
      <c r="O111" s="11">
        <v>7.69</v>
      </c>
      <c r="P111" t="s">
        <v>24</v>
      </c>
      <c r="Q111" t="s">
        <v>25</v>
      </c>
      <c r="R111" t="s">
        <v>26</v>
      </c>
      <c r="S111" t="s">
        <v>27</v>
      </c>
      <c r="T111" t="str">
        <f>VLOOKUP(B111,'[1]Plant data'!$A$1:$AB$315,2,0)</f>
        <v>Urticaceae</v>
      </c>
      <c r="U111" t="str">
        <f>VLOOKUP($B111,'[1]Plant data'!$A$1:$AB$315,3,0)</f>
        <v>NA</v>
      </c>
      <c r="V111" t="str">
        <f>VLOOKUP($B111,'[1]Plant data'!$A$1:$AB$315,4,0)</f>
        <v>black</v>
      </c>
      <c r="W111" t="str">
        <f>VLOOKUP($B111,'[1]Plant data'!$A$1:$AB$315,5,0)</f>
        <v>YES</v>
      </c>
      <c r="X111">
        <f>VLOOKUP($B111,'[1]Plant data'!$A$1:$AB$315,6,0)</f>
        <v>12.11</v>
      </c>
      <c r="Y111">
        <f>VLOOKUP($B111,'[1]Plant data'!$A$1:$AB$315,7,0)</f>
        <v>9.956666666666667</v>
      </c>
      <c r="Z111">
        <f>VLOOKUP($B111,'[1]Plant data'!$A$1:$AB$315,8,0)</f>
        <v>1.4266666666666667</v>
      </c>
      <c r="AA111">
        <f>VLOOKUP($B111,'[1]Plant data'!$A$1:$AB$315,9,0)</f>
        <v>2.6466666666666665</v>
      </c>
      <c r="AB111">
        <f>VLOOKUP($B111,'[1]Plant data'!$A$1:$AB$315,10,0)</f>
        <v>0.35944999999999999</v>
      </c>
      <c r="AC111">
        <f>VLOOKUP($B111,'[1]Plant data'!$A$1:$AB$315,11,0)</f>
        <v>0.45800000000000002</v>
      </c>
      <c r="AD111">
        <f>VLOOKUP($B111,'[1]Plant data'!$A$1:$AB$315,12,0)</f>
        <v>2.0000000000000005E-3</v>
      </c>
      <c r="AE111">
        <f>VLOOKUP($B111,'[1]Plant data'!$A$1:$AB$315,13,0)</f>
        <v>0.1343</v>
      </c>
      <c r="AF111" t="str">
        <f>VLOOKUP($B111,'[1]Plant data'!$A$1:$AB$315,14,0)</f>
        <v>NA</v>
      </c>
      <c r="AG111">
        <f>VLOOKUP($B111,'[1]Plant data'!$A$1:$AB$315,15,0)</f>
        <v>37.299999999999997</v>
      </c>
      <c r="AH111" t="str">
        <f>VLOOKUP($B111,'[1]Plant data'!$A$1:$AB$315,16,0)</f>
        <v>NA</v>
      </c>
      <c r="AI111">
        <f>VLOOKUP($B111,'[1]Plant data'!$A$1:$AB$315,17,0)</f>
        <v>19.14676616915423</v>
      </c>
      <c r="AJ111" t="str">
        <f>VLOOKUP($B111,'[1]Plant data'!$A$1:$AB$315,18,0)</f>
        <v>Cazetta 2007, Erica&amp;Wesley, Intervales_morfo</v>
      </c>
      <c r="AK111" t="str">
        <f>VLOOKUP($B111,'[1]Plant data'!$A$1:$AB$315,19,0)</f>
        <v>NA</v>
      </c>
      <c r="AL111">
        <f>VLOOKUP($B111,'[1]Plant data'!$A$1:$AB$315,20,0)</f>
        <v>2.2737776134571043E-2</v>
      </c>
      <c r="AM111">
        <f>VLOOKUP($B111,'[1]Plant data'!$A$1:$AB$315,21,0)</f>
        <v>0.12401400000000001</v>
      </c>
      <c r="AN111">
        <f>VLOOKUP($B111,'[1]Plant data'!$A$1:$AB$315,22,0)</f>
        <v>5.3758128792152594E-3</v>
      </c>
      <c r="AO111">
        <f>VLOOKUP($B111,'[1]Plant data'!$A$1:$AB$315,23,0)</f>
        <v>6.9127712386219925E-2</v>
      </c>
      <c r="AP111" t="str">
        <f>VLOOKUP($B111,'[1]Plant data'!$A$1:$AB$315,24,0)</f>
        <v>NA</v>
      </c>
      <c r="AQ111" t="str">
        <f>VLOOKUP($B111,'[1]Plant data'!$A$1:$AB$315,25,0)</f>
        <v>NA</v>
      </c>
      <c r="AR111" t="str">
        <f>VLOOKUP($B111,'[1]Plant data'!$A$1:$AB$315,26,0)</f>
        <v>NA</v>
      </c>
      <c r="AS111" t="str">
        <f>VLOOKUP($B111,'[1]Plant data'!$A$1:$AB$315,27,0)</f>
        <v>NA</v>
      </c>
      <c r="AT111" t="str">
        <f>VLOOKUP($B111,'[1]Plant data'!$A$1:$AB$315,28,0)</f>
        <v>Erica &amp; Wesley, unpubl.</v>
      </c>
    </row>
    <row r="112" spans="1:46">
      <c r="A112" s="5" t="s">
        <v>41</v>
      </c>
      <c r="B112" s="14" t="s">
        <v>200</v>
      </c>
      <c r="C112">
        <v>9</v>
      </c>
      <c r="D112">
        <v>43</v>
      </c>
      <c r="E112" s="8">
        <f t="shared" si="9"/>
        <v>0.20930232558139536</v>
      </c>
      <c r="F112" t="s">
        <v>19</v>
      </c>
      <c r="G112" s="9" t="s">
        <v>19</v>
      </c>
      <c r="H112" s="9"/>
      <c r="I112" s="8" t="s">
        <v>19</v>
      </c>
      <c r="J112" s="25" t="s">
        <v>242</v>
      </c>
      <c r="K112" s="25" t="s">
        <v>243</v>
      </c>
      <c r="L112" t="s">
        <v>22</v>
      </c>
      <c r="M112" t="s">
        <v>30</v>
      </c>
      <c r="N112" s="11">
        <v>39</v>
      </c>
      <c r="O112" s="11">
        <v>8.2839869279999991</v>
      </c>
      <c r="P112" t="s">
        <v>24</v>
      </c>
      <c r="Q112" t="s">
        <v>25</v>
      </c>
      <c r="R112" t="s">
        <v>26</v>
      </c>
      <c r="S112" t="s">
        <v>31</v>
      </c>
      <c r="T112" t="str">
        <f>VLOOKUP(B112,'[1]Plant data'!$A$1:$AB$315,2,0)</f>
        <v>Urticaceae</v>
      </c>
      <c r="U112" t="str">
        <f>VLOOKUP($B112,'[1]Plant data'!$A$1:$AB$315,3,0)</f>
        <v>NA</v>
      </c>
      <c r="V112" t="str">
        <f>VLOOKUP($B112,'[1]Plant data'!$A$1:$AB$315,4,0)</f>
        <v>black</v>
      </c>
      <c r="W112" t="str">
        <f>VLOOKUP($B112,'[1]Plant data'!$A$1:$AB$315,5,0)</f>
        <v>YES</v>
      </c>
      <c r="X112">
        <f>VLOOKUP($B112,'[1]Plant data'!$A$1:$AB$315,6,0)</f>
        <v>12.11</v>
      </c>
      <c r="Y112">
        <f>VLOOKUP($B112,'[1]Plant data'!$A$1:$AB$315,7,0)</f>
        <v>9.956666666666667</v>
      </c>
      <c r="Z112">
        <f>VLOOKUP($B112,'[1]Plant data'!$A$1:$AB$315,8,0)</f>
        <v>1.4266666666666667</v>
      </c>
      <c r="AA112">
        <f>VLOOKUP($B112,'[1]Plant data'!$A$1:$AB$315,9,0)</f>
        <v>2.6466666666666665</v>
      </c>
      <c r="AB112">
        <f>VLOOKUP($B112,'[1]Plant data'!$A$1:$AB$315,10,0)</f>
        <v>0.35944999999999999</v>
      </c>
      <c r="AC112">
        <f>VLOOKUP($B112,'[1]Plant data'!$A$1:$AB$315,11,0)</f>
        <v>0.45800000000000002</v>
      </c>
      <c r="AD112">
        <f>VLOOKUP($B112,'[1]Plant data'!$A$1:$AB$315,12,0)</f>
        <v>2.0000000000000005E-3</v>
      </c>
      <c r="AE112">
        <f>VLOOKUP($B112,'[1]Plant data'!$A$1:$AB$315,13,0)</f>
        <v>0.1343</v>
      </c>
      <c r="AF112" t="str">
        <f>VLOOKUP($B112,'[1]Plant data'!$A$1:$AB$315,14,0)</f>
        <v>NA</v>
      </c>
      <c r="AG112">
        <f>VLOOKUP($B112,'[1]Plant data'!$A$1:$AB$315,15,0)</f>
        <v>37.299999999999997</v>
      </c>
      <c r="AH112" t="str">
        <f>VLOOKUP($B112,'[1]Plant data'!$A$1:$AB$315,16,0)</f>
        <v>NA</v>
      </c>
      <c r="AI112">
        <f>VLOOKUP($B112,'[1]Plant data'!$A$1:$AB$315,17,0)</f>
        <v>19.14676616915423</v>
      </c>
      <c r="AJ112" t="str">
        <f>VLOOKUP($B112,'[1]Plant data'!$A$1:$AB$315,18,0)</f>
        <v>Cazetta 2007, Erica&amp;Wesley, Intervales_morfo</v>
      </c>
      <c r="AK112" t="str">
        <f>VLOOKUP($B112,'[1]Plant data'!$A$1:$AB$315,19,0)</f>
        <v>NA</v>
      </c>
      <c r="AL112">
        <f>VLOOKUP($B112,'[1]Plant data'!$A$1:$AB$315,20,0)</f>
        <v>2.2737776134571043E-2</v>
      </c>
      <c r="AM112">
        <f>VLOOKUP($B112,'[1]Plant data'!$A$1:$AB$315,21,0)</f>
        <v>0.12401400000000001</v>
      </c>
      <c r="AN112">
        <f>VLOOKUP($B112,'[1]Plant data'!$A$1:$AB$315,22,0)</f>
        <v>5.3758128792152594E-3</v>
      </c>
      <c r="AO112">
        <f>VLOOKUP($B112,'[1]Plant data'!$A$1:$AB$315,23,0)</f>
        <v>6.9127712386219925E-2</v>
      </c>
      <c r="AP112" t="str">
        <f>VLOOKUP($B112,'[1]Plant data'!$A$1:$AB$315,24,0)</f>
        <v>NA</v>
      </c>
      <c r="AQ112" t="str">
        <f>VLOOKUP($B112,'[1]Plant data'!$A$1:$AB$315,25,0)</f>
        <v>NA</v>
      </c>
      <c r="AR112" t="str">
        <f>VLOOKUP($B112,'[1]Plant data'!$A$1:$AB$315,26,0)</f>
        <v>NA</v>
      </c>
      <c r="AS112" t="str">
        <f>VLOOKUP($B112,'[1]Plant data'!$A$1:$AB$315,27,0)</f>
        <v>NA</v>
      </c>
      <c r="AT112" t="str">
        <f>VLOOKUP($B112,'[1]Plant data'!$A$1:$AB$315,28,0)</f>
        <v>Erica &amp; Wesley, unpubl.</v>
      </c>
    </row>
    <row r="113" spans="1:46">
      <c r="A113" s="5" t="s">
        <v>43</v>
      </c>
      <c r="B113" s="14" t="s">
        <v>200</v>
      </c>
      <c r="C113">
        <v>9</v>
      </c>
      <c r="D113" s="7">
        <v>43</v>
      </c>
      <c r="E113" s="8">
        <f t="shared" si="9"/>
        <v>0.20930232558139536</v>
      </c>
      <c r="F113" t="s">
        <v>19</v>
      </c>
      <c r="G113" s="9" t="s">
        <v>19</v>
      </c>
      <c r="H113" s="9"/>
      <c r="I113" s="8" t="s">
        <v>19</v>
      </c>
      <c r="J113" s="25" t="s">
        <v>242</v>
      </c>
      <c r="K113" s="25" t="s">
        <v>243</v>
      </c>
      <c r="L113" t="s">
        <v>22</v>
      </c>
      <c r="M113" t="s">
        <v>30</v>
      </c>
      <c r="N113" s="11">
        <v>32.5</v>
      </c>
      <c r="O113" s="11">
        <v>8.9205555560000001</v>
      </c>
      <c r="P113" t="s">
        <v>24</v>
      </c>
      <c r="Q113" t="s">
        <v>25</v>
      </c>
      <c r="R113" t="s">
        <v>26</v>
      </c>
      <c r="S113" t="s">
        <v>31</v>
      </c>
      <c r="T113" t="str">
        <f>VLOOKUP(B113,'[1]Plant data'!$A$1:$AB$315,2,0)</f>
        <v>Urticaceae</v>
      </c>
      <c r="U113" t="str">
        <f>VLOOKUP($B113,'[1]Plant data'!$A$1:$AB$315,3,0)</f>
        <v>NA</v>
      </c>
      <c r="V113" t="str">
        <f>VLOOKUP($B113,'[1]Plant data'!$A$1:$AB$315,4,0)</f>
        <v>black</v>
      </c>
      <c r="W113" t="str">
        <f>VLOOKUP($B113,'[1]Plant data'!$A$1:$AB$315,5,0)</f>
        <v>YES</v>
      </c>
      <c r="X113">
        <f>VLOOKUP($B113,'[1]Plant data'!$A$1:$AB$315,6,0)</f>
        <v>12.11</v>
      </c>
      <c r="Y113">
        <f>VLOOKUP($B113,'[1]Plant data'!$A$1:$AB$315,7,0)</f>
        <v>9.956666666666667</v>
      </c>
      <c r="Z113">
        <f>VLOOKUP($B113,'[1]Plant data'!$A$1:$AB$315,8,0)</f>
        <v>1.4266666666666667</v>
      </c>
      <c r="AA113">
        <f>VLOOKUP($B113,'[1]Plant data'!$A$1:$AB$315,9,0)</f>
        <v>2.6466666666666665</v>
      </c>
      <c r="AB113">
        <f>VLOOKUP($B113,'[1]Plant data'!$A$1:$AB$315,10,0)</f>
        <v>0.35944999999999999</v>
      </c>
      <c r="AC113">
        <f>VLOOKUP($B113,'[1]Plant data'!$A$1:$AB$315,11,0)</f>
        <v>0.45800000000000002</v>
      </c>
      <c r="AD113">
        <f>VLOOKUP($B113,'[1]Plant data'!$A$1:$AB$315,12,0)</f>
        <v>2.0000000000000005E-3</v>
      </c>
      <c r="AE113">
        <f>VLOOKUP($B113,'[1]Plant data'!$A$1:$AB$315,13,0)</f>
        <v>0.1343</v>
      </c>
      <c r="AF113" t="str">
        <f>VLOOKUP($B113,'[1]Plant data'!$A$1:$AB$315,14,0)</f>
        <v>NA</v>
      </c>
      <c r="AG113">
        <f>VLOOKUP($B113,'[1]Plant data'!$A$1:$AB$315,15,0)</f>
        <v>37.299999999999997</v>
      </c>
      <c r="AH113" t="str">
        <f>VLOOKUP($B113,'[1]Plant data'!$A$1:$AB$315,16,0)</f>
        <v>NA</v>
      </c>
      <c r="AI113">
        <f>VLOOKUP($B113,'[1]Plant data'!$A$1:$AB$315,17,0)</f>
        <v>19.14676616915423</v>
      </c>
      <c r="AJ113" t="str">
        <f>VLOOKUP($B113,'[1]Plant data'!$A$1:$AB$315,18,0)</f>
        <v>Cazetta 2007, Erica&amp;Wesley, Intervales_morfo</v>
      </c>
      <c r="AK113" t="str">
        <f>VLOOKUP($B113,'[1]Plant data'!$A$1:$AB$315,19,0)</f>
        <v>NA</v>
      </c>
      <c r="AL113">
        <f>VLOOKUP($B113,'[1]Plant data'!$A$1:$AB$315,20,0)</f>
        <v>2.2737776134571043E-2</v>
      </c>
      <c r="AM113">
        <f>VLOOKUP($B113,'[1]Plant data'!$A$1:$AB$315,21,0)</f>
        <v>0.12401400000000001</v>
      </c>
      <c r="AN113">
        <f>VLOOKUP($B113,'[1]Plant data'!$A$1:$AB$315,22,0)</f>
        <v>5.3758128792152594E-3</v>
      </c>
      <c r="AO113">
        <f>VLOOKUP($B113,'[1]Plant data'!$A$1:$AB$315,23,0)</f>
        <v>6.9127712386219925E-2</v>
      </c>
      <c r="AP113" t="str">
        <f>VLOOKUP($B113,'[1]Plant data'!$A$1:$AB$315,24,0)</f>
        <v>NA</v>
      </c>
      <c r="AQ113" t="str">
        <f>VLOOKUP($B113,'[1]Plant data'!$A$1:$AB$315,25,0)</f>
        <v>NA</v>
      </c>
      <c r="AR113" t="str">
        <f>VLOOKUP($B113,'[1]Plant data'!$A$1:$AB$315,26,0)</f>
        <v>NA</v>
      </c>
      <c r="AS113" t="str">
        <f>VLOOKUP($B113,'[1]Plant data'!$A$1:$AB$315,27,0)</f>
        <v>NA</v>
      </c>
      <c r="AT113" t="str">
        <f>VLOOKUP($B113,'[1]Plant data'!$A$1:$AB$315,28,0)</f>
        <v>Erica &amp; Wesley, unpubl.</v>
      </c>
    </row>
    <row r="114" spans="1:46">
      <c r="A114" s="5" t="s">
        <v>124</v>
      </c>
      <c r="B114" s="6" t="s">
        <v>200</v>
      </c>
      <c r="C114" s="25">
        <v>2</v>
      </c>
      <c r="D114">
        <v>43</v>
      </c>
      <c r="E114" s="26">
        <f t="shared" si="9"/>
        <v>4.6511627906976744E-2</v>
      </c>
      <c r="F114" s="25" t="s">
        <v>19</v>
      </c>
      <c r="G114" s="27" t="s">
        <v>19</v>
      </c>
      <c r="H114" s="27"/>
      <c r="I114" s="8" t="s">
        <v>19</v>
      </c>
      <c r="J114" s="25" t="s">
        <v>242</v>
      </c>
      <c r="K114" t="s">
        <v>243</v>
      </c>
      <c r="L114" t="s">
        <v>108</v>
      </c>
      <c r="M114" t="s">
        <v>109</v>
      </c>
      <c r="N114" s="11">
        <v>73.3</v>
      </c>
      <c r="O114" s="11">
        <v>17.52380952</v>
      </c>
      <c r="P114" t="s">
        <v>48</v>
      </c>
      <c r="Q114" t="s">
        <v>49</v>
      </c>
      <c r="R114" t="s">
        <v>26</v>
      </c>
      <c r="S114" t="s">
        <v>27</v>
      </c>
      <c r="T114" t="str">
        <f>VLOOKUP(B114,'[1]Plant data'!$A$1:$AB$315,2,0)</f>
        <v>Urticaceae</v>
      </c>
      <c r="U114" t="str">
        <f>VLOOKUP($B114,'[1]Plant data'!$A$1:$AB$315,3,0)</f>
        <v>NA</v>
      </c>
      <c r="V114" t="str">
        <f>VLOOKUP($B114,'[1]Plant data'!$A$1:$AB$315,4,0)</f>
        <v>black</v>
      </c>
      <c r="W114" t="str">
        <f>VLOOKUP($B114,'[1]Plant data'!$A$1:$AB$315,5,0)</f>
        <v>YES</v>
      </c>
      <c r="X114">
        <f>VLOOKUP($B114,'[1]Plant data'!$A$1:$AB$315,6,0)</f>
        <v>12.11</v>
      </c>
      <c r="Y114">
        <f>VLOOKUP($B114,'[1]Plant data'!$A$1:$AB$315,7,0)</f>
        <v>9.956666666666667</v>
      </c>
      <c r="Z114">
        <f>VLOOKUP($B114,'[1]Plant data'!$A$1:$AB$315,8,0)</f>
        <v>1.4266666666666667</v>
      </c>
      <c r="AA114">
        <f>VLOOKUP($B114,'[1]Plant data'!$A$1:$AB$315,9,0)</f>
        <v>2.6466666666666665</v>
      </c>
      <c r="AB114">
        <f>VLOOKUP($B114,'[1]Plant data'!$A$1:$AB$315,10,0)</f>
        <v>0.35944999999999999</v>
      </c>
      <c r="AC114">
        <f>VLOOKUP($B114,'[1]Plant data'!$A$1:$AB$315,11,0)</f>
        <v>0.45800000000000002</v>
      </c>
      <c r="AD114">
        <f>VLOOKUP($B114,'[1]Plant data'!$A$1:$AB$315,12,0)</f>
        <v>2.0000000000000005E-3</v>
      </c>
      <c r="AE114">
        <f>VLOOKUP($B114,'[1]Plant data'!$A$1:$AB$315,13,0)</f>
        <v>0.1343</v>
      </c>
      <c r="AF114" t="str">
        <f>VLOOKUP($B114,'[1]Plant data'!$A$1:$AB$315,14,0)</f>
        <v>NA</v>
      </c>
      <c r="AG114">
        <f>VLOOKUP($B114,'[1]Plant data'!$A$1:$AB$315,15,0)</f>
        <v>37.299999999999997</v>
      </c>
      <c r="AH114" t="str">
        <f>VLOOKUP($B114,'[1]Plant data'!$A$1:$AB$315,16,0)</f>
        <v>NA</v>
      </c>
      <c r="AI114">
        <f>VLOOKUP($B114,'[1]Plant data'!$A$1:$AB$315,17,0)</f>
        <v>19.14676616915423</v>
      </c>
      <c r="AJ114" t="str">
        <f>VLOOKUP($B114,'[1]Plant data'!$A$1:$AB$315,18,0)</f>
        <v>Cazetta 2007, Erica&amp;Wesley, Intervales_morfo</v>
      </c>
      <c r="AK114" t="str">
        <f>VLOOKUP($B114,'[1]Plant data'!$A$1:$AB$315,19,0)</f>
        <v>NA</v>
      </c>
      <c r="AL114">
        <f>VLOOKUP($B114,'[1]Plant data'!$A$1:$AB$315,20,0)</f>
        <v>2.2737776134571043E-2</v>
      </c>
      <c r="AM114">
        <f>VLOOKUP($B114,'[1]Plant data'!$A$1:$AB$315,21,0)</f>
        <v>0.12401400000000001</v>
      </c>
      <c r="AN114">
        <f>VLOOKUP($B114,'[1]Plant data'!$A$1:$AB$315,22,0)</f>
        <v>5.3758128792152594E-3</v>
      </c>
      <c r="AO114">
        <f>VLOOKUP($B114,'[1]Plant data'!$A$1:$AB$315,23,0)</f>
        <v>6.9127712386219925E-2</v>
      </c>
      <c r="AP114" t="str">
        <f>VLOOKUP($B114,'[1]Plant data'!$A$1:$AB$315,24,0)</f>
        <v>NA</v>
      </c>
      <c r="AQ114" t="str">
        <f>VLOOKUP($B114,'[1]Plant data'!$A$1:$AB$315,25,0)</f>
        <v>NA</v>
      </c>
      <c r="AR114" t="str">
        <f>VLOOKUP($B114,'[1]Plant data'!$A$1:$AB$315,26,0)</f>
        <v>NA</v>
      </c>
      <c r="AS114" t="str">
        <f>VLOOKUP($B114,'[1]Plant data'!$A$1:$AB$315,27,0)</f>
        <v>NA</v>
      </c>
      <c r="AT114" t="str">
        <f>VLOOKUP($B114,'[1]Plant data'!$A$1:$AB$315,28,0)</f>
        <v>Erica &amp; Wesley, unpubl.</v>
      </c>
    </row>
    <row r="115" spans="1:46">
      <c r="A115" s="5" t="s">
        <v>46</v>
      </c>
      <c r="B115" s="6" t="s">
        <v>200</v>
      </c>
      <c r="C115">
        <v>2</v>
      </c>
      <c r="D115" s="7">
        <v>43</v>
      </c>
      <c r="E115" s="8">
        <f t="shared" si="9"/>
        <v>4.6511627906976744E-2</v>
      </c>
      <c r="F115" t="s">
        <v>19</v>
      </c>
      <c r="G115" s="9" t="s">
        <v>19</v>
      </c>
      <c r="H115" s="9"/>
      <c r="I115" s="8" t="s">
        <v>19</v>
      </c>
      <c r="J115" s="25" t="s">
        <v>242</v>
      </c>
      <c r="K115" s="25" t="s">
        <v>243</v>
      </c>
      <c r="L115" t="s">
        <v>22</v>
      </c>
      <c r="M115" t="s">
        <v>47</v>
      </c>
      <c r="N115" s="11">
        <v>54</v>
      </c>
      <c r="O115" s="11">
        <v>11.14875</v>
      </c>
      <c r="P115" t="s">
        <v>48</v>
      </c>
      <c r="Q115" t="s">
        <v>49</v>
      </c>
      <c r="R115" t="s">
        <v>26</v>
      </c>
      <c r="S115" t="s">
        <v>31</v>
      </c>
      <c r="T115" t="str">
        <f>VLOOKUP(B115,'[1]Plant data'!$A$1:$AB$315,2,0)</f>
        <v>Urticaceae</v>
      </c>
      <c r="U115" t="str">
        <f>VLOOKUP($B115,'[1]Plant data'!$A$1:$AB$315,3,0)</f>
        <v>NA</v>
      </c>
      <c r="V115" t="str">
        <f>VLOOKUP($B115,'[1]Plant data'!$A$1:$AB$315,4,0)</f>
        <v>black</v>
      </c>
      <c r="W115" t="str">
        <f>VLOOKUP($B115,'[1]Plant data'!$A$1:$AB$315,5,0)</f>
        <v>YES</v>
      </c>
      <c r="X115">
        <f>VLOOKUP($B115,'[1]Plant data'!$A$1:$AB$315,6,0)</f>
        <v>12.11</v>
      </c>
      <c r="Y115">
        <f>VLOOKUP($B115,'[1]Plant data'!$A$1:$AB$315,7,0)</f>
        <v>9.956666666666667</v>
      </c>
      <c r="Z115">
        <f>VLOOKUP($B115,'[1]Plant data'!$A$1:$AB$315,8,0)</f>
        <v>1.4266666666666667</v>
      </c>
      <c r="AA115">
        <f>VLOOKUP($B115,'[1]Plant data'!$A$1:$AB$315,9,0)</f>
        <v>2.6466666666666665</v>
      </c>
      <c r="AB115">
        <f>VLOOKUP($B115,'[1]Plant data'!$A$1:$AB$315,10,0)</f>
        <v>0.35944999999999999</v>
      </c>
      <c r="AC115">
        <f>VLOOKUP($B115,'[1]Plant data'!$A$1:$AB$315,11,0)</f>
        <v>0.45800000000000002</v>
      </c>
      <c r="AD115">
        <f>VLOOKUP($B115,'[1]Plant data'!$A$1:$AB$315,12,0)</f>
        <v>2.0000000000000005E-3</v>
      </c>
      <c r="AE115">
        <f>VLOOKUP($B115,'[1]Plant data'!$A$1:$AB$315,13,0)</f>
        <v>0.1343</v>
      </c>
      <c r="AF115" t="str">
        <f>VLOOKUP($B115,'[1]Plant data'!$A$1:$AB$315,14,0)</f>
        <v>NA</v>
      </c>
      <c r="AG115">
        <f>VLOOKUP($B115,'[1]Plant data'!$A$1:$AB$315,15,0)</f>
        <v>37.299999999999997</v>
      </c>
      <c r="AH115" t="str">
        <f>VLOOKUP($B115,'[1]Plant data'!$A$1:$AB$315,16,0)</f>
        <v>NA</v>
      </c>
      <c r="AI115">
        <f>VLOOKUP($B115,'[1]Plant data'!$A$1:$AB$315,17,0)</f>
        <v>19.14676616915423</v>
      </c>
      <c r="AJ115" t="str">
        <f>VLOOKUP($B115,'[1]Plant data'!$A$1:$AB$315,18,0)</f>
        <v>Cazetta 2007, Erica&amp;Wesley, Intervales_morfo</v>
      </c>
      <c r="AK115" t="str">
        <f>VLOOKUP($B115,'[1]Plant data'!$A$1:$AB$315,19,0)</f>
        <v>NA</v>
      </c>
      <c r="AL115">
        <f>VLOOKUP($B115,'[1]Plant data'!$A$1:$AB$315,20,0)</f>
        <v>2.2737776134571043E-2</v>
      </c>
      <c r="AM115">
        <f>VLOOKUP($B115,'[1]Plant data'!$A$1:$AB$315,21,0)</f>
        <v>0.12401400000000001</v>
      </c>
      <c r="AN115">
        <f>VLOOKUP($B115,'[1]Plant data'!$A$1:$AB$315,22,0)</f>
        <v>5.3758128792152594E-3</v>
      </c>
      <c r="AO115">
        <f>VLOOKUP($B115,'[1]Plant data'!$A$1:$AB$315,23,0)</f>
        <v>6.9127712386219925E-2</v>
      </c>
      <c r="AP115" t="str">
        <f>VLOOKUP($B115,'[1]Plant data'!$A$1:$AB$315,24,0)</f>
        <v>NA</v>
      </c>
      <c r="AQ115" t="str">
        <f>VLOOKUP($B115,'[1]Plant data'!$A$1:$AB$315,25,0)</f>
        <v>NA</v>
      </c>
      <c r="AR115" t="str">
        <f>VLOOKUP($B115,'[1]Plant data'!$A$1:$AB$315,26,0)</f>
        <v>NA</v>
      </c>
      <c r="AS115" t="str">
        <f>VLOOKUP($B115,'[1]Plant data'!$A$1:$AB$315,27,0)</f>
        <v>NA</v>
      </c>
      <c r="AT115" t="str">
        <f>VLOOKUP($B115,'[1]Plant data'!$A$1:$AB$315,28,0)</f>
        <v>Erica &amp; Wesley, unpubl.</v>
      </c>
    </row>
    <row r="116" spans="1:46">
      <c r="A116" s="5" t="s">
        <v>50</v>
      </c>
      <c r="B116" s="14" t="s">
        <v>200</v>
      </c>
      <c r="C116">
        <v>16</v>
      </c>
      <c r="D116">
        <v>43</v>
      </c>
      <c r="E116" s="8">
        <f t="shared" si="9"/>
        <v>0.37209302325581395</v>
      </c>
      <c r="F116" s="27" t="s">
        <v>19</v>
      </c>
      <c r="G116" s="9" t="s">
        <v>19</v>
      </c>
      <c r="H116" s="9"/>
      <c r="I116" s="8" t="s">
        <v>19</v>
      </c>
      <c r="J116" s="25" t="s">
        <v>242</v>
      </c>
      <c r="K116" t="s">
        <v>243</v>
      </c>
      <c r="L116" t="s">
        <v>22</v>
      </c>
      <c r="M116" t="s">
        <v>47</v>
      </c>
      <c r="N116" s="11">
        <v>69.5</v>
      </c>
      <c r="O116" s="11">
        <v>13.253214290000001</v>
      </c>
      <c r="P116" t="s">
        <v>48</v>
      </c>
      <c r="Q116" t="s">
        <v>25</v>
      </c>
      <c r="R116" t="s">
        <v>26</v>
      </c>
      <c r="S116" t="s">
        <v>31</v>
      </c>
      <c r="T116" t="str">
        <f>VLOOKUP(B116,'[1]Plant data'!$A$1:$AB$315,2,0)</f>
        <v>Urticaceae</v>
      </c>
      <c r="U116" t="str">
        <f>VLOOKUP($B116,'[1]Plant data'!$A$1:$AB$315,3,0)</f>
        <v>NA</v>
      </c>
      <c r="V116" t="str">
        <f>VLOOKUP($B116,'[1]Plant data'!$A$1:$AB$315,4,0)</f>
        <v>black</v>
      </c>
      <c r="W116" t="str">
        <f>VLOOKUP($B116,'[1]Plant data'!$A$1:$AB$315,5,0)</f>
        <v>YES</v>
      </c>
      <c r="X116">
        <f>VLOOKUP($B116,'[1]Plant data'!$A$1:$AB$315,6,0)</f>
        <v>12.11</v>
      </c>
      <c r="Y116">
        <f>VLOOKUP($B116,'[1]Plant data'!$A$1:$AB$315,7,0)</f>
        <v>9.956666666666667</v>
      </c>
      <c r="Z116">
        <f>VLOOKUP($B116,'[1]Plant data'!$A$1:$AB$315,8,0)</f>
        <v>1.4266666666666667</v>
      </c>
      <c r="AA116">
        <f>VLOOKUP($B116,'[1]Plant data'!$A$1:$AB$315,9,0)</f>
        <v>2.6466666666666665</v>
      </c>
      <c r="AB116">
        <f>VLOOKUP($B116,'[1]Plant data'!$A$1:$AB$315,10,0)</f>
        <v>0.35944999999999999</v>
      </c>
      <c r="AC116">
        <f>VLOOKUP($B116,'[1]Plant data'!$A$1:$AB$315,11,0)</f>
        <v>0.45800000000000002</v>
      </c>
      <c r="AD116">
        <f>VLOOKUP($B116,'[1]Plant data'!$A$1:$AB$315,12,0)</f>
        <v>2.0000000000000005E-3</v>
      </c>
      <c r="AE116">
        <f>VLOOKUP($B116,'[1]Plant data'!$A$1:$AB$315,13,0)</f>
        <v>0.1343</v>
      </c>
      <c r="AF116" t="str">
        <f>VLOOKUP($B116,'[1]Plant data'!$A$1:$AB$315,14,0)</f>
        <v>NA</v>
      </c>
      <c r="AG116">
        <f>VLOOKUP($B116,'[1]Plant data'!$A$1:$AB$315,15,0)</f>
        <v>37.299999999999997</v>
      </c>
      <c r="AH116" t="str">
        <f>VLOOKUP($B116,'[1]Plant data'!$A$1:$AB$315,16,0)</f>
        <v>NA</v>
      </c>
      <c r="AI116">
        <f>VLOOKUP($B116,'[1]Plant data'!$A$1:$AB$315,17,0)</f>
        <v>19.14676616915423</v>
      </c>
      <c r="AJ116" t="str">
        <f>VLOOKUP($B116,'[1]Plant data'!$A$1:$AB$315,18,0)</f>
        <v>Cazetta 2007, Erica&amp;Wesley, Intervales_morfo</v>
      </c>
      <c r="AK116" t="str">
        <f>VLOOKUP($B116,'[1]Plant data'!$A$1:$AB$315,19,0)</f>
        <v>NA</v>
      </c>
      <c r="AL116">
        <f>VLOOKUP($B116,'[1]Plant data'!$A$1:$AB$315,20,0)</f>
        <v>2.2737776134571043E-2</v>
      </c>
      <c r="AM116">
        <f>VLOOKUP($B116,'[1]Plant data'!$A$1:$AB$315,21,0)</f>
        <v>0.12401400000000001</v>
      </c>
      <c r="AN116">
        <f>VLOOKUP($B116,'[1]Plant data'!$A$1:$AB$315,22,0)</f>
        <v>5.3758128792152594E-3</v>
      </c>
      <c r="AO116">
        <f>VLOOKUP($B116,'[1]Plant data'!$A$1:$AB$315,23,0)</f>
        <v>6.9127712386219925E-2</v>
      </c>
      <c r="AP116" t="str">
        <f>VLOOKUP($B116,'[1]Plant data'!$A$1:$AB$315,24,0)</f>
        <v>NA</v>
      </c>
      <c r="AQ116" t="str">
        <f>VLOOKUP($B116,'[1]Plant data'!$A$1:$AB$315,25,0)</f>
        <v>NA</v>
      </c>
      <c r="AR116" t="str">
        <f>VLOOKUP($B116,'[1]Plant data'!$A$1:$AB$315,26,0)</f>
        <v>NA</v>
      </c>
      <c r="AS116" t="str">
        <f>VLOOKUP($B116,'[1]Plant data'!$A$1:$AB$315,27,0)</f>
        <v>NA</v>
      </c>
      <c r="AT116" t="str">
        <f>VLOOKUP($B116,'[1]Plant data'!$A$1:$AB$315,28,0)</f>
        <v>Erica &amp; Wesley, unpubl.</v>
      </c>
    </row>
    <row r="117" spans="1:46">
      <c r="A117" s="5" t="s">
        <v>110</v>
      </c>
      <c r="B117" s="61" t="s">
        <v>160</v>
      </c>
      <c r="C117">
        <v>2</v>
      </c>
      <c r="D117" t="s">
        <v>19</v>
      </c>
      <c r="E117" s="9" t="s">
        <v>19</v>
      </c>
      <c r="F117" s="9" t="s">
        <v>19</v>
      </c>
      <c r="G117" s="9" t="s">
        <v>19</v>
      </c>
      <c r="H117" s="9"/>
      <c r="I117" s="8" t="s">
        <v>19</v>
      </c>
      <c r="J117" s="10" t="s">
        <v>157</v>
      </c>
      <c r="K117" t="s">
        <v>123</v>
      </c>
      <c r="L117" t="s">
        <v>100</v>
      </c>
      <c r="M117" t="s">
        <v>101</v>
      </c>
      <c r="N117" s="11">
        <v>1250</v>
      </c>
      <c r="O117" s="11">
        <v>19.114999999999998</v>
      </c>
      <c r="P117" t="s">
        <v>48</v>
      </c>
      <c r="Q117" t="s">
        <v>95</v>
      </c>
      <c r="R117" t="s">
        <v>114</v>
      </c>
      <c r="S117" t="s">
        <v>27</v>
      </c>
      <c r="T117" t="str">
        <f>VLOOKUP(B117,'[1]Plant data'!$A$1:$AB$315,2,0)</f>
        <v>Lauraceae</v>
      </c>
      <c r="U117" t="str">
        <f>VLOOKUP($B117,'[1]Plant data'!$A$1:$AB$315,3,0)</f>
        <v>NA</v>
      </c>
      <c r="V117" t="str">
        <f>VLOOKUP($B117,'[1]Plant data'!$A$1:$AB$315,4,0)</f>
        <v>yellow</v>
      </c>
      <c r="W117" t="str">
        <f>VLOOKUP($B117,'[1]Plant data'!$A$1:$AB$315,5,0)</f>
        <v>YES</v>
      </c>
      <c r="X117">
        <f>VLOOKUP($B117,'[1]Plant data'!$A$1:$AB$315,6,0)</f>
        <v>17.855</v>
      </c>
      <c r="Y117">
        <f>VLOOKUP($B117,'[1]Plant data'!$A$1:$AB$315,7,0)</f>
        <v>19.95</v>
      </c>
      <c r="Z117">
        <f>VLOOKUP($B117,'[1]Plant data'!$A$1:$AB$315,8,0)</f>
        <v>13.067499999999999</v>
      </c>
      <c r="AA117">
        <f>VLOOKUP($B117,'[1]Plant data'!$A$1:$AB$315,9,0)</f>
        <v>17.32</v>
      </c>
      <c r="AB117">
        <f>VLOOKUP($B117,'[1]Plant data'!$A$1:$AB$315,10,0)</f>
        <v>4.2233749999999999</v>
      </c>
      <c r="AC117">
        <f>VLOOKUP($B117,'[1]Plant data'!$A$1:$AB$315,11,0)</f>
        <v>2.12</v>
      </c>
      <c r="AD117">
        <f>VLOOKUP($B117,'[1]Plant data'!$A$1:$AB$315,12,0)</f>
        <v>1.7343249999999999</v>
      </c>
      <c r="AE117">
        <f>VLOOKUP($B117,'[1]Plant data'!$A$1:$AB$315,13,0)</f>
        <v>1.8431000000000002</v>
      </c>
      <c r="AF117">
        <f>VLOOKUP($B117,'[1]Plant data'!$A$1:$AB$315,14,0)</f>
        <v>1.6173000000000002</v>
      </c>
      <c r="AG117">
        <f>VLOOKUP($B117,'[1]Plant data'!$A$1:$AB$315,15,0)</f>
        <v>1</v>
      </c>
      <c r="AH117" t="str">
        <f>VLOOKUP($B117,'[1]Plant data'!$A$1:$AB$315,16,0)</f>
        <v>NA</v>
      </c>
      <c r="AI117">
        <f>VLOOKUP($B117,'[1]Plant data'!$A$1:$AB$315,17,0)</f>
        <v>1.1139575451282069</v>
      </c>
      <c r="AJ117" t="str">
        <f>VLOOKUP($B117,'[1]Plant data'!$A$1:$AB$315,18,0)</f>
        <v>Cazetta 2007, Erica&amp;Wesley, Intervales_morfo, Castro &amp; Galetti 2004</v>
      </c>
      <c r="AK117">
        <f>VLOOKUP($B117,'[1]Plant data'!$A$1:$AB$315,19,0)</f>
        <v>0.84205000000000008</v>
      </c>
      <c r="AL117">
        <f>VLOOKUP($B117,'[1]Plant data'!$A$1:$AB$315,20,0)</f>
        <v>0.13662311126987126</v>
      </c>
      <c r="AM117">
        <f>VLOOKUP($B117,'[1]Plant data'!$A$1:$AB$315,21,0)</f>
        <v>9.5786807429846521E-2</v>
      </c>
      <c r="AN117">
        <f>VLOOKUP($B117,'[1]Plant data'!$A$1:$AB$315,22,0)</f>
        <v>0.12784807152891969</v>
      </c>
      <c r="AO117">
        <f>VLOOKUP($B117,'[1]Plant data'!$A$1:$AB$315,23,0)</f>
        <v>0.13371298514581492</v>
      </c>
      <c r="AP117" t="str">
        <f>VLOOKUP($B117,'[1]Plant data'!$A$1:$AB$315,24,0)</f>
        <v>NA</v>
      </c>
      <c r="AQ117">
        <f>VLOOKUP($B117,'[1]Plant data'!$A$1:$AB$315,25,0)</f>
        <v>0.84099999999999997</v>
      </c>
      <c r="AR117">
        <f>VLOOKUP($B117,'[1]Plant data'!$A$1:$AB$315,26,0)</f>
        <v>3.7999999999999999E-2</v>
      </c>
      <c r="AS117" t="str">
        <f>VLOOKUP($B117,'[1]Plant data'!$A$1:$AB$315,27,0)</f>
        <v>NA</v>
      </c>
      <c r="AT117" t="str">
        <f>VLOOKUP($B117,'[1]Plant data'!$A$1:$AB$315,28,0)</f>
        <v>Saibadela, Cazetta 2007, Erica &amp; Wesley, unpubl.</v>
      </c>
    </row>
    <row r="118" spans="1:46">
      <c r="A118" s="18" t="s">
        <v>28</v>
      </c>
      <c r="B118" s="14" t="s">
        <v>55</v>
      </c>
      <c r="C118">
        <v>4</v>
      </c>
      <c r="D118">
        <v>254</v>
      </c>
      <c r="E118" s="8">
        <f>C118/D118</f>
        <v>1.5748031496062992E-2</v>
      </c>
      <c r="F118" t="s">
        <v>19</v>
      </c>
      <c r="G118" s="9" t="s">
        <v>19</v>
      </c>
      <c r="H118" s="9"/>
      <c r="I118" s="8" t="s">
        <v>19</v>
      </c>
      <c r="J118" t="s">
        <v>52</v>
      </c>
      <c r="K118" t="s">
        <v>53</v>
      </c>
      <c r="L118" t="s">
        <v>22</v>
      </c>
      <c r="M118" t="s">
        <v>30</v>
      </c>
      <c r="N118" s="11">
        <v>18</v>
      </c>
      <c r="O118" s="11">
        <v>7.4188405800000004</v>
      </c>
      <c r="P118" t="s">
        <v>24</v>
      </c>
      <c r="Q118" s="13" t="s">
        <v>25</v>
      </c>
      <c r="R118" s="13" t="s">
        <v>26</v>
      </c>
      <c r="S118" s="13" t="s">
        <v>31</v>
      </c>
      <c r="T118" t="str">
        <f>VLOOKUP(B118,'[1]Plant data'!$A$1:$AB$315,2,0)</f>
        <v>Sapindaceae</v>
      </c>
      <c r="U118" t="str">
        <f>VLOOKUP($B118,'[1]Plant data'!$A$1:$AB$315,3,0)</f>
        <v>NA</v>
      </c>
      <c r="V118" t="str">
        <f>VLOOKUP($B118,'[1]Plant data'!$A$1:$AB$315,4,0)</f>
        <v>multicolor</v>
      </c>
      <c r="W118" t="str">
        <f>VLOOKUP($B118,'[1]Plant data'!$A$1:$AB$315,5,0)</f>
        <v>YES</v>
      </c>
      <c r="X118">
        <f>VLOOKUP($B118,'[1]Plant data'!$A$1:$AB$315,6,0)</f>
        <v>7.15</v>
      </c>
      <c r="Y118">
        <f>VLOOKUP($B118,'[1]Plant data'!$A$1:$AB$315,7,0)</f>
        <v>10.6</v>
      </c>
      <c r="Z118">
        <f>VLOOKUP($B118,'[1]Plant data'!$A$1:$AB$315,8,0)</f>
        <v>6.9550000000000001</v>
      </c>
      <c r="AA118">
        <f>VLOOKUP($B118,'[1]Plant data'!$A$1:$AB$315,9,0)</f>
        <v>9.8000000000000007</v>
      </c>
      <c r="AB118">
        <f>VLOOKUP($B118,'[1]Plant data'!$A$1:$AB$315,10,0)</f>
        <v>0.44</v>
      </c>
      <c r="AC118" t="str">
        <f>VLOOKUP($B118,'[1]Plant data'!$A$1:$AB$315,11,0)</f>
        <v>NA</v>
      </c>
      <c r="AD118">
        <f>VLOOKUP($B118,'[1]Plant data'!$A$1:$AB$315,12,0)</f>
        <v>0.32</v>
      </c>
      <c r="AE118" t="str">
        <f>VLOOKUP($B118,'[1]Plant data'!$A$1:$AB$315,13,0)</f>
        <v>NA</v>
      </c>
      <c r="AF118" t="str">
        <f>VLOOKUP($B118,'[1]Plant data'!$A$1:$AB$315,14,0)</f>
        <v>NA</v>
      </c>
      <c r="AG118">
        <f>VLOOKUP($B118,'[1]Plant data'!$A$1:$AB$315,15,0)</f>
        <v>1.2</v>
      </c>
      <c r="AH118" t="str">
        <f>VLOOKUP($B118,'[1]Plant data'!$A$1:$AB$315,16,0)</f>
        <v>NA</v>
      </c>
      <c r="AI118" t="str">
        <f>VLOOKUP($B118,'[1]Plant data'!$A$1:$AB$315,17,0)</f>
        <v>NA</v>
      </c>
      <c r="AJ118" t="str">
        <f>VLOOKUP($B118,'[1]Plant data'!$A$1:$AB$315,18,0)</f>
        <v>ATLANTIC, Angel-de-Oliveira 1999</v>
      </c>
      <c r="AK118" t="str">
        <f>VLOOKUP($B118,'[1]Plant data'!$A$1:$AB$315,19,0)</f>
        <v>NA</v>
      </c>
      <c r="AL118" t="str">
        <f>VLOOKUP($B118,'[1]Plant data'!$A$1:$AB$315,20,0)</f>
        <v>NA</v>
      </c>
      <c r="AM118" t="str">
        <f>VLOOKUP($B118,'[1]Plant data'!$A$1:$AB$315,21,0)</f>
        <v>NA</v>
      </c>
      <c r="AN118" t="str">
        <f>VLOOKUP($B118,'[1]Plant data'!$A$1:$AB$315,22,0)</f>
        <v>NA</v>
      </c>
      <c r="AO118" t="str">
        <f>VLOOKUP($B118,'[1]Plant data'!$A$1:$AB$315,23,0)</f>
        <v>NA</v>
      </c>
      <c r="AP118" t="str">
        <f>VLOOKUP($B118,'[1]Plant data'!$A$1:$AB$315,24,0)</f>
        <v>NA</v>
      </c>
      <c r="AQ118" t="str">
        <f>VLOOKUP($B118,'[1]Plant data'!$A$1:$AB$315,25,0)</f>
        <v>NA</v>
      </c>
      <c r="AR118" t="str">
        <f>VLOOKUP($B118,'[1]Plant data'!$A$1:$AB$315,26,0)</f>
        <v>NA</v>
      </c>
      <c r="AS118" t="str">
        <f>VLOOKUP($B118,'[1]Plant data'!$A$1:$AB$315,27,0)</f>
        <v>NA</v>
      </c>
      <c r="AT118" t="str">
        <f>VLOOKUP($B118,'[1]Plant data'!$A$1:$AB$315,28,0)</f>
        <v>NA</v>
      </c>
    </row>
    <row r="119" spans="1:46">
      <c r="A119" s="5" t="s">
        <v>41</v>
      </c>
      <c r="B119" s="14" t="s">
        <v>55</v>
      </c>
      <c r="C119">
        <v>12</v>
      </c>
      <c r="D119">
        <v>254</v>
      </c>
      <c r="E119" s="8">
        <f>C119/D119</f>
        <v>4.7244094488188976E-2</v>
      </c>
      <c r="F119" t="s">
        <v>19</v>
      </c>
      <c r="G119" s="9" t="s">
        <v>19</v>
      </c>
      <c r="H119" s="9"/>
      <c r="I119" s="8" t="s">
        <v>19</v>
      </c>
      <c r="J119" t="s">
        <v>52</v>
      </c>
      <c r="K119" t="s">
        <v>53</v>
      </c>
      <c r="L119" t="s">
        <v>22</v>
      </c>
      <c r="M119" t="s">
        <v>30</v>
      </c>
      <c r="N119" s="11">
        <v>39</v>
      </c>
      <c r="O119" s="11">
        <v>8.2839869279999991</v>
      </c>
      <c r="P119" t="s">
        <v>24</v>
      </c>
      <c r="Q119" t="s">
        <v>25</v>
      </c>
      <c r="R119" t="s">
        <v>26</v>
      </c>
      <c r="S119" t="s">
        <v>31</v>
      </c>
      <c r="T119" t="str">
        <f>VLOOKUP(B119,'[1]Plant data'!$A$1:$AB$315,2,0)</f>
        <v>Sapindaceae</v>
      </c>
      <c r="U119" t="str">
        <f>VLOOKUP($B119,'[1]Plant data'!$A$1:$AB$315,3,0)</f>
        <v>NA</v>
      </c>
      <c r="V119" t="str">
        <f>VLOOKUP($B119,'[1]Plant data'!$A$1:$AB$315,4,0)</f>
        <v>multicolor</v>
      </c>
      <c r="W119" t="str">
        <f>VLOOKUP($B119,'[1]Plant data'!$A$1:$AB$315,5,0)</f>
        <v>YES</v>
      </c>
      <c r="X119">
        <f>VLOOKUP($B119,'[1]Plant data'!$A$1:$AB$315,6,0)</f>
        <v>7.15</v>
      </c>
      <c r="Y119">
        <f>VLOOKUP($B119,'[1]Plant data'!$A$1:$AB$315,7,0)</f>
        <v>10.6</v>
      </c>
      <c r="Z119">
        <f>VLOOKUP($B119,'[1]Plant data'!$A$1:$AB$315,8,0)</f>
        <v>6.9550000000000001</v>
      </c>
      <c r="AA119">
        <f>VLOOKUP($B119,'[1]Plant data'!$A$1:$AB$315,9,0)</f>
        <v>9.8000000000000007</v>
      </c>
      <c r="AB119">
        <f>VLOOKUP($B119,'[1]Plant data'!$A$1:$AB$315,10,0)</f>
        <v>0.44</v>
      </c>
      <c r="AC119" t="str">
        <f>VLOOKUP($B119,'[1]Plant data'!$A$1:$AB$315,11,0)</f>
        <v>NA</v>
      </c>
      <c r="AD119">
        <f>VLOOKUP($B119,'[1]Plant data'!$A$1:$AB$315,12,0)</f>
        <v>0.32</v>
      </c>
      <c r="AE119" t="str">
        <f>VLOOKUP($B119,'[1]Plant data'!$A$1:$AB$315,13,0)</f>
        <v>NA</v>
      </c>
      <c r="AF119" t="str">
        <f>VLOOKUP($B119,'[1]Plant data'!$A$1:$AB$315,14,0)</f>
        <v>NA</v>
      </c>
      <c r="AG119">
        <f>VLOOKUP($B119,'[1]Plant data'!$A$1:$AB$315,15,0)</f>
        <v>1.2</v>
      </c>
      <c r="AH119" t="str">
        <f>VLOOKUP($B119,'[1]Plant data'!$A$1:$AB$315,16,0)</f>
        <v>NA</v>
      </c>
      <c r="AI119" t="str">
        <f>VLOOKUP($B119,'[1]Plant data'!$A$1:$AB$315,17,0)</f>
        <v>NA</v>
      </c>
      <c r="AJ119" t="str">
        <f>VLOOKUP($B119,'[1]Plant data'!$A$1:$AB$315,18,0)</f>
        <v>ATLANTIC, Angel-de-Oliveira 1999</v>
      </c>
      <c r="AK119" t="str">
        <f>VLOOKUP($B119,'[1]Plant data'!$A$1:$AB$315,19,0)</f>
        <v>NA</v>
      </c>
      <c r="AL119" t="str">
        <f>VLOOKUP($B119,'[1]Plant data'!$A$1:$AB$315,20,0)</f>
        <v>NA</v>
      </c>
      <c r="AM119" t="str">
        <f>VLOOKUP($B119,'[1]Plant data'!$A$1:$AB$315,21,0)</f>
        <v>NA</v>
      </c>
      <c r="AN119" t="str">
        <f>VLOOKUP($B119,'[1]Plant data'!$A$1:$AB$315,22,0)</f>
        <v>NA</v>
      </c>
      <c r="AO119" t="str">
        <f>VLOOKUP($B119,'[1]Plant data'!$A$1:$AB$315,23,0)</f>
        <v>NA</v>
      </c>
      <c r="AP119" t="str">
        <f>VLOOKUP($B119,'[1]Plant data'!$A$1:$AB$315,24,0)</f>
        <v>NA</v>
      </c>
      <c r="AQ119" t="str">
        <f>VLOOKUP($B119,'[1]Plant data'!$A$1:$AB$315,25,0)</f>
        <v>NA</v>
      </c>
      <c r="AR119" t="str">
        <f>VLOOKUP($B119,'[1]Plant data'!$A$1:$AB$315,26,0)</f>
        <v>NA</v>
      </c>
      <c r="AS119" t="str">
        <f>VLOOKUP($B119,'[1]Plant data'!$A$1:$AB$315,27,0)</f>
        <v>NA</v>
      </c>
      <c r="AT119" t="str">
        <f>VLOOKUP($B119,'[1]Plant data'!$A$1:$AB$315,28,0)</f>
        <v>NA</v>
      </c>
    </row>
    <row r="120" spans="1:46">
      <c r="A120" s="5" t="s">
        <v>43</v>
      </c>
      <c r="B120" s="14" t="s">
        <v>55</v>
      </c>
      <c r="C120">
        <v>3</v>
      </c>
      <c r="D120">
        <v>254</v>
      </c>
      <c r="E120" s="8">
        <f>C120/D120</f>
        <v>1.1811023622047244E-2</v>
      </c>
      <c r="F120" t="s">
        <v>19</v>
      </c>
      <c r="G120" s="9" t="s">
        <v>19</v>
      </c>
      <c r="H120" s="9"/>
      <c r="I120" s="8" t="s">
        <v>19</v>
      </c>
      <c r="J120" t="s">
        <v>52</v>
      </c>
      <c r="K120" t="s">
        <v>53</v>
      </c>
      <c r="L120" t="s">
        <v>22</v>
      </c>
      <c r="M120" t="s">
        <v>30</v>
      </c>
      <c r="N120" s="11">
        <v>32.5</v>
      </c>
      <c r="O120" s="11">
        <v>8.9205555560000001</v>
      </c>
      <c r="P120" t="s">
        <v>24</v>
      </c>
      <c r="Q120" t="s">
        <v>25</v>
      </c>
      <c r="R120" t="s">
        <v>26</v>
      </c>
      <c r="S120" t="s">
        <v>31</v>
      </c>
      <c r="T120" t="str">
        <f>VLOOKUP(B120,'[1]Plant data'!$A$1:$AB$315,2,0)</f>
        <v>Sapindaceae</v>
      </c>
      <c r="U120" t="str">
        <f>VLOOKUP($B120,'[1]Plant data'!$A$1:$AB$315,3,0)</f>
        <v>NA</v>
      </c>
      <c r="V120" t="str">
        <f>VLOOKUP($B120,'[1]Plant data'!$A$1:$AB$315,4,0)</f>
        <v>multicolor</v>
      </c>
      <c r="W120" t="str">
        <f>VLOOKUP($B120,'[1]Plant data'!$A$1:$AB$315,5,0)</f>
        <v>YES</v>
      </c>
      <c r="X120">
        <f>VLOOKUP($B120,'[1]Plant data'!$A$1:$AB$315,6,0)</f>
        <v>7.15</v>
      </c>
      <c r="Y120">
        <f>VLOOKUP($B120,'[1]Plant data'!$A$1:$AB$315,7,0)</f>
        <v>10.6</v>
      </c>
      <c r="Z120">
        <f>VLOOKUP($B120,'[1]Plant data'!$A$1:$AB$315,8,0)</f>
        <v>6.9550000000000001</v>
      </c>
      <c r="AA120">
        <f>VLOOKUP($B120,'[1]Plant data'!$A$1:$AB$315,9,0)</f>
        <v>9.8000000000000007</v>
      </c>
      <c r="AB120">
        <f>VLOOKUP($B120,'[1]Plant data'!$A$1:$AB$315,10,0)</f>
        <v>0.44</v>
      </c>
      <c r="AC120" t="str">
        <f>VLOOKUP($B120,'[1]Plant data'!$A$1:$AB$315,11,0)</f>
        <v>NA</v>
      </c>
      <c r="AD120">
        <f>VLOOKUP($B120,'[1]Plant data'!$A$1:$AB$315,12,0)</f>
        <v>0.32</v>
      </c>
      <c r="AE120" t="str">
        <f>VLOOKUP($B120,'[1]Plant data'!$A$1:$AB$315,13,0)</f>
        <v>NA</v>
      </c>
      <c r="AF120" t="str">
        <f>VLOOKUP($B120,'[1]Plant data'!$A$1:$AB$315,14,0)</f>
        <v>NA</v>
      </c>
      <c r="AG120">
        <f>VLOOKUP($B120,'[1]Plant data'!$A$1:$AB$315,15,0)</f>
        <v>1.2</v>
      </c>
      <c r="AH120" t="str">
        <f>VLOOKUP($B120,'[1]Plant data'!$A$1:$AB$315,16,0)</f>
        <v>NA</v>
      </c>
      <c r="AI120" t="str">
        <f>VLOOKUP($B120,'[1]Plant data'!$A$1:$AB$315,17,0)</f>
        <v>NA</v>
      </c>
      <c r="AJ120" t="str">
        <f>VLOOKUP($B120,'[1]Plant data'!$A$1:$AB$315,18,0)</f>
        <v>ATLANTIC, Angel-de-Oliveira 1999</v>
      </c>
      <c r="AK120" t="str">
        <f>VLOOKUP($B120,'[1]Plant data'!$A$1:$AB$315,19,0)</f>
        <v>NA</v>
      </c>
      <c r="AL120" t="str">
        <f>VLOOKUP($B120,'[1]Plant data'!$A$1:$AB$315,20,0)</f>
        <v>NA</v>
      </c>
      <c r="AM120" t="str">
        <f>VLOOKUP($B120,'[1]Plant data'!$A$1:$AB$315,21,0)</f>
        <v>NA</v>
      </c>
      <c r="AN120" t="str">
        <f>VLOOKUP($B120,'[1]Plant data'!$A$1:$AB$315,22,0)</f>
        <v>NA</v>
      </c>
      <c r="AO120" t="str">
        <f>VLOOKUP($B120,'[1]Plant data'!$A$1:$AB$315,23,0)</f>
        <v>NA</v>
      </c>
      <c r="AP120" t="str">
        <f>VLOOKUP($B120,'[1]Plant data'!$A$1:$AB$315,24,0)</f>
        <v>NA</v>
      </c>
      <c r="AQ120" t="str">
        <f>VLOOKUP($B120,'[1]Plant data'!$A$1:$AB$315,25,0)</f>
        <v>NA</v>
      </c>
      <c r="AR120" t="str">
        <f>VLOOKUP($B120,'[1]Plant data'!$A$1:$AB$315,26,0)</f>
        <v>NA</v>
      </c>
      <c r="AS120" t="str">
        <f>VLOOKUP($B120,'[1]Plant data'!$A$1:$AB$315,27,0)</f>
        <v>NA</v>
      </c>
      <c r="AT120" t="str">
        <f>VLOOKUP($B120,'[1]Plant data'!$A$1:$AB$315,28,0)</f>
        <v>NA</v>
      </c>
    </row>
    <row r="121" spans="1:46">
      <c r="A121" s="20" t="s">
        <v>65</v>
      </c>
      <c r="B121" s="22" t="s">
        <v>131</v>
      </c>
      <c r="C121" s="16">
        <v>1</v>
      </c>
      <c r="D121" s="16">
        <v>15</v>
      </c>
      <c r="E121" s="8">
        <f>C121/60</f>
        <v>1.6666666666666666E-2</v>
      </c>
      <c r="F121" s="16" t="s">
        <v>19</v>
      </c>
      <c r="G121" s="19">
        <v>1</v>
      </c>
      <c r="H121" s="19"/>
      <c r="I121" s="8">
        <f>E121*G121</f>
        <v>1.6666666666666666E-2</v>
      </c>
      <c r="J121" t="s">
        <v>132</v>
      </c>
      <c r="K121" t="s">
        <v>133</v>
      </c>
      <c r="L121" t="s">
        <v>22</v>
      </c>
      <c r="M121" t="s">
        <v>23</v>
      </c>
      <c r="N121" s="11">
        <v>11</v>
      </c>
      <c r="O121" s="11">
        <v>6.1466666669999999</v>
      </c>
      <c r="P121" t="s">
        <v>24</v>
      </c>
      <c r="Q121" t="s">
        <v>25</v>
      </c>
      <c r="R121" t="s">
        <v>26</v>
      </c>
      <c r="S121" s="13" t="s">
        <v>31</v>
      </c>
      <c r="T121" t="str">
        <f>VLOOKUP(B121,'[1]Plant data'!$A$1:$AB$315,2,0)</f>
        <v>Sapindaceae</v>
      </c>
      <c r="U121" t="str">
        <f>VLOOKUP($B121,'[1]Plant data'!$A$1:$AB$315,3,0)</f>
        <v>NA</v>
      </c>
      <c r="V121" t="str">
        <f>VLOOKUP($B121,'[1]Plant data'!$A$1:$AB$315,4,0)</f>
        <v>multicolor</v>
      </c>
      <c r="W121" t="str">
        <f>VLOOKUP($B121,'[1]Plant data'!$A$1:$AB$315,5,0)</f>
        <v>YES</v>
      </c>
      <c r="X121">
        <f>VLOOKUP($B121,'[1]Plant data'!$A$1:$AB$315,6,0)</f>
        <v>15.476666666666667</v>
      </c>
      <c r="Y121">
        <f>VLOOKUP($B121,'[1]Plant data'!$A$1:$AB$315,7,0)</f>
        <v>20.463333333333335</v>
      </c>
      <c r="Z121">
        <f>VLOOKUP($B121,'[1]Plant data'!$A$1:$AB$315,8,0)</f>
        <v>9.85</v>
      </c>
      <c r="AA121">
        <f>VLOOKUP($B121,'[1]Plant data'!$A$1:$AB$315,9,0)</f>
        <v>14.4</v>
      </c>
      <c r="AB121">
        <f>VLOOKUP($B121,'[1]Plant data'!$A$1:$AB$315,10,0)</f>
        <v>1.4</v>
      </c>
      <c r="AC121" t="str">
        <f>VLOOKUP($B121,'[1]Plant data'!$A$1:$AB$315,11,0)</f>
        <v>NA</v>
      </c>
      <c r="AD121">
        <f>VLOOKUP($B121,'[1]Plant data'!$A$1:$AB$315,12,0)</f>
        <v>1.1000000000000001</v>
      </c>
      <c r="AE121" t="str">
        <f>VLOOKUP($B121,'[1]Plant data'!$A$1:$AB$315,13,0)</f>
        <v>NA</v>
      </c>
      <c r="AF121" t="str">
        <f>VLOOKUP($B121,'[1]Plant data'!$A$1:$AB$315,14,0)</f>
        <v>NA</v>
      </c>
      <c r="AG121">
        <f>VLOOKUP($B121,'[1]Plant data'!$A$1:$AB$315,15,0)</f>
        <v>3</v>
      </c>
      <c r="AH121" t="str">
        <f>VLOOKUP($B121,'[1]Plant data'!$A$1:$AB$315,16,0)</f>
        <v>NA</v>
      </c>
      <c r="AI121" t="str">
        <f>VLOOKUP($B121,'[1]Plant data'!$A$1:$AB$315,17,0)</f>
        <v>NA</v>
      </c>
      <c r="AJ121" t="str">
        <f>VLOOKUP($B121,'[1]Plant data'!$A$1:$AB$315,18,0)</f>
        <v>ATLANTIC, Intervales_morfo, Correia 1997</v>
      </c>
      <c r="AK121">
        <f>VLOOKUP($B121,'[1]Plant data'!$A$1:$AB$315,19,0)</f>
        <v>0.56000000000000005</v>
      </c>
      <c r="AL121">
        <f>VLOOKUP($B121,'[1]Plant data'!$A$1:$AB$315,20,0)</f>
        <v>0.626</v>
      </c>
      <c r="AM121">
        <f>VLOOKUP($B121,'[1]Plant data'!$A$1:$AB$315,21,0)</f>
        <v>0.11</v>
      </c>
      <c r="AN121" t="str">
        <f>VLOOKUP($B121,'[1]Plant data'!$A$1:$AB$315,22,0)</f>
        <v>NA</v>
      </c>
      <c r="AO121" t="str">
        <f>VLOOKUP($B121,'[1]Plant data'!$A$1:$AB$315,23,0)</f>
        <v>NA</v>
      </c>
      <c r="AP121" t="str">
        <f>VLOOKUP($B121,'[1]Plant data'!$A$1:$AB$315,24,0)</f>
        <v>NA</v>
      </c>
      <c r="AQ121">
        <f>VLOOKUP($B121,'[1]Plant data'!$A$1:$AB$315,25,0)</f>
        <v>0.246</v>
      </c>
      <c r="AR121">
        <f>VLOOKUP($B121,'[1]Plant data'!$A$1:$AB$315,26,0)</f>
        <v>1.7999999999999999E-2</v>
      </c>
      <c r="AS121" t="str">
        <f>VLOOKUP($B121,'[1]Plant data'!$A$1:$AB$315,27,0)</f>
        <v>NA</v>
      </c>
      <c r="AT121" t="str">
        <f>VLOOKUP($B121,'[1]Plant data'!$A$1:$AB$315,28,0)</f>
        <v>Saibadela</v>
      </c>
    </row>
    <row r="122" spans="1:46">
      <c r="A122" s="5" t="s">
        <v>50</v>
      </c>
      <c r="B122" s="14" t="s">
        <v>131</v>
      </c>
      <c r="C122">
        <v>4</v>
      </c>
      <c r="D122" s="7">
        <v>15</v>
      </c>
      <c r="E122" s="23">
        <f>(C122/15)*4</f>
        <v>1.0666666666666667</v>
      </c>
      <c r="F122" s="8" t="s">
        <v>19</v>
      </c>
      <c r="G122" s="9">
        <v>1.5</v>
      </c>
      <c r="H122" s="9"/>
      <c r="I122" s="8">
        <f>E122*G122</f>
        <v>1.6</v>
      </c>
      <c r="J122" t="s">
        <v>132</v>
      </c>
      <c r="K122" s="25" t="s">
        <v>133</v>
      </c>
      <c r="L122" t="s">
        <v>22</v>
      </c>
      <c r="M122" t="s">
        <v>47</v>
      </c>
      <c r="N122" s="11">
        <v>69.5</v>
      </c>
      <c r="O122" s="11">
        <v>13.253214290000001</v>
      </c>
      <c r="P122" t="s">
        <v>48</v>
      </c>
      <c r="Q122" t="s">
        <v>25</v>
      </c>
      <c r="R122" t="s">
        <v>26</v>
      </c>
      <c r="S122" t="s">
        <v>31</v>
      </c>
      <c r="T122" t="str">
        <f>VLOOKUP(B122,'[1]Plant data'!$A$1:$AB$315,2,0)</f>
        <v>Sapindaceae</v>
      </c>
      <c r="U122" t="str">
        <f>VLOOKUP($B122,'[1]Plant data'!$A$1:$AB$315,3,0)</f>
        <v>NA</v>
      </c>
      <c r="V122" t="str">
        <f>VLOOKUP($B122,'[1]Plant data'!$A$1:$AB$315,4,0)</f>
        <v>multicolor</v>
      </c>
      <c r="W122" t="str">
        <f>VLOOKUP($B122,'[1]Plant data'!$A$1:$AB$315,5,0)</f>
        <v>YES</v>
      </c>
      <c r="X122">
        <f>VLOOKUP($B122,'[1]Plant data'!$A$1:$AB$315,6,0)</f>
        <v>15.476666666666667</v>
      </c>
      <c r="Y122">
        <f>VLOOKUP($B122,'[1]Plant data'!$A$1:$AB$315,7,0)</f>
        <v>20.463333333333335</v>
      </c>
      <c r="Z122">
        <f>VLOOKUP($B122,'[1]Plant data'!$A$1:$AB$315,8,0)</f>
        <v>9.85</v>
      </c>
      <c r="AA122">
        <f>VLOOKUP($B122,'[1]Plant data'!$A$1:$AB$315,9,0)</f>
        <v>14.4</v>
      </c>
      <c r="AB122">
        <f>VLOOKUP($B122,'[1]Plant data'!$A$1:$AB$315,10,0)</f>
        <v>1.4</v>
      </c>
      <c r="AC122" t="str">
        <f>VLOOKUP($B122,'[1]Plant data'!$A$1:$AB$315,11,0)</f>
        <v>NA</v>
      </c>
      <c r="AD122">
        <f>VLOOKUP($B122,'[1]Plant data'!$A$1:$AB$315,12,0)</f>
        <v>1.1000000000000001</v>
      </c>
      <c r="AE122" t="str">
        <f>VLOOKUP($B122,'[1]Plant data'!$A$1:$AB$315,13,0)</f>
        <v>NA</v>
      </c>
      <c r="AF122" t="str">
        <f>VLOOKUP($B122,'[1]Plant data'!$A$1:$AB$315,14,0)</f>
        <v>NA</v>
      </c>
      <c r="AG122">
        <f>VLOOKUP($B122,'[1]Plant data'!$A$1:$AB$315,15,0)</f>
        <v>3</v>
      </c>
      <c r="AH122" t="str">
        <f>VLOOKUP($B122,'[1]Plant data'!$A$1:$AB$315,16,0)</f>
        <v>NA</v>
      </c>
      <c r="AI122" t="str">
        <f>VLOOKUP($B122,'[1]Plant data'!$A$1:$AB$315,17,0)</f>
        <v>NA</v>
      </c>
      <c r="AJ122" t="str">
        <f>VLOOKUP($B122,'[1]Plant data'!$A$1:$AB$315,18,0)</f>
        <v>ATLANTIC, Intervales_morfo, Correia 1997</v>
      </c>
      <c r="AK122">
        <f>VLOOKUP($B122,'[1]Plant data'!$A$1:$AB$315,19,0)</f>
        <v>0.56000000000000005</v>
      </c>
      <c r="AL122">
        <f>VLOOKUP($B122,'[1]Plant data'!$A$1:$AB$315,20,0)</f>
        <v>0.626</v>
      </c>
      <c r="AM122">
        <f>VLOOKUP($B122,'[1]Plant data'!$A$1:$AB$315,21,0)</f>
        <v>0.11</v>
      </c>
      <c r="AN122" t="str">
        <f>VLOOKUP($B122,'[1]Plant data'!$A$1:$AB$315,22,0)</f>
        <v>NA</v>
      </c>
      <c r="AO122" t="str">
        <f>VLOOKUP($B122,'[1]Plant data'!$A$1:$AB$315,23,0)</f>
        <v>NA</v>
      </c>
      <c r="AP122" t="str">
        <f>VLOOKUP($B122,'[1]Plant data'!$A$1:$AB$315,24,0)</f>
        <v>NA</v>
      </c>
      <c r="AQ122">
        <f>VLOOKUP($B122,'[1]Plant data'!$A$1:$AB$315,25,0)</f>
        <v>0.246</v>
      </c>
      <c r="AR122">
        <f>VLOOKUP($B122,'[1]Plant data'!$A$1:$AB$315,26,0)</f>
        <v>1.7999999999999999E-2</v>
      </c>
      <c r="AS122" t="str">
        <f>VLOOKUP($B122,'[1]Plant data'!$A$1:$AB$315,27,0)</f>
        <v>NA</v>
      </c>
      <c r="AT122" t="str">
        <f>VLOOKUP($B122,'[1]Plant data'!$A$1:$AB$315,28,0)</f>
        <v>Saibadela</v>
      </c>
    </row>
    <row r="123" spans="1:46">
      <c r="A123" s="5" t="s">
        <v>110</v>
      </c>
      <c r="B123" s="14" t="s">
        <v>131</v>
      </c>
      <c r="C123">
        <v>1</v>
      </c>
      <c r="D123" t="s">
        <v>19</v>
      </c>
      <c r="E123" s="9" t="s">
        <v>19</v>
      </c>
      <c r="F123" s="9" t="s">
        <v>19</v>
      </c>
      <c r="G123" s="9" t="s">
        <v>19</v>
      </c>
      <c r="H123" s="9"/>
      <c r="I123" s="8" t="s">
        <v>19</v>
      </c>
      <c r="J123" t="s">
        <v>157</v>
      </c>
      <c r="K123" t="s">
        <v>123</v>
      </c>
      <c r="L123" t="s">
        <v>100</v>
      </c>
      <c r="M123" t="s">
        <v>101</v>
      </c>
      <c r="N123" s="11">
        <v>1250</v>
      </c>
      <c r="O123" s="11">
        <v>19.114999999999998</v>
      </c>
      <c r="P123" t="s">
        <v>48</v>
      </c>
      <c r="Q123" t="s">
        <v>95</v>
      </c>
      <c r="R123" t="s">
        <v>114</v>
      </c>
      <c r="S123" t="s">
        <v>27</v>
      </c>
      <c r="T123" t="str">
        <f>VLOOKUP(B123,'[1]Plant data'!$A$1:$AB$315,2,0)</f>
        <v>Sapindaceae</v>
      </c>
      <c r="U123" t="str">
        <f>VLOOKUP($B123,'[1]Plant data'!$A$1:$AB$315,3,0)</f>
        <v>NA</v>
      </c>
      <c r="V123" t="str">
        <f>VLOOKUP($B123,'[1]Plant data'!$A$1:$AB$315,4,0)</f>
        <v>multicolor</v>
      </c>
      <c r="W123" t="str">
        <f>VLOOKUP($B123,'[1]Plant data'!$A$1:$AB$315,5,0)</f>
        <v>YES</v>
      </c>
      <c r="X123">
        <f>VLOOKUP($B123,'[1]Plant data'!$A$1:$AB$315,6,0)</f>
        <v>15.476666666666667</v>
      </c>
      <c r="Y123">
        <f>VLOOKUP($B123,'[1]Plant data'!$A$1:$AB$315,7,0)</f>
        <v>20.463333333333335</v>
      </c>
      <c r="Z123">
        <f>VLOOKUP($B123,'[1]Plant data'!$A$1:$AB$315,8,0)</f>
        <v>9.85</v>
      </c>
      <c r="AA123">
        <f>VLOOKUP($B123,'[1]Plant data'!$A$1:$AB$315,9,0)</f>
        <v>14.4</v>
      </c>
      <c r="AB123">
        <f>VLOOKUP($B123,'[1]Plant data'!$A$1:$AB$315,10,0)</f>
        <v>1.4</v>
      </c>
      <c r="AC123" t="str">
        <f>VLOOKUP($B123,'[1]Plant data'!$A$1:$AB$315,11,0)</f>
        <v>NA</v>
      </c>
      <c r="AD123">
        <f>VLOOKUP($B123,'[1]Plant data'!$A$1:$AB$315,12,0)</f>
        <v>1.1000000000000001</v>
      </c>
      <c r="AE123" t="str">
        <f>VLOOKUP($B123,'[1]Plant data'!$A$1:$AB$315,13,0)</f>
        <v>NA</v>
      </c>
      <c r="AF123" t="str">
        <f>VLOOKUP($B123,'[1]Plant data'!$A$1:$AB$315,14,0)</f>
        <v>NA</v>
      </c>
      <c r="AG123">
        <f>VLOOKUP($B123,'[1]Plant data'!$A$1:$AB$315,15,0)</f>
        <v>3</v>
      </c>
      <c r="AH123" t="str">
        <f>VLOOKUP($B123,'[1]Plant data'!$A$1:$AB$315,16,0)</f>
        <v>NA</v>
      </c>
      <c r="AI123" t="str">
        <f>VLOOKUP($B123,'[1]Plant data'!$A$1:$AB$315,17,0)</f>
        <v>NA</v>
      </c>
      <c r="AJ123" t="str">
        <f>VLOOKUP($B123,'[1]Plant data'!$A$1:$AB$315,18,0)</f>
        <v>ATLANTIC, Intervales_morfo, Correia 1997</v>
      </c>
      <c r="AK123">
        <f>VLOOKUP($B123,'[1]Plant data'!$A$1:$AB$315,19,0)</f>
        <v>0.56000000000000005</v>
      </c>
      <c r="AL123">
        <f>VLOOKUP($B123,'[1]Plant data'!$A$1:$AB$315,20,0)</f>
        <v>0.626</v>
      </c>
      <c r="AM123">
        <f>VLOOKUP($B123,'[1]Plant data'!$A$1:$AB$315,21,0)</f>
        <v>0.11</v>
      </c>
      <c r="AN123" t="str">
        <f>VLOOKUP($B123,'[1]Plant data'!$A$1:$AB$315,22,0)</f>
        <v>NA</v>
      </c>
      <c r="AO123" t="str">
        <f>VLOOKUP($B123,'[1]Plant data'!$A$1:$AB$315,23,0)</f>
        <v>NA</v>
      </c>
      <c r="AP123" t="str">
        <f>VLOOKUP($B123,'[1]Plant data'!$A$1:$AB$315,24,0)</f>
        <v>NA</v>
      </c>
      <c r="AQ123">
        <f>VLOOKUP($B123,'[1]Plant data'!$A$1:$AB$315,25,0)</f>
        <v>0.246</v>
      </c>
      <c r="AR123">
        <f>VLOOKUP($B123,'[1]Plant data'!$A$1:$AB$315,26,0)</f>
        <v>1.7999999999999999E-2</v>
      </c>
      <c r="AS123" t="str">
        <f>VLOOKUP($B123,'[1]Plant data'!$A$1:$AB$315,27,0)</f>
        <v>NA</v>
      </c>
      <c r="AT123" t="str">
        <f>VLOOKUP($B123,'[1]Plant data'!$A$1:$AB$315,28,0)</f>
        <v>Saibadela</v>
      </c>
    </row>
    <row r="124" spans="1:46">
      <c r="A124" s="5" t="s">
        <v>41</v>
      </c>
      <c r="B124" s="14" t="s">
        <v>131</v>
      </c>
      <c r="C124">
        <v>1</v>
      </c>
      <c r="D124">
        <v>21</v>
      </c>
      <c r="E124" s="8">
        <f t="shared" ref="E124:E129" si="10">C124/D124</f>
        <v>4.7619047619047616E-2</v>
      </c>
      <c r="F124" t="s">
        <v>19</v>
      </c>
      <c r="G124" s="41">
        <v>1.3</v>
      </c>
      <c r="H124" s="9"/>
      <c r="I124" s="8">
        <f>E124*G124</f>
        <v>6.1904761904761907E-2</v>
      </c>
      <c r="J124" s="25" t="s">
        <v>255</v>
      </c>
      <c r="K124" s="25" t="s">
        <v>247</v>
      </c>
      <c r="L124" t="s">
        <v>22</v>
      </c>
      <c r="M124" t="s">
        <v>30</v>
      </c>
      <c r="N124" s="11">
        <v>39</v>
      </c>
      <c r="O124" s="11">
        <v>8.2839869279999991</v>
      </c>
      <c r="P124" t="s">
        <v>24</v>
      </c>
      <c r="Q124" t="s">
        <v>25</v>
      </c>
      <c r="R124" t="s">
        <v>26</v>
      </c>
      <c r="S124" t="s">
        <v>31</v>
      </c>
      <c r="T124" t="str">
        <f>VLOOKUP(B124,'[1]Plant data'!$A$1:$AB$315,2,0)</f>
        <v>Sapindaceae</v>
      </c>
      <c r="U124" t="str">
        <f>VLOOKUP($B124,'[1]Plant data'!$A$1:$AB$315,3,0)</f>
        <v>NA</v>
      </c>
      <c r="V124" t="str">
        <f>VLOOKUP($B124,'[1]Plant data'!$A$1:$AB$315,4,0)</f>
        <v>multicolor</v>
      </c>
      <c r="W124" t="str">
        <f>VLOOKUP($B124,'[1]Plant data'!$A$1:$AB$315,5,0)</f>
        <v>YES</v>
      </c>
      <c r="X124">
        <f>VLOOKUP($B124,'[1]Plant data'!$A$1:$AB$315,6,0)</f>
        <v>15.476666666666667</v>
      </c>
      <c r="Y124">
        <f>VLOOKUP($B124,'[1]Plant data'!$A$1:$AB$315,7,0)</f>
        <v>20.463333333333335</v>
      </c>
      <c r="Z124">
        <f>VLOOKUP($B124,'[1]Plant data'!$A$1:$AB$315,8,0)</f>
        <v>9.85</v>
      </c>
      <c r="AA124">
        <f>VLOOKUP($B124,'[1]Plant data'!$A$1:$AB$315,9,0)</f>
        <v>14.4</v>
      </c>
      <c r="AB124">
        <f>VLOOKUP($B124,'[1]Plant data'!$A$1:$AB$315,10,0)</f>
        <v>1.4</v>
      </c>
      <c r="AC124" t="str">
        <f>VLOOKUP($B124,'[1]Plant data'!$A$1:$AB$315,11,0)</f>
        <v>NA</v>
      </c>
      <c r="AD124">
        <f>VLOOKUP($B124,'[1]Plant data'!$A$1:$AB$315,12,0)</f>
        <v>1.1000000000000001</v>
      </c>
      <c r="AE124" t="str">
        <f>VLOOKUP($B124,'[1]Plant data'!$A$1:$AB$315,13,0)</f>
        <v>NA</v>
      </c>
      <c r="AF124" t="str">
        <f>VLOOKUP($B124,'[1]Plant data'!$A$1:$AB$315,14,0)</f>
        <v>NA</v>
      </c>
      <c r="AG124">
        <f>VLOOKUP($B124,'[1]Plant data'!$A$1:$AB$315,15,0)</f>
        <v>3</v>
      </c>
      <c r="AH124" t="str">
        <f>VLOOKUP($B124,'[1]Plant data'!$A$1:$AB$315,16,0)</f>
        <v>NA</v>
      </c>
      <c r="AI124" t="str">
        <f>VLOOKUP($B124,'[1]Plant data'!$A$1:$AB$315,17,0)</f>
        <v>NA</v>
      </c>
      <c r="AJ124" t="str">
        <f>VLOOKUP($B124,'[1]Plant data'!$A$1:$AB$315,18,0)</f>
        <v>ATLANTIC, Intervales_morfo, Correia 1997</v>
      </c>
      <c r="AK124">
        <f>VLOOKUP($B124,'[1]Plant data'!$A$1:$AB$315,19,0)</f>
        <v>0.56000000000000005</v>
      </c>
      <c r="AL124">
        <f>VLOOKUP($B124,'[1]Plant data'!$A$1:$AB$315,20,0)</f>
        <v>0.626</v>
      </c>
      <c r="AM124">
        <f>VLOOKUP($B124,'[1]Plant data'!$A$1:$AB$315,21,0)</f>
        <v>0.11</v>
      </c>
      <c r="AN124" t="str">
        <f>VLOOKUP($B124,'[1]Plant data'!$A$1:$AB$315,22,0)</f>
        <v>NA</v>
      </c>
      <c r="AO124" t="str">
        <f>VLOOKUP($B124,'[1]Plant data'!$A$1:$AB$315,23,0)</f>
        <v>NA</v>
      </c>
      <c r="AP124" t="str">
        <f>VLOOKUP($B124,'[1]Plant data'!$A$1:$AB$315,24,0)</f>
        <v>NA</v>
      </c>
      <c r="AQ124">
        <f>VLOOKUP($B124,'[1]Plant data'!$A$1:$AB$315,25,0)</f>
        <v>0.246</v>
      </c>
      <c r="AR124">
        <f>VLOOKUP($B124,'[1]Plant data'!$A$1:$AB$315,26,0)</f>
        <v>1.7999999999999999E-2</v>
      </c>
      <c r="AS124" t="str">
        <f>VLOOKUP($B124,'[1]Plant data'!$A$1:$AB$315,27,0)</f>
        <v>NA</v>
      </c>
      <c r="AT124" t="str">
        <f>VLOOKUP($B124,'[1]Plant data'!$A$1:$AB$315,28,0)</f>
        <v>Saibadela</v>
      </c>
    </row>
    <row r="125" spans="1:46">
      <c r="A125" s="5" t="s">
        <v>43</v>
      </c>
      <c r="B125" s="14" t="s">
        <v>131</v>
      </c>
      <c r="C125">
        <v>1</v>
      </c>
      <c r="D125">
        <v>21</v>
      </c>
      <c r="E125" s="8">
        <f t="shared" si="10"/>
        <v>4.7619047619047616E-2</v>
      </c>
      <c r="F125" t="s">
        <v>19</v>
      </c>
      <c r="G125" s="41">
        <v>1.3</v>
      </c>
      <c r="H125" s="9"/>
      <c r="I125" s="8">
        <f>E125*G125</f>
        <v>6.1904761904761907E-2</v>
      </c>
      <c r="J125" s="25" t="s">
        <v>255</v>
      </c>
      <c r="K125" s="25" t="s">
        <v>247</v>
      </c>
      <c r="L125" t="s">
        <v>22</v>
      </c>
      <c r="M125" t="s">
        <v>30</v>
      </c>
      <c r="N125" s="11">
        <v>32.5</v>
      </c>
      <c r="O125" s="11">
        <v>8.9205555560000001</v>
      </c>
      <c r="P125" t="s">
        <v>24</v>
      </c>
      <c r="Q125" t="s">
        <v>25</v>
      </c>
      <c r="R125" t="s">
        <v>26</v>
      </c>
      <c r="S125" t="s">
        <v>31</v>
      </c>
      <c r="T125" t="str">
        <f>VLOOKUP(B125,'[1]Plant data'!$A$1:$AB$315,2,0)</f>
        <v>Sapindaceae</v>
      </c>
      <c r="U125" t="str">
        <f>VLOOKUP($B125,'[1]Plant data'!$A$1:$AB$315,3,0)</f>
        <v>NA</v>
      </c>
      <c r="V125" t="str">
        <f>VLOOKUP($B125,'[1]Plant data'!$A$1:$AB$315,4,0)</f>
        <v>multicolor</v>
      </c>
      <c r="W125" t="str">
        <f>VLOOKUP($B125,'[1]Plant data'!$A$1:$AB$315,5,0)</f>
        <v>YES</v>
      </c>
      <c r="X125">
        <f>VLOOKUP($B125,'[1]Plant data'!$A$1:$AB$315,6,0)</f>
        <v>15.476666666666667</v>
      </c>
      <c r="Y125">
        <f>VLOOKUP($B125,'[1]Plant data'!$A$1:$AB$315,7,0)</f>
        <v>20.463333333333335</v>
      </c>
      <c r="Z125">
        <f>VLOOKUP($B125,'[1]Plant data'!$A$1:$AB$315,8,0)</f>
        <v>9.85</v>
      </c>
      <c r="AA125">
        <f>VLOOKUP($B125,'[1]Plant data'!$A$1:$AB$315,9,0)</f>
        <v>14.4</v>
      </c>
      <c r="AB125">
        <f>VLOOKUP($B125,'[1]Plant data'!$A$1:$AB$315,10,0)</f>
        <v>1.4</v>
      </c>
      <c r="AC125" t="str">
        <f>VLOOKUP($B125,'[1]Plant data'!$A$1:$AB$315,11,0)</f>
        <v>NA</v>
      </c>
      <c r="AD125">
        <f>VLOOKUP($B125,'[1]Plant data'!$A$1:$AB$315,12,0)</f>
        <v>1.1000000000000001</v>
      </c>
      <c r="AE125" t="str">
        <f>VLOOKUP($B125,'[1]Plant data'!$A$1:$AB$315,13,0)</f>
        <v>NA</v>
      </c>
      <c r="AF125" t="str">
        <f>VLOOKUP($B125,'[1]Plant data'!$A$1:$AB$315,14,0)</f>
        <v>NA</v>
      </c>
      <c r="AG125">
        <f>VLOOKUP($B125,'[1]Plant data'!$A$1:$AB$315,15,0)</f>
        <v>3</v>
      </c>
      <c r="AH125" t="str">
        <f>VLOOKUP($B125,'[1]Plant data'!$A$1:$AB$315,16,0)</f>
        <v>NA</v>
      </c>
      <c r="AI125" t="str">
        <f>VLOOKUP($B125,'[1]Plant data'!$A$1:$AB$315,17,0)</f>
        <v>NA</v>
      </c>
      <c r="AJ125" t="str">
        <f>VLOOKUP($B125,'[1]Plant data'!$A$1:$AB$315,18,0)</f>
        <v>ATLANTIC, Intervales_morfo, Correia 1997</v>
      </c>
      <c r="AK125">
        <f>VLOOKUP($B125,'[1]Plant data'!$A$1:$AB$315,19,0)</f>
        <v>0.56000000000000005</v>
      </c>
      <c r="AL125">
        <f>VLOOKUP($B125,'[1]Plant data'!$A$1:$AB$315,20,0)</f>
        <v>0.626</v>
      </c>
      <c r="AM125">
        <f>VLOOKUP($B125,'[1]Plant data'!$A$1:$AB$315,21,0)</f>
        <v>0.11</v>
      </c>
      <c r="AN125" t="str">
        <f>VLOOKUP($B125,'[1]Plant data'!$A$1:$AB$315,22,0)</f>
        <v>NA</v>
      </c>
      <c r="AO125" t="str">
        <f>VLOOKUP($B125,'[1]Plant data'!$A$1:$AB$315,23,0)</f>
        <v>NA</v>
      </c>
      <c r="AP125" t="str">
        <f>VLOOKUP($B125,'[1]Plant data'!$A$1:$AB$315,24,0)</f>
        <v>NA</v>
      </c>
      <c r="AQ125">
        <f>VLOOKUP($B125,'[1]Plant data'!$A$1:$AB$315,25,0)</f>
        <v>0.246</v>
      </c>
      <c r="AR125">
        <f>VLOOKUP($B125,'[1]Plant data'!$A$1:$AB$315,26,0)</f>
        <v>1.7999999999999999E-2</v>
      </c>
      <c r="AS125" t="str">
        <f>VLOOKUP($B125,'[1]Plant data'!$A$1:$AB$315,27,0)</f>
        <v>NA</v>
      </c>
      <c r="AT125" t="str">
        <f>VLOOKUP($B125,'[1]Plant data'!$A$1:$AB$315,28,0)</f>
        <v>Saibadela</v>
      </c>
    </row>
    <row r="126" spans="1:46">
      <c r="A126" s="5" t="s">
        <v>46</v>
      </c>
      <c r="B126" s="6" t="s">
        <v>131</v>
      </c>
      <c r="C126">
        <v>8</v>
      </c>
      <c r="D126">
        <v>21</v>
      </c>
      <c r="E126" s="8">
        <f t="shared" si="10"/>
        <v>0.38095238095238093</v>
      </c>
      <c r="F126" t="s">
        <v>19</v>
      </c>
      <c r="G126" s="41">
        <v>1.5</v>
      </c>
      <c r="H126" s="41"/>
      <c r="I126" s="8">
        <f>E126*G126</f>
        <v>0.5714285714285714</v>
      </c>
      <c r="J126" t="s">
        <v>255</v>
      </c>
      <c r="K126" s="25" t="s">
        <v>247</v>
      </c>
      <c r="L126" t="s">
        <v>22</v>
      </c>
      <c r="M126" t="s">
        <v>47</v>
      </c>
      <c r="N126" s="11">
        <v>54</v>
      </c>
      <c r="O126" s="11">
        <v>11.14875</v>
      </c>
      <c r="P126" t="s">
        <v>48</v>
      </c>
      <c r="Q126" t="s">
        <v>49</v>
      </c>
      <c r="R126" t="s">
        <v>26</v>
      </c>
      <c r="S126" t="s">
        <v>31</v>
      </c>
      <c r="T126" t="str">
        <f>VLOOKUP(B126,'[1]Plant data'!$A$1:$AB$315,2,0)</f>
        <v>Sapindaceae</v>
      </c>
      <c r="U126" t="str">
        <f>VLOOKUP($B126,'[1]Plant data'!$A$1:$AB$315,3,0)</f>
        <v>NA</v>
      </c>
      <c r="V126" t="str">
        <f>VLOOKUP($B126,'[1]Plant data'!$A$1:$AB$315,4,0)</f>
        <v>multicolor</v>
      </c>
      <c r="W126" t="str">
        <f>VLOOKUP($B126,'[1]Plant data'!$A$1:$AB$315,5,0)</f>
        <v>YES</v>
      </c>
      <c r="X126">
        <f>VLOOKUP($B126,'[1]Plant data'!$A$1:$AB$315,6,0)</f>
        <v>15.476666666666667</v>
      </c>
      <c r="Y126">
        <f>VLOOKUP($B126,'[1]Plant data'!$A$1:$AB$315,7,0)</f>
        <v>20.463333333333335</v>
      </c>
      <c r="Z126">
        <f>VLOOKUP($B126,'[1]Plant data'!$A$1:$AB$315,8,0)</f>
        <v>9.85</v>
      </c>
      <c r="AA126">
        <f>VLOOKUP($B126,'[1]Plant data'!$A$1:$AB$315,9,0)</f>
        <v>14.4</v>
      </c>
      <c r="AB126">
        <f>VLOOKUP($B126,'[1]Plant data'!$A$1:$AB$315,10,0)</f>
        <v>1.4</v>
      </c>
      <c r="AC126" t="str">
        <f>VLOOKUP($B126,'[1]Plant data'!$A$1:$AB$315,11,0)</f>
        <v>NA</v>
      </c>
      <c r="AD126">
        <f>VLOOKUP($B126,'[1]Plant data'!$A$1:$AB$315,12,0)</f>
        <v>1.1000000000000001</v>
      </c>
      <c r="AE126" t="str">
        <f>VLOOKUP($B126,'[1]Plant data'!$A$1:$AB$315,13,0)</f>
        <v>NA</v>
      </c>
      <c r="AF126" t="str">
        <f>VLOOKUP($B126,'[1]Plant data'!$A$1:$AB$315,14,0)</f>
        <v>NA</v>
      </c>
      <c r="AG126">
        <f>VLOOKUP($B126,'[1]Plant data'!$A$1:$AB$315,15,0)</f>
        <v>3</v>
      </c>
      <c r="AH126" t="str">
        <f>VLOOKUP($B126,'[1]Plant data'!$A$1:$AB$315,16,0)</f>
        <v>NA</v>
      </c>
      <c r="AI126" t="str">
        <f>VLOOKUP($B126,'[1]Plant data'!$A$1:$AB$315,17,0)</f>
        <v>NA</v>
      </c>
      <c r="AJ126" t="str">
        <f>VLOOKUP($B126,'[1]Plant data'!$A$1:$AB$315,18,0)</f>
        <v>ATLANTIC, Intervales_morfo, Correia 1997</v>
      </c>
      <c r="AK126">
        <f>VLOOKUP($B126,'[1]Plant data'!$A$1:$AB$315,19,0)</f>
        <v>0.56000000000000005</v>
      </c>
      <c r="AL126">
        <f>VLOOKUP($B126,'[1]Plant data'!$A$1:$AB$315,20,0)</f>
        <v>0.626</v>
      </c>
      <c r="AM126">
        <f>VLOOKUP($B126,'[1]Plant data'!$A$1:$AB$315,21,0)</f>
        <v>0.11</v>
      </c>
      <c r="AN126" t="str">
        <f>VLOOKUP($B126,'[1]Plant data'!$A$1:$AB$315,22,0)</f>
        <v>NA</v>
      </c>
      <c r="AO126" t="str">
        <f>VLOOKUP($B126,'[1]Plant data'!$A$1:$AB$315,23,0)</f>
        <v>NA</v>
      </c>
      <c r="AP126" t="str">
        <f>VLOOKUP($B126,'[1]Plant data'!$A$1:$AB$315,24,0)</f>
        <v>NA</v>
      </c>
      <c r="AQ126">
        <f>VLOOKUP($B126,'[1]Plant data'!$A$1:$AB$315,25,0)</f>
        <v>0.246</v>
      </c>
      <c r="AR126">
        <f>VLOOKUP($B126,'[1]Plant data'!$A$1:$AB$315,26,0)</f>
        <v>1.7999999999999999E-2</v>
      </c>
      <c r="AS126" t="str">
        <f>VLOOKUP($B126,'[1]Plant data'!$A$1:$AB$315,27,0)</f>
        <v>NA</v>
      </c>
      <c r="AT126" t="str">
        <f>VLOOKUP($B126,'[1]Plant data'!$A$1:$AB$315,28,0)</f>
        <v>Saibadela</v>
      </c>
    </row>
    <row r="127" spans="1:46">
      <c r="A127" s="5" t="s">
        <v>50</v>
      </c>
      <c r="B127" s="14" t="s">
        <v>131</v>
      </c>
      <c r="C127">
        <v>117</v>
      </c>
      <c r="D127" s="7">
        <v>21</v>
      </c>
      <c r="E127" s="23">
        <f t="shared" si="10"/>
        <v>5.5714285714285712</v>
      </c>
      <c r="F127" s="8" t="s">
        <v>19</v>
      </c>
      <c r="G127" s="41">
        <v>1.5</v>
      </c>
      <c r="H127" s="41"/>
      <c r="I127" s="8">
        <f>E127*G127</f>
        <v>8.3571428571428577</v>
      </c>
      <c r="J127" t="s">
        <v>255</v>
      </c>
      <c r="K127" s="25" t="s">
        <v>247</v>
      </c>
      <c r="L127" t="s">
        <v>22</v>
      </c>
      <c r="M127" t="s">
        <v>47</v>
      </c>
      <c r="N127" s="11">
        <v>69.5</v>
      </c>
      <c r="O127" s="11">
        <v>13.253214290000001</v>
      </c>
      <c r="P127" t="s">
        <v>48</v>
      </c>
      <c r="Q127" t="s">
        <v>25</v>
      </c>
      <c r="R127" t="s">
        <v>26</v>
      </c>
      <c r="S127" t="s">
        <v>31</v>
      </c>
      <c r="T127" t="str">
        <f>VLOOKUP(B127,'[1]Plant data'!$A$1:$AB$315,2,0)</f>
        <v>Sapindaceae</v>
      </c>
      <c r="U127" t="str">
        <f>VLOOKUP($B127,'[1]Plant data'!$A$1:$AB$315,3,0)</f>
        <v>NA</v>
      </c>
      <c r="V127" t="str">
        <f>VLOOKUP($B127,'[1]Plant data'!$A$1:$AB$315,4,0)</f>
        <v>multicolor</v>
      </c>
      <c r="W127" t="str">
        <f>VLOOKUP($B127,'[1]Plant data'!$A$1:$AB$315,5,0)</f>
        <v>YES</v>
      </c>
      <c r="X127">
        <f>VLOOKUP($B127,'[1]Plant data'!$A$1:$AB$315,6,0)</f>
        <v>15.476666666666667</v>
      </c>
      <c r="Y127">
        <f>VLOOKUP($B127,'[1]Plant data'!$A$1:$AB$315,7,0)</f>
        <v>20.463333333333335</v>
      </c>
      <c r="Z127">
        <f>VLOOKUP($B127,'[1]Plant data'!$A$1:$AB$315,8,0)</f>
        <v>9.85</v>
      </c>
      <c r="AA127">
        <f>VLOOKUP($B127,'[1]Plant data'!$A$1:$AB$315,9,0)</f>
        <v>14.4</v>
      </c>
      <c r="AB127">
        <f>VLOOKUP($B127,'[1]Plant data'!$A$1:$AB$315,10,0)</f>
        <v>1.4</v>
      </c>
      <c r="AC127" t="str">
        <f>VLOOKUP($B127,'[1]Plant data'!$A$1:$AB$315,11,0)</f>
        <v>NA</v>
      </c>
      <c r="AD127">
        <f>VLOOKUP($B127,'[1]Plant data'!$A$1:$AB$315,12,0)</f>
        <v>1.1000000000000001</v>
      </c>
      <c r="AE127" t="str">
        <f>VLOOKUP($B127,'[1]Plant data'!$A$1:$AB$315,13,0)</f>
        <v>NA</v>
      </c>
      <c r="AF127" t="str">
        <f>VLOOKUP($B127,'[1]Plant data'!$A$1:$AB$315,14,0)</f>
        <v>NA</v>
      </c>
      <c r="AG127">
        <f>VLOOKUP($B127,'[1]Plant data'!$A$1:$AB$315,15,0)</f>
        <v>3</v>
      </c>
      <c r="AH127" t="str">
        <f>VLOOKUP($B127,'[1]Plant data'!$A$1:$AB$315,16,0)</f>
        <v>NA</v>
      </c>
      <c r="AI127" t="str">
        <f>VLOOKUP($B127,'[1]Plant data'!$A$1:$AB$315,17,0)</f>
        <v>NA</v>
      </c>
      <c r="AJ127" t="str">
        <f>VLOOKUP($B127,'[1]Plant data'!$A$1:$AB$315,18,0)</f>
        <v>ATLANTIC, Intervales_morfo, Correia 1997</v>
      </c>
      <c r="AK127">
        <f>VLOOKUP($B127,'[1]Plant data'!$A$1:$AB$315,19,0)</f>
        <v>0.56000000000000005</v>
      </c>
      <c r="AL127">
        <f>VLOOKUP($B127,'[1]Plant data'!$A$1:$AB$315,20,0)</f>
        <v>0.626</v>
      </c>
      <c r="AM127">
        <f>VLOOKUP($B127,'[1]Plant data'!$A$1:$AB$315,21,0)</f>
        <v>0.11</v>
      </c>
      <c r="AN127" t="str">
        <f>VLOOKUP($B127,'[1]Plant data'!$A$1:$AB$315,22,0)</f>
        <v>NA</v>
      </c>
      <c r="AO127" t="str">
        <f>VLOOKUP($B127,'[1]Plant data'!$A$1:$AB$315,23,0)</f>
        <v>NA</v>
      </c>
      <c r="AP127" t="str">
        <f>VLOOKUP($B127,'[1]Plant data'!$A$1:$AB$315,24,0)</f>
        <v>NA</v>
      </c>
      <c r="AQ127">
        <f>VLOOKUP($B127,'[1]Plant data'!$A$1:$AB$315,25,0)</f>
        <v>0.246</v>
      </c>
      <c r="AR127">
        <f>VLOOKUP($B127,'[1]Plant data'!$A$1:$AB$315,26,0)</f>
        <v>1.7999999999999999E-2</v>
      </c>
      <c r="AS127" t="str">
        <f>VLOOKUP($B127,'[1]Plant data'!$A$1:$AB$315,27,0)</f>
        <v>NA</v>
      </c>
      <c r="AT127" t="str">
        <f>VLOOKUP($B127,'[1]Plant data'!$A$1:$AB$315,28,0)</f>
        <v>Saibadela</v>
      </c>
    </row>
    <row r="128" spans="1:46">
      <c r="A128" s="5" t="s">
        <v>41</v>
      </c>
      <c r="B128" s="14" t="s">
        <v>63</v>
      </c>
      <c r="C128">
        <v>3</v>
      </c>
      <c r="D128">
        <v>254</v>
      </c>
      <c r="E128" s="8">
        <f t="shared" si="10"/>
        <v>1.1811023622047244E-2</v>
      </c>
      <c r="F128" t="s">
        <v>19</v>
      </c>
      <c r="G128" s="9" t="s">
        <v>19</v>
      </c>
      <c r="H128" s="9"/>
      <c r="I128" s="8" t="s">
        <v>19</v>
      </c>
      <c r="J128" t="s">
        <v>52</v>
      </c>
      <c r="K128" t="s">
        <v>53</v>
      </c>
      <c r="L128" t="s">
        <v>22</v>
      </c>
      <c r="M128" t="s">
        <v>30</v>
      </c>
      <c r="N128" s="11">
        <v>39</v>
      </c>
      <c r="O128" s="11">
        <v>8.2839869279999991</v>
      </c>
      <c r="P128" t="s">
        <v>24</v>
      </c>
      <c r="Q128" t="s">
        <v>25</v>
      </c>
      <c r="R128" t="s">
        <v>26</v>
      </c>
      <c r="S128" t="s">
        <v>31</v>
      </c>
      <c r="T128" t="str">
        <f>VLOOKUP(B128,'[1]Plant data'!$A$1:$AB$315,2,0)</f>
        <v>Dilleniaceae</v>
      </c>
      <c r="U128" t="str">
        <f>VLOOKUP($B128,'[1]Plant data'!$A$1:$AB$315,3,0)</f>
        <v>NA</v>
      </c>
      <c r="V128" t="str">
        <f>VLOOKUP($B128,'[1]Plant data'!$A$1:$AB$315,4,0)</f>
        <v>multicolor</v>
      </c>
      <c r="W128" t="str">
        <f>VLOOKUP($B128,'[1]Plant data'!$A$1:$AB$315,5,0)</f>
        <v>YES</v>
      </c>
      <c r="X128">
        <f>VLOOKUP($B128,'[1]Plant data'!$A$1:$AB$315,6,0)</f>
        <v>5.5</v>
      </c>
      <c r="Y128">
        <f>VLOOKUP($B128,'[1]Plant data'!$A$1:$AB$315,7,0)</f>
        <v>7.8</v>
      </c>
      <c r="Z128">
        <f>VLOOKUP($B128,'[1]Plant data'!$A$1:$AB$315,8,0)</f>
        <v>3.8</v>
      </c>
      <c r="AA128">
        <f>VLOOKUP($B128,'[1]Plant data'!$A$1:$AB$315,9,0)</f>
        <v>4</v>
      </c>
      <c r="AB128" t="str">
        <f>VLOOKUP($B128,'[1]Plant data'!$A$1:$AB$315,10,0)</f>
        <v>NA</v>
      </c>
      <c r="AC128" t="str">
        <f>VLOOKUP($B128,'[1]Plant data'!$A$1:$AB$315,11,0)</f>
        <v>NA</v>
      </c>
      <c r="AD128" t="str">
        <f>VLOOKUP($B128,'[1]Plant data'!$A$1:$AB$315,12,0)</f>
        <v>NA</v>
      </c>
      <c r="AE128" t="str">
        <f>VLOOKUP($B128,'[1]Plant data'!$A$1:$AB$315,13,0)</f>
        <v>NA</v>
      </c>
      <c r="AF128" t="str">
        <f>VLOOKUP($B128,'[1]Plant data'!$A$1:$AB$315,14,0)</f>
        <v>NA</v>
      </c>
      <c r="AG128">
        <f>VLOOKUP($B128,'[1]Plant data'!$A$1:$AB$315,15,0)</f>
        <v>2</v>
      </c>
      <c r="AH128" t="str">
        <f>VLOOKUP($B128,'[1]Plant data'!$A$1:$AB$315,16,0)</f>
        <v>NA</v>
      </c>
      <c r="AI128" t="str">
        <f>VLOOKUP($B128,'[1]Plant data'!$A$1:$AB$315,17,0)</f>
        <v>NA</v>
      </c>
      <c r="AJ128" t="str">
        <f>VLOOKUP($B128,'[1]Plant data'!$A$1:$AB$315,18,0)</f>
        <v>ATLANTIC, Donatti 2011, Souza 2004</v>
      </c>
      <c r="AK128" t="str">
        <f>VLOOKUP($B128,'[1]Plant data'!$A$1:$AB$315,19,0)</f>
        <v>NA</v>
      </c>
      <c r="AL128" t="str">
        <f>VLOOKUP($B128,'[1]Plant data'!$A$1:$AB$315,20,0)</f>
        <v>NA</v>
      </c>
      <c r="AM128" t="str">
        <f>VLOOKUP($B128,'[1]Plant data'!$A$1:$AB$315,21,0)</f>
        <v>NA</v>
      </c>
      <c r="AN128" t="str">
        <f>VLOOKUP($B128,'[1]Plant data'!$A$1:$AB$315,22,0)</f>
        <v>NA</v>
      </c>
      <c r="AO128" t="str">
        <f>VLOOKUP($B128,'[1]Plant data'!$A$1:$AB$315,23,0)</f>
        <v>NA</v>
      </c>
      <c r="AP128" t="str">
        <f>VLOOKUP($B128,'[1]Plant data'!$A$1:$AB$315,24,0)</f>
        <v>NA</v>
      </c>
      <c r="AQ128" t="str">
        <f>VLOOKUP($B128,'[1]Plant data'!$A$1:$AB$315,25,0)</f>
        <v>NA</v>
      </c>
      <c r="AR128" t="str">
        <f>VLOOKUP($B128,'[1]Plant data'!$A$1:$AB$315,26,0)</f>
        <v>NA</v>
      </c>
      <c r="AS128" t="str">
        <f>VLOOKUP($B128,'[1]Plant data'!$A$1:$AB$315,27,0)</f>
        <v>NA</v>
      </c>
      <c r="AT128" t="str">
        <f>VLOOKUP($B128,'[1]Plant data'!$A$1:$AB$315,28,0)</f>
        <v>NA</v>
      </c>
    </row>
    <row r="129" spans="1:46">
      <c r="A129" s="5" t="s">
        <v>43</v>
      </c>
      <c r="B129" s="15" t="s">
        <v>63</v>
      </c>
      <c r="C129">
        <v>2</v>
      </c>
      <c r="D129">
        <v>254</v>
      </c>
      <c r="E129" s="8">
        <f t="shared" si="10"/>
        <v>7.874015748031496E-3</v>
      </c>
      <c r="F129" t="s">
        <v>19</v>
      </c>
      <c r="G129" s="9" t="s">
        <v>19</v>
      </c>
      <c r="H129" s="9"/>
      <c r="I129" s="8" t="s">
        <v>19</v>
      </c>
      <c r="J129" t="s">
        <v>52</v>
      </c>
      <c r="K129" t="s">
        <v>53</v>
      </c>
      <c r="L129" t="s">
        <v>22</v>
      </c>
      <c r="M129" t="s">
        <v>30</v>
      </c>
      <c r="N129" s="11">
        <v>32.5</v>
      </c>
      <c r="O129" s="11">
        <v>8.9205555560000001</v>
      </c>
      <c r="P129" t="s">
        <v>24</v>
      </c>
      <c r="Q129" t="s">
        <v>25</v>
      </c>
      <c r="R129" t="s">
        <v>26</v>
      </c>
      <c r="S129" t="s">
        <v>31</v>
      </c>
      <c r="T129" t="str">
        <f>VLOOKUP(B129,'[1]Plant data'!$A$1:$AB$315,2,0)</f>
        <v>Dilleniaceae</v>
      </c>
      <c r="U129" t="str">
        <f>VLOOKUP($B129,'[1]Plant data'!$A$1:$AB$315,3,0)</f>
        <v>NA</v>
      </c>
      <c r="V129" t="str">
        <f>VLOOKUP($B129,'[1]Plant data'!$A$1:$AB$315,4,0)</f>
        <v>multicolor</v>
      </c>
      <c r="W129" t="str">
        <f>VLOOKUP($B129,'[1]Plant data'!$A$1:$AB$315,5,0)</f>
        <v>YES</v>
      </c>
      <c r="X129">
        <f>VLOOKUP($B129,'[1]Plant data'!$A$1:$AB$315,6,0)</f>
        <v>5.5</v>
      </c>
      <c r="Y129">
        <f>VLOOKUP($B129,'[1]Plant data'!$A$1:$AB$315,7,0)</f>
        <v>7.8</v>
      </c>
      <c r="Z129">
        <f>VLOOKUP($B129,'[1]Plant data'!$A$1:$AB$315,8,0)</f>
        <v>3.8</v>
      </c>
      <c r="AA129">
        <f>VLOOKUP($B129,'[1]Plant data'!$A$1:$AB$315,9,0)</f>
        <v>4</v>
      </c>
      <c r="AB129" t="str">
        <f>VLOOKUP($B129,'[1]Plant data'!$A$1:$AB$315,10,0)</f>
        <v>NA</v>
      </c>
      <c r="AC129" t="str">
        <f>VLOOKUP($B129,'[1]Plant data'!$A$1:$AB$315,11,0)</f>
        <v>NA</v>
      </c>
      <c r="AD129" t="str">
        <f>VLOOKUP($B129,'[1]Plant data'!$A$1:$AB$315,12,0)</f>
        <v>NA</v>
      </c>
      <c r="AE129" t="str">
        <f>VLOOKUP($B129,'[1]Plant data'!$A$1:$AB$315,13,0)</f>
        <v>NA</v>
      </c>
      <c r="AF129" t="str">
        <f>VLOOKUP($B129,'[1]Plant data'!$A$1:$AB$315,14,0)</f>
        <v>NA</v>
      </c>
      <c r="AG129">
        <f>VLOOKUP($B129,'[1]Plant data'!$A$1:$AB$315,15,0)</f>
        <v>2</v>
      </c>
      <c r="AH129" t="str">
        <f>VLOOKUP($B129,'[1]Plant data'!$A$1:$AB$315,16,0)</f>
        <v>NA</v>
      </c>
      <c r="AI129" t="str">
        <f>VLOOKUP($B129,'[1]Plant data'!$A$1:$AB$315,17,0)</f>
        <v>NA</v>
      </c>
      <c r="AJ129" t="str">
        <f>VLOOKUP($B129,'[1]Plant data'!$A$1:$AB$315,18,0)</f>
        <v>ATLANTIC, Donatti 2011, Souza 2004</v>
      </c>
      <c r="AK129" t="str">
        <f>VLOOKUP($B129,'[1]Plant data'!$A$1:$AB$315,19,0)</f>
        <v>NA</v>
      </c>
      <c r="AL129" t="str">
        <f>VLOOKUP($B129,'[1]Plant data'!$A$1:$AB$315,20,0)</f>
        <v>NA</v>
      </c>
      <c r="AM129" t="str">
        <f>VLOOKUP($B129,'[1]Plant data'!$A$1:$AB$315,21,0)</f>
        <v>NA</v>
      </c>
      <c r="AN129" t="str">
        <f>VLOOKUP($B129,'[1]Plant data'!$A$1:$AB$315,22,0)</f>
        <v>NA</v>
      </c>
      <c r="AO129" t="str">
        <f>VLOOKUP($B129,'[1]Plant data'!$A$1:$AB$315,23,0)</f>
        <v>NA</v>
      </c>
      <c r="AP129" t="str">
        <f>VLOOKUP($B129,'[1]Plant data'!$A$1:$AB$315,24,0)</f>
        <v>NA</v>
      </c>
      <c r="AQ129" t="str">
        <f>VLOOKUP($B129,'[1]Plant data'!$A$1:$AB$315,25,0)</f>
        <v>NA</v>
      </c>
      <c r="AR129" t="str">
        <f>VLOOKUP($B129,'[1]Plant data'!$A$1:$AB$315,26,0)</f>
        <v>NA</v>
      </c>
      <c r="AS129" t="str">
        <f>VLOOKUP($B129,'[1]Plant data'!$A$1:$AB$315,27,0)</f>
        <v>NA</v>
      </c>
      <c r="AT129" t="str">
        <f>VLOOKUP($B129,'[1]Plant data'!$A$1:$AB$315,28,0)</f>
        <v>NA</v>
      </c>
    </row>
    <row r="130" spans="1:46">
      <c r="A130" s="5" t="s">
        <v>50</v>
      </c>
      <c r="B130" s="14" t="s">
        <v>194</v>
      </c>
      <c r="C130">
        <v>1</v>
      </c>
      <c r="D130">
        <v>1</v>
      </c>
      <c r="E130" s="8">
        <f>C130/1</f>
        <v>1</v>
      </c>
      <c r="F130" t="s">
        <v>19</v>
      </c>
      <c r="G130" s="9" t="s">
        <v>19</v>
      </c>
      <c r="H130" s="9"/>
      <c r="I130" s="8" t="s">
        <v>19</v>
      </c>
      <c r="J130" s="25" t="s">
        <v>180</v>
      </c>
      <c r="K130" s="25" t="s">
        <v>181</v>
      </c>
      <c r="L130" t="s">
        <v>22</v>
      </c>
      <c r="M130" t="s">
        <v>47</v>
      </c>
      <c r="N130" s="11">
        <v>69.5</v>
      </c>
      <c r="O130" s="11">
        <v>13.253214290000001</v>
      </c>
      <c r="P130" t="s">
        <v>48</v>
      </c>
      <c r="Q130" t="s">
        <v>25</v>
      </c>
      <c r="R130" t="s">
        <v>26</v>
      </c>
      <c r="S130" t="s">
        <v>31</v>
      </c>
      <c r="T130" t="str">
        <f>VLOOKUP(B130,'[1]Plant data'!$A$1:$AB$315,2,0)</f>
        <v>Lauraceae</v>
      </c>
      <c r="U130" t="str">
        <f>VLOOKUP($B130,'[1]Plant data'!$A$1:$AB$315,3,0)</f>
        <v>NA</v>
      </c>
      <c r="V130" t="str">
        <f>VLOOKUP($B130,'[1]Plant data'!$A$1:$AB$315,4,0)</f>
        <v>black</v>
      </c>
      <c r="W130" t="str">
        <f>VLOOKUP($B130,'[1]Plant data'!$A$1:$AB$315,5,0)</f>
        <v>YES</v>
      </c>
      <c r="X130">
        <f>VLOOKUP($B130,'[1]Plant data'!$A$1:$AB$315,6,0)</f>
        <v>14</v>
      </c>
      <c r="Y130">
        <f>VLOOKUP($B130,'[1]Plant data'!$A$1:$AB$315,7,0)</f>
        <v>20</v>
      </c>
      <c r="Z130">
        <f>VLOOKUP($B130,'[1]Plant data'!$A$1:$AB$315,8,0)</f>
        <v>12.5</v>
      </c>
      <c r="AA130">
        <f>VLOOKUP($B130,'[1]Plant data'!$A$1:$AB$315,9,0)</f>
        <v>18.7</v>
      </c>
      <c r="AB130" t="str">
        <f>VLOOKUP($B130,'[1]Plant data'!$A$1:$AB$315,10,0)</f>
        <v>NA</v>
      </c>
      <c r="AC130" t="str">
        <f>VLOOKUP($B130,'[1]Plant data'!$A$1:$AB$315,11,0)</f>
        <v>NA</v>
      </c>
      <c r="AD130" t="str">
        <f>VLOOKUP($B130,'[1]Plant data'!$A$1:$AB$315,12,0)</f>
        <v>NA</v>
      </c>
      <c r="AE130" t="str">
        <f>VLOOKUP($B130,'[1]Plant data'!$A$1:$AB$315,13,0)</f>
        <v>NA</v>
      </c>
      <c r="AF130" t="str">
        <f>VLOOKUP($B130,'[1]Plant data'!$A$1:$AB$315,14,0)</f>
        <v>NA</v>
      </c>
      <c r="AG130">
        <f>VLOOKUP($B130,'[1]Plant data'!$A$1:$AB$315,15,0)</f>
        <v>1</v>
      </c>
      <c r="AH130" t="str">
        <f>VLOOKUP($B130,'[1]Plant data'!$A$1:$AB$315,16,0)</f>
        <v>NA</v>
      </c>
      <c r="AI130" t="str">
        <f>VLOOKUP($B130,'[1]Plant data'!$A$1:$AB$315,17,0)</f>
        <v>NA</v>
      </c>
      <c r="AJ130" t="str">
        <f>VLOOKUP($B130,'[1]Plant data'!$A$1:$AB$315,18,0)</f>
        <v>ATLANTIC, Intervales_morfo</v>
      </c>
      <c r="AK130" t="str">
        <f>VLOOKUP($B130,'[1]Plant data'!$A$1:$AB$315,19,0)</f>
        <v>NA</v>
      </c>
      <c r="AL130" t="str">
        <f>VLOOKUP($B130,'[1]Plant data'!$A$1:$AB$315,20,0)</f>
        <v>NA</v>
      </c>
      <c r="AM130" t="str">
        <f>VLOOKUP($B130,'[1]Plant data'!$A$1:$AB$315,21,0)</f>
        <v>NA</v>
      </c>
      <c r="AN130" t="str">
        <f>VLOOKUP($B130,'[1]Plant data'!$A$1:$AB$315,22,0)</f>
        <v>NA</v>
      </c>
      <c r="AO130" t="str">
        <f>VLOOKUP($B130,'[1]Plant data'!$A$1:$AB$315,23,0)</f>
        <v>NA</v>
      </c>
      <c r="AP130" t="str">
        <f>VLOOKUP($B130,'[1]Plant data'!$A$1:$AB$315,24,0)</f>
        <v>NA</v>
      </c>
      <c r="AQ130" t="str">
        <f>VLOOKUP($B130,'[1]Plant data'!$A$1:$AB$315,25,0)</f>
        <v>NA</v>
      </c>
      <c r="AR130" t="str">
        <f>VLOOKUP($B130,'[1]Plant data'!$A$1:$AB$315,26,0)</f>
        <v>NA</v>
      </c>
      <c r="AS130" t="str">
        <f>VLOOKUP($B130,'[1]Plant data'!$A$1:$AB$315,27,0)</f>
        <v>NA</v>
      </c>
      <c r="AT130" t="str">
        <f>VLOOKUP($B130,'[1]Plant data'!$A$1:$AB$315,28,0)</f>
        <v>NA</v>
      </c>
    </row>
    <row r="131" spans="1:46">
      <c r="A131" s="5" t="s">
        <v>32</v>
      </c>
      <c r="B131" s="6" t="s">
        <v>34</v>
      </c>
      <c r="C131" s="7">
        <v>7</v>
      </c>
      <c r="D131" s="7">
        <v>22.2</v>
      </c>
      <c r="E131" s="8">
        <f t="shared" ref="E131:E137" si="11">C131/D131</f>
        <v>0.31531531531531531</v>
      </c>
      <c r="F131" t="s">
        <v>19</v>
      </c>
      <c r="G131" s="9" t="s">
        <v>19</v>
      </c>
      <c r="H131" s="9"/>
      <c r="I131" s="8" t="s">
        <v>19</v>
      </c>
      <c r="J131" s="10" t="s">
        <v>20</v>
      </c>
      <c r="K131" t="s">
        <v>21</v>
      </c>
      <c r="L131" t="s">
        <v>22</v>
      </c>
      <c r="M131" t="s">
        <v>30</v>
      </c>
      <c r="N131" s="11">
        <v>18</v>
      </c>
      <c r="O131" s="11">
        <v>5.1684999999999999</v>
      </c>
      <c r="P131" t="s">
        <v>24</v>
      </c>
      <c r="Q131" s="13" t="s">
        <v>25</v>
      </c>
      <c r="R131" s="13" t="s">
        <v>26</v>
      </c>
      <c r="S131" s="13" t="s">
        <v>31</v>
      </c>
      <c r="T131" t="str">
        <f>VLOOKUP(B131,'[1]Plant data'!$A$1:$AB$315,2,0)</f>
        <v>Erythroxylaceae</v>
      </c>
      <c r="U131" t="str">
        <f>VLOOKUP($B131,'[1]Plant data'!$A$1:$AB$315,3,0)</f>
        <v>NA</v>
      </c>
      <c r="V131" t="str">
        <f>VLOOKUP($B131,'[1]Plant data'!$A$1:$AB$315,4,0)</f>
        <v>red</v>
      </c>
      <c r="W131" t="str">
        <f>VLOOKUP($B131,'[1]Plant data'!$A$1:$AB$315,5,0)</f>
        <v>YES</v>
      </c>
      <c r="X131">
        <f>VLOOKUP($B131,'[1]Plant data'!$A$1:$AB$315,6,0)</f>
        <v>5.49</v>
      </c>
      <c r="Y131">
        <f>VLOOKUP($B131,'[1]Plant data'!$A$1:$AB$315,7,0)</f>
        <v>7.51</v>
      </c>
      <c r="Z131">
        <f>VLOOKUP($B131,'[1]Plant data'!$A$1:$AB$315,8,0)</f>
        <v>3.11</v>
      </c>
      <c r="AA131">
        <f>VLOOKUP($B131,'[1]Plant data'!$A$1:$AB$315,9,0)</f>
        <v>6.27</v>
      </c>
      <c r="AB131">
        <f>VLOOKUP($B131,'[1]Plant data'!$A$1:$AB$315,10,0)</f>
        <v>0.16840000000000002</v>
      </c>
      <c r="AC131" t="str">
        <f>VLOOKUP($B131,'[1]Plant data'!$A$1:$AB$315,11,0)</f>
        <v>NA</v>
      </c>
      <c r="AD131">
        <f>VLOOKUP($B131,'[1]Plant data'!$A$1:$AB$315,12,0)</f>
        <v>5.1200000000000002E-2</v>
      </c>
      <c r="AE131">
        <f>VLOOKUP($B131,'[1]Plant data'!$A$1:$AB$315,13,0)</f>
        <v>0.13589999999999999</v>
      </c>
      <c r="AF131">
        <f>VLOOKUP($B131,'[1]Plant data'!$A$1:$AB$315,14,0)</f>
        <v>3.2500000000000001E-2</v>
      </c>
      <c r="AG131">
        <f>VLOOKUP($B131,'[1]Plant data'!$A$1:$AB$315,15,0)</f>
        <v>1</v>
      </c>
      <c r="AH131" t="str">
        <f>VLOOKUP($B131,'[1]Plant data'!$A$1:$AB$315,16,0)</f>
        <v>NA</v>
      </c>
      <c r="AI131">
        <f>VLOOKUP($B131,'[1]Plant data'!$A$1:$AB$315,17,0)</f>
        <v>4.1815384615384614</v>
      </c>
      <c r="AJ131" t="str">
        <f>VLOOKUP($B131,'[1]Plant data'!$A$1:$AB$315,18,0)</f>
        <v>Erica&amp;Wesley</v>
      </c>
      <c r="AK131" t="str">
        <f>VLOOKUP($B131,'[1]Plant data'!$A$1:$AB$315,19,0)</f>
        <v>NA</v>
      </c>
      <c r="AL131">
        <f>VLOOKUP($B131,'[1]Plant data'!$A$1:$AB$315,20,0)</f>
        <v>0.88</v>
      </c>
      <c r="AM131">
        <f>VLOOKUP($B131,'[1]Plant data'!$A$1:$AB$315,21,0)</f>
        <v>8.0000000000000002E-3</v>
      </c>
      <c r="AN131" t="str">
        <f>VLOOKUP($B131,'[1]Plant data'!$A$1:$AB$315,22,0)</f>
        <v>NA</v>
      </c>
      <c r="AO131" t="str">
        <f>VLOOKUP($B131,'[1]Plant data'!$A$1:$AB$315,23,0)</f>
        <v>NA</v>
      </c>
      <c r="AP131" t="str">
        <f>VLOOKUP($B131,'[1]Plant data'!$A$1:$AB$315,24,0)</f>
        <v>NA</v>
      </c>
      <c r="AQ131">
        <f>VLOOKUP($B131,'[1]Plant data'!$A$1:$AB$315,25,0)</f>
        <v>0.04</v>
      </c>
      <c r="AR131">
        <f>VLOOKUP($B131,'[1]Plant data'!$A$1:$AB$315,26,0)</f>
        <v>0.02</v>
      </c>
      <c r="AS131">
        <f>VLOOKUP($B131,'[1]Plant data'!$A$1:$AB$315,27,0)</f>
        <v>0.05</v>
      </c>
      <c r="AT131" t="str">
        <f>VLOOKUP($B131,'[1]Plant data'!$A$1:$AB$315,28,0)</f>
        <v>Camargo 2014</v>
      </c>
    </row>
    <row r="132" spans="1:46">
      <c r="A132" s="5" t="s">
        <v>43</v>
      </c>
      <c r="B132" s="6" t="s">
        <v>34</v>
      </c>
      <c r="C132" s="7">
        <v>3</v>
      </c>
      <c r="D132" s="7">
        <v>22.2</v>
      </c>
      <c r="E132" s="8">
        <f t="shared" si="11"/>
        <v>0.13513513513513514</v>
      </c>
      <c r="F132" t="s">
        <v>19</v>
      </c>
      <c r="G132" s="41">
        <v>7.67</v>
      </c>
      <c r="H132" s="41"/>
      <c r="I132" s="8">
        <f>E132*G132</f>
        <v>1.0364864864864864</v>
      </c>
      <c r="J132" s="10" t="s">
        <v>20</v>
      </c>
      <c r="K132" t="s">
        <v>21</v>
      </c>
      <c r="L132" t="s">
        <v>22</v>
      </c>
      <c r="M132" t="s">
        <v>30</v>
      </c>
      <c r="N132" s="11">
        <v>32.5</v>
      </c>
      <c r="O132" s="11">
        <v>8.9205555560000001</v>
      </c>
      <c r="P132" t="s">
        <v>24</v>
      </c>
      <c r="Q132" t="s">
        <v>25</v>
      </c>
      <c r="R132" t="s">
        <v>26</v>
      </c>
      <c r="S132" t="s">
        <v>31</v>
      </c>
      <c r="T132" t="str">
        <f>VLOOKUP(B132,'[1]Plant data'!$A$1:$AB$315,2,0)</f>
        <v>Erythroxylaceae</v>
      </c>
      <c r="U132" t="str">
        <f>VLOOKUP($B132,'[1]Plant data'!$A$1:$AB$315,3,0)</f>
        <v>NA</v>
      </c>
      <c r="V132" t="str">
        <f>VLOOKUP($B132,'[1]Plant data'!$A$1:$AB$315,4,0)</f>
        <v>red</v>
      </c>
      <c r="W132" t="str">
        <f>VLOOKUP($B132,'[1]Plant data'!$A$1:$AB$315,5,0)</f>
        <v>YES</v>
      </c>
      <c r="X132">
        <f>VLOOKUP($B132,'[1]Plant data'!$A$1:$AB$315,6,0)</f>
        <v>5.49</v>
      </c>
      <c r="Y132">
        <f>VLOOKUP($B132,'[1]Plant data'!$A$1:$AB$315,7,0)</f>
        <v>7.51</v>
      </c>
      <c r="Z132">
        <f>VLOOKUP($B132,'[1]Plant data'!$A$1:$AB$315,8,0)</f>
        <v>3.11</v>
      </c>
      <c r="AA132">
        <f>VLOOKUP($B132,'[1]Plant data'!$A$1:$AB$315,9,0)</f>
        <v>6.27</v>
      </c>
      <c r="AB132">
        <f>VLOOKUP($B132,'[1]Plant data'!$A$1:$AB$315,10,0)</f>
        <v>0.16840000000000002</v>
      </c>
      <c r="AC132" t="str">
        <f>VLOOKUP($B132,'[1]Plant data'!$A$1:$AB$315,11,0)</f>
        <v>NA</v>
      </c>
      <c r="AD132">
        <f>VLOOKUP($B132,'[1]Plant data'!$A$1:$AB$315,12,0)</f>
        <v>5.1200000000000002E-2</v>
      </c>
      <c r="AE132">
        <f>VLOOKUP($B132,'[1]Plant data'!$A$1:$AB$315,13,0)</f>
        <v>0.13589999999999999</v>
      </c>
      <c r="AF132">
        <f>VLOOKUP($B132,'[1]Plant data'!$A$1:$AB$315,14,0)</f>
        <v>3.2500000000000001E-2</v>
      </c>
      <c r="AG132">
        <f>VLOOKUP($B132,'[1]Plant data'!$A$1:$AB$315,15,0)</f>
        <v>1</v>
      </c>
      <c r="AH132" t="str">
        <f>VLOOKUP($B132,'[1]Plant data'!$A$1:$AB$315,16,0)</f>
        <v>NA</v>
      </c>
      <c r="AI132">
        <f>VLOOKUP($B132,'[1]Plant data'!$A$1:$AB$315,17,0)</f>
        <v>4.1815384615384614</v>
      </c>
      <c r="AJ132" t="str">
        <f>VLOOKUP($B132,'[1]Plant data'!$A$1:$AB$315,18,0)</f>
        <v>Erica&amp;Wesley</v>
      </c>
      <c r="AK132" t="str">
        <f>VLOOKUP($B132,'[1]Plant data'!$A$1:$AB$315,19,0)</f>
        <v>NA</v>
      </c>
      <c r="AL132">
        <f>VLOOKUP($B132,'[1]Plant data'!$A$1:$AB$315,20,0)</f>
        <v>0.88</v>
      </c>
      <c r="AM132">
        <f>VLOOKUP($B132,'[1]Plant data'!$A$1:$AB$315,21,0)</f>
        <v>8.0000000000000002E-3</v>
      </c>
      <c r="AN132" t="str">
        <f>VLOOKUP($B132,'[1]Plant data'!$A$1:$AB$315,22,0)</f>
        <v>NA</v>
      </c>
      <c r="AO132" t="str">
        <f>VLOOKUP($B132,'[1]Plant data'!$A$1:$AB$315,23,0)</f>
        <v>NA</v>
      </c>
      <c r="AP132" t="str">
        <f>VLOOKUP($B132,'[1]Plant data'!$A$1:$AB$315,24,0)</f>
        <v>NA</v>
      </c>
      <c r="AQ132">
        <f>VLOOKUP($B132,'[1]Plant data'!$A$1:$AB$315,25,0)</f>
        <v>0.04</v>
      </c>
      <c r="AR132">
        <f>VLOOKUP($B132,'[1]Plant data'!$A$1:$AB$315,26,0)</f>
        <v>0.02</v>
      </c>
      <c r="AS132">
        <f>VLOOKUP($B132,'[1]Plant data'!$A$1:$AB$315,27,0)</f>
        <v>0.05</v>
      </c>
      <c r="AT132" t="str">
        <f>VLOOKUP($B132,'[1]Plant data'!$A$1:$AB$315,28,0)</f>
        <v>Camargo 2014</v>
      </c>
    </row>
    <row r="133" spans="1:46">
      <c r="A133" s="5" t="s">
        <v>46</v>
      </c>
      <c r="B133" s="6" t="s">
        <v>34</v>
      </c>
      <c r="C133" s="7">
        <v>10</v>
      </c>
      <c r="D133" s="7">
        <v>22.2</v>
      </c>
      <c r="E133" s="8">
        <f t="shared" si="11"/>
        <v>0.45045045045045046</v>
      </c>
      <c r="F133" t="s">
        <v>19</v>
      </c>
      <c r="G133" s="41">
        <v>6.4102564102564097</v>
      </c>
      <c r="H133" s="41"/>
      <c r="I133" s="8">
        <f>E133*G133</f>
        <v>2.8875028875028872</v>
      </c>
      <c r="J133" s="10" t="s">
        <v>20</v>
      </c>
      <c r="K133" t="s">
        <v>21</v>
      </c>
      <c r="L133" t="s">
        <v>22</v>
      </c>
      <c r="M133" t="s">
        <v>47</v>
      </c>
      <c r="N133" s="11">
        <v>54</v>
      </c>
      <c r="O133" s="11">
        <v>11.14875</v>
      </c>
      <c r="P133" t="s">
        <v>48</v>
      </c>
      <c r="Q133" t="s">
        <v>49</v>
      </c>
      <c r="R133" t="s">
        <v>26</v>
      </c>
      <c r="S133" t="s">
        <v>31</v>
      </c>
      <c r="T133" t="str">
        <f>VLOOKUP(B133,'[1]Plant data'!$A$1:$AB$315,2,0)</f>
        <v>Erythroxylaceae</v>
      </c>
      <c r="U133" t="str">
        <f>VLOOKUP($B133,'[1]Plant data'!$A$1:$AB$315,3,0)</f>
        <v>NA</v>
      </c>
      <c r="V133" t="str">
        <f>VLOOKUP($B133,'[1]Plant data'!$A$1:$AB$315,4,0)</f>
        <v>red</v>
      </c>
      <c r="W133" t="str">
        <f>VLOOKUP($B133,'[1]Plant data'!$A$1:$AB$315,5,0)</f>
        <v>YES</v>
      </c>
      <c r="X133">
        <f>VLOOKUP($B133,'[1]Plant data'!$A$1:$AB$315,6,0)</f>
        <v>5.49</v>
      </c>
      <c r="Y133">
        <f>VLOOKUP($B133,'[1]Plant data'!$A$1:$AB$315,7,0)</f>
        <v>7.51</v>
      </c>
      <c r="Z133">
        <f>VLOOKUP($B133,'[1]Plant data'!$A$1:$AB$315,8,0)</f>
        <v>3.11</v>
      </c>
      <c r="AA133">
        <f>VLOOKUP($B133,'[1]Plant data'!$A$1:$AB$315,9,0)</f>
        <v>6.27</v>
      </c>
      <c r="AB133">
        <f>VLOOKUP($B133,'[1]Plant data'!$A$1:$AB$315,10,0)</f>
        <v>0.16840000000000002</v>
      </c>
      <c r="AC133" t="str">
        <f>VLOOKUP($B133,'[1]Plant data'!$A$1:$AB$315,11,0)</f>
        <v>NA</v>
      </c>
      <c r="AD133">
        <f>VLOOKUP($B133,'[1]Plant data'!$A$1:$AB$315,12,0)</f>
        <v>5.1200000000000002E-2</v>
      </c>
      <c r="AE133">
        <f>VLOOKUP($B133,'[1]Plant data'!$A$1:$AB$315,13,0)</f>
        <v>0.13589999999999999</v>
      </c>
      <c r="AF133">
        <f>VLOOKUP($B133,'[1]Plant data'!$A$1:$AB$315,14,0)</f>
        <v>3.2500000000000001E-2</v>
      </c>
      <c r="AG133">
        <f>VLOOKUP($B133,'[1]Plant data'!$A$1:$AB$315,15,0)</f>
        <v>1</v>
      </c>
      <c r="AH133" t="str">
        <f>VLOOKUP($B133,'[1]Plant data'!$A$1:$AB$315,16,0)</f>
        <v>NA</v>
      </c>
      <c r="AI133">
        <f>VLOOKUP($B133,'[1]Plant data'!$A$1:$AB$315,17,0)</f>
        <v>4.1815384615384614</v>
      </c>
      <c r="AJ133" t="str">
        <f>VLOOKUP($B133,'[1]Plant data'!$A$1:$AB$315,18,0)</f>
        <v>Erica&amp;Wesley</v>
      </c>
      <c r="AK133" t="str">
        <f>VLOOKUP($B133,'[1]Plant data'!$A$1:$AB$315,19,0)</f>
        <v>NA</v>
      </c>
      <c r="AL133">
        <f>VLOOKUP($B133,'[1]Plant data'!$A$1:$AB$315,20,0)</f>
        <v>0.88</v>
      </c>
      <c r="AM133">
        <f>VLOOKUP($B133,'[1]Plant data'!$A$1:$AB$315,21,0)</f>
        <v>8.0000000000000002E-3</v>
      </c>
      <c r="AN133" t="str">
        <f>VLOOKUP($B133,'[1]Plant data'!$A$1:$AB$315,22,0)</f>
        <v>NA</v>
      </c>
      <c r="AO133" t="str">
        <f>VLOOKUP($B133,'[1]Plant data'!$A$1:$AB$315,23,0)</f>
        <v>NA</v>
      </c>
      <c r="AP133" t="str">
        <f>VLOOKUP($B133,'[1]Plant data'!$A$1:$AB$315,24,0)</f>
        <v>NA</v>
      </c>
      <c r="AQ133">
        <f>VLOOKUP($B133,'[1]Plant data'!$A$1:$AB$315,25,0)</f>
        <v>0.04</v>
      </c>
      <c r="AR133">
        <f>VLOOKUP($B133,'[1]Plant data'!$A$1:$AB$315,26,0)</f>
        <v>0.02</v>
      </c>
      <c r="AS133">
        <f>VLOOKUP($B133,'[1]Plant data'!$A$1:$AB$315,27,0)</f>
        <v>0.05</v>
      </c>
      <c r="AT133" t="str">
        <f>VLOOKUP($B133,'[1]Plant data'!$A$1:$AB$315,28,0)</f>
        <v>Camargo 2014</v>
      </c>
    </row>
    <row r="134" spans="1:46">
      <c r="A134" s="5" t="s">
        <v>90</v>
      </c>
      <c r="B134" s="6" t="s">
        <v>34</v>
      </c>
      <c r="C134" s="25">
        <v>1</v>
      </c>
      <c r="D134" s="25">
        <v>148.5</v>
      </c>
      <c r="E134" s="26">
        <f t="shared" si="11"/>
        <v>6.7340067340067337E-3</v>
      </c>
      <c r="F134" s="25" t="s">
        <v>19</v>
      </c>
      <c r="G134" s="27">
        <v>8</v>
      </c>
      <c r="H134" s="27"/>
      <c r="I134" s="8">
        <f>E134*G134</f>
        <v>5.387205387205387E-2</v>
      </c>
      <c r="J134" s="25" t="s">
        <v>91</v>
      </c>
      <c r="K134" t="s">
        <v>92</v>
      </c>
      <c r="L134" t="s">
        <v>93</v>
      </c>
      <c r="M134" t="s">
        <v>94</v>
      </c>
      <c r="N134" s="11">
        <v>331</v>
      </c>
      <c r="O134" s="11">
        <v>30.7</v>
      </c>
      <c r="P134" t="s">
        <v>48</v>
      </c>
      <c r="Q134" t="s">
        <v>95</v>
      </c>
      <c r="R134" t="s">
        <v>26</v>
      </c>
      <c r="S134" t="s">
        <v>27</v>
      </c>
      <c r="T134" t="str">
        <f>VLOOKUP(B134,'[1]Plant data'!$A$1:$AB$315,2,0)</f>
        <v>Erythroxylaceae</v>
      </c>
      <c r="U134" t="str">
        <f>VLOOKUP($B134,'[1]Plant data'!$A$1:$AB$315,3,0)</f>
        <v>NA</v>
      </c>
      <c r="V134" t="str">
        <f>VLOOKUP($B134,'[1]Plant data'!$A$1:$AB$315,4,0)</f>
        <v>red</v>
      </c>
      <c r="W134" t="str">
        <f>VLOOKUP($B134,'[1]Plant data'!$A$1:$AB$315,5,0)</f>
        <v>YES</v>
      </c>
      <c r="X134">
        <f>VLOOKUP($B134,'[1]Plant data'!$A$1:$AB$315,6,0)</f>
        <v>5.49</v>
      </c>
      <c r="Y134">
        <f>VLOOKUP($B134,'[1]Plant data'!$A$1:$AB$315,7,0)</f>
        <v>7.51</v>
      </c>
      <c r="Z134">
        <f>VLOOKUP($B134,'[1]Plant data'!$A$1:$AB$315,8,0)</f>
        <v>3.11</v>
      </c>
      <c r="AA134">
        <f>VLOOKUP($B134,'[1]Plant data'!$A$1:$AB$315,9,0)</f>
        <v>6.27</v>
      </c>
      <c r="AB134">
        <f>VLOOKUP($B134,'[1]Plant data'!$A$1:$AB$315,10,0)</f>
        <v>0.16840000000000002</v>
      </c>
      <c r="AC134" t="str">
        <f>VLOOKUP($B134,'[1]Plant data'!$A$1:$AB$315,11,0)</f>
        <v>NA</v>
      </c>
      <c r="AD134">
        <f>VLOOKUP($B134,'[1]Plant data'!$A$1:$AB$315,12,0)</f>
        <v>5.1200000000000002E-2</v>
      </c>
      <c r="AE134">
        <f>VLOOKUP($B134,'[1]Plant data'!$A$1:$AB$315,13,0)</f>
        <v>0.13589999999999999</v>
      </c>
      <c r="AF134">
        <f>VLOOKUP($B134,'[1]Plant data'!$A$1:$AB$315,14,0)</f>
        <v>3.2500000000000001E-2</v>
      </c>
      <c r="AG134">
        <f>VLOOKUP($B134,'[1]Plant data'!$A$1:$AB$315,15,0)</f>
        <v>1</v>
      </c>
      <c r="AH134" t="str">
        <f>VLOOKUP($B134,'[1]Plant data'!$A$1:$AB$315,16,0)</f>
        <v>NA</v>
      </c>
      <c r="AI134">
        <f>VLOOKUP($B134,'[1]Plant data'!$A$1:$AB$315,17,0)</f>
        <v>4.1815384615384614</v>
      </c>
      <c r="AJ134" t="str">
        <f>VLOOKUP($B134,'[1]Plant data'!$A$1:$AB$315,18,0)</f>
        <v>Erica&amp;Wesley</v>
      </c>
      <c r="AK134" t="str">
        <f>VLOOKUP($B134,'[1]Plant data'!$A$1:$AB$315,19,0)</f>
        <v>NA</v>
      </c>
      <c r="AL134">
        <f>VLOOKUP($B134,'[1]Plant data'!$A$1:$AB$315,20,0)</f>
        <v>0.88</v>
      </c>
      <c r="AM134">
        <f>VLOOKUP($B134,'[1]Plant data'!$A$1:$AB$315,21,0)</f>
        <v>8.0000000000000002E-3</v>
      </c>
      <c r="AN134" t="str">
        <f>VLOOKUP($B134,'[1]Plant data'!$A$1:$AB$315,22,0)</f>
        <v>NA</v>
      </c>
      <c r="AO134" t="str">
        <f>VLOOKUP($B134,'[1]Plant data'!$A$1:$AB$315,23,0)</f>
        <v>NA</v>
      </c>
      <c r="AP134" t="str">
        <f>VLOOKUP($B134,'[1]Plant data'!$A$1:$AB$315,24,0)</f>
        <v>NA</v>
      </c>
      <c r="AQ134">
        <f>VLOOKUP($B134,'[1]Plant data'!$A$1:$AB$315,25,0)</f>
        <v>0.04</v>
      </c>
      <c r="AR134">
        <f>VLOOKUP($B134,'[1]Plant data'!$A$1:$AB$315,26,0)</f>
        <v>0.02</v>
      </c>
      <c r="AS134">
        <f>VLOOKUP($B134,'[1]Plant data'!$A$1:$AB$315,27,0)</f>
        <v>0.05</v>
      </c>
      <c r="AT134" t="str">
        <f>VLOOKUP($B134,'[1]Plant data'!$A$1:$AB$315,28,0)</f>
        <v>Camargo 2014</v>
      </c>
    </row>
    <row r="135" spans="1:46">
      <c r="A135" s="5" t="s">
        <v>46</v>
      </c>
      <c r="B135" s="6" t="s">
        <v>34</v>
      </c>
      <c r="C135">
        <v>3</v>
      </c>
      <c r="D135" s="25">
        <v>148.5</v>
      </c>
      <c r="E135" s="26">
        <f t="shared" si="11"/>
        <v>2.0202020202020204E-2</v>
      </c>
      <c r="F135" t="s">
        <v>19</v>
      </c>
      <c r="G135" s="9">
        <v>3</v>
      </c>
      <c r="H135" s="9"/>
      <c r="I135" s="8">
        <f>E135*G135</f>
        <v>6.0606060606060608E-2</v>
      </c>
      <c r="J135" s="25" t="s">
        <v>91</v>
      </c>
      <c r="K135" t="s">
        <v>92</v>
      </c>
      <c r="L135" t="s">
        <v>22</v>
      </c>
      <c r="M135" t="s">
        <v>47</v>
      </c>
      <c r="N135" s="11">
        <v>54</v>
      </c>
      <c r="O135" s="11">
        <v>11.14875</v>
      </c>
      <c r="P135" t="s">
        <v>48</v>
      </c>
      <c r="Q135" t="s">
        <v>49</v>
      </c>
      <c r="R135" t="s">
        <v>26</v>
      </c>
      <c r="S135" t="s">
        <v>31</v>
      </c>
      <c r="T135" t="str">
        <f>VLOOKUP(B135,'[1]Plant data'!$A$1:$AB$315,2,0)</f>
        <v>Erythroxylaceae</v>
      </c>
      <c r="U135" t="str">
        <f>VLOOKUP($B135,'[1]Plant data'!$A$1:$AB$315,3,0)</f>
        <v>NA</v>
      </c>
      <c r="V135" t="str">
        <f>VLOOKUP($B135,'[1]Plant data'!$A$1:$AB$315,4,0)</f>
        <v>red</v>
      </c>
      <c r="W135" t="str">
        <f>VLOOKUP($B135,'[1]Plant data'!$A$1:$AB$315,5,0)</f>
        <v>YES</v>
      </c>
      <c r="X135">
        <f>VLOOKUP($B135,'[1]Plant data'!$A$1:$AB$315,6,0)</f>
        <v>5.49</v>
      </c>
      <c r="Y135">
        <f>VLOOKUP($B135,'[1]Plant data'!$A$1:$AB$315,7,0)</f>
        <v>7.51</v>
      </c>
      <c r="Z135">
        <f>VLOOKUP($B135,'[1]Plant data'!$A$1:$AB$315,8,0)</f>
        <v>3.11</v>
      </c>
      <c r="AA135">
        <f>VLOOKUP($B135,'[1]Plant data'!$A$1:$AB$315,9,0)</f>
        <v>6.27</v>
      </c>
      <c r="AB135">
        <f>VLOOKUP($B135,'[1]Plant data'!$A$1:$AB$315,10,0)</f>
        <v>0.16840000000000002</v>
      </c>
      <c r="AC135" t="str">
        <f>VLOOKUP($B135,'[1]Plant data'!$A$1:$AB$315,11,0)</f>
        <v>NA</v>
      </c>
      <c r="AD135">
        <f>VLOOKUP($B135,'[1]Plant data'!$A$1:$AB$315,12,0)</f>
        <v>5.1200000000000002E-2</v>
      </c>
      <c r="AE135">
        <f>VLOOKUP($B135,'[1]Plant data'!$A$1:$AB$315,13,0)</f>
        <v>0.13589999999999999</v>
      </c>
      <c r="AF135">
        <f>VLOOKUP($B135,'[1]Plant data'!$A$1:$AB$315,14,0)</f>
        <v>3.2500000000000001E-2</v>
      </c>
      <c r="AG135">
        <f>VLOOKUP($B135,'[1]Plant data'!$A$1:$AB$315,15,0)</f>
        <v>1</v>
      </c>
      <c r="AH135" t="str">
        <f>VLOOKUP($B135,'[1]Plant data'!$A$1:$AB$315,16,0)</f>
        <v>NA</v>
      </c>
      <c r="AI135">
        <f>VLOOKUP($B135,'[1]Plant data'!$A$1:$AB$315,17,0)</f>
        <v>4.1815384615384614</v>
      </c>
      <c r="AJ135" t="str">
        <f>VLOOKUP($B135,'[1]Plant data'!$A$1:$AB$315,18,0)</f>
        <v>Erica&amp;Wesley</v>
      </c>
      <c r="AK135" t="str">
        <f>VLOOKUP($B135,'[1]Plant data'!$A$1:$AB$315,19,0)</f>
        <v>NA</v>
      </c>
      <c r="AL135">
        <f>VLOOKUP($B135,'[1]Plant data'!$A$1:$AB$315,20,0)</f>
        <v>0.88</v>
      </c>
      <c r="AM135">
        <f>VLOOKUP($B135,'[1]Plant data'!$A$1:$AB$315,21,0)</f>
        <v>8.0000000000000002E-3</v>
      </c>
      <c r="AN135" t="str">
        <f>VLOOKUP($B135,'[1]Plant data'!$A$1:$AB$315,22,0)</f>
        <v>NA</v>
      </c>
      <c r="AO135" t="str">
        <f>VLOOKUP($B135,'[1]Plant data'!$A$1:$AB$315,23,0)</f>
        <v>NA</v>
      </c>
      <c r="AP135" t="str">
        <f>VLOOKUP($B135,'[1]Plant data'!$A$1:$AB$315,24,0)</f>
        <v>NA</v>
      </c>
      <c r="AQ135">
        <f>VLOOKUP($B135,'[1]Plant data'!$A$1:$AB$315,25,0)</f>
        <v>0.04</v>
      </c>
      <c r="AR135">
        <f>VLOOKUP($B135,'[1]Plant data'!$A$1:$AB$315,26,0)</f>
        <v>0.02</v>
      </c>
      <c r="AS135">
        <f>VLOOKUP($B135,'[1]Plant data'!$A$1:$AB$315,27,0)</f>
        <v>0.05</v>
      </c>
      <c r="AT135" t="str">
        <f>VLOOKUP($B135,'[1]Plant data'!$A$1:$AB$315,28,0)</f>
        <v>Camargo 2014</v>
      </c>
    </row>
    <row r="136" spans="1:46">
      <c r="A136" s="5" t="s">
        <v>50</v>
      </c>
      <c r="B136" s="14" t="s">
        <v>34</v>
      </c>
      <c r="C136">
        <v>5</v>
      </c>
      <c r="D136" s="25">
        <v>148.5</v>
      </c>
      <c r="E136" s="26">
        <f t="shared" si="11"/>
        <v>3.3670033670033669E-2</v>
      </c>
      <c r="F136" t="s">
        <v>19</v>
      </c>
      <c r="G136" s="9">
        <v>5</v>
      </c>
      <c r="H136" s="9"/>
      <c r="I136" s="8">
        <f>E136*G136</f>
        <v>0.16835016835016836</v>
      </c>
      <c r="J136" s="25" t="s">
        <v>91</v>
      </c>
      <c r="K136" t="s">
        <v>92</v>
      </c>
      <c r="L136" t="s">
        <v>22</v>
      </c>
      <c r="M136" t="s">
        <v>47</v>
      </c>
      <c r="N136" s="11">
        <v>69.5</v>
      </c>
      <c r="O136" s="11">
        <v>13.253214290000001</v>
      </c>
      <c r="P136" t="s">
        <v>48</v>
      </c>
      <c r="Q136" t="s">
        <v>25</v>
      </c>
      <c r="R136" t="s">
        <v>26</v>
      </c>
      <c r="S136" t="s">
        <v>31</v>
      </c>
      <c r="T136" t="str">
        <f>VLOOKUP(B136,'[1]Plant data'!$A$1:$AB$315,2,0)</f>
        <v>Erythroxylaceae</v>
      </c>
      <c r="U136" t="str">
        <f>VLOOKUP($B136,'[1]Plant data'!$A$1:$AB$315,3,0)</f>
        <v>NA</v>
      </c>
      <c r="V136" t="str">
        <f>VLOOKUP($B136,'[1]Plant data'!$A$1:$AB$315,4,0)</f>
        <v>red</v>
      </c>
      <c r="W136" t="str">
        <f>VLOOKUP($B136,'[1]Plant data'!$A$1:$AB$315,5,0)</f>
        <v>YES</v>
      </c>
      <c r="X136">
        <f>VLOOKUP($B136,'[1]Plant data'!$A$1:$AB$315,6,0)</f>
        <v>5.49</v>
      </c>
      <c r="Y136">
        <f>VLOOKUP($B136,'[1]Plant data'!$A$1:$AB$315,7,0)</f>
        <v>7.51</v>
      </c>
      <c r="Z136">
        <f>VLOOKUP($B136,'[1]Plant data'!$A$1:$AB$315,8,0)</f>
        <v>3.11</v>
      </c>
      <c r="AA136">
        <f>VLOOKUP($B136,'[1]Plant data'!$A$1:$AB$315,9,0)</f>
        <v>6.27</v>
      </c>
      <c r="AB136">
        <f>VLOOKUP($B136,'[1]Plant data'!$A$1:$AB$315,10,0)</f>
        <v>0.16840000000000002</v>
      </c>
      <c r="AC136" t="str">
        <f>VLOOKUP($B136,'[1]Plant data'!$A$1:$AB$315,11,0)</f>
        <v>NA</v>
      </c>
      <c r="AD136">
        <f>VLOOKUP($B136,'[1]Plant data'!$A$1:$AB$315,12,0)</f>
        <v>5.1200000000000002E-2</v>
      </c>
      <c r="AE136">
        <f>VLOOKUP($B136,'[1]Plant data'!$A$1:$AB$315,13,0)</f>
        <v>0.13589999999999999</v>
      </c>
      <c r="AF136">
        <f>VLOOKUP($B136,'[1]Plant data'!$A$1:$AB$315,14,0)</f>
        <v>3.2500000000000001E-2</v>
      </c>
      <c r="AG136">
        <f>VLOOKUP($B136,'[1]Plant data'!$A$1:$AB$315,15,0)</f>
        <v>1</v>
      </c>
      <c r="AH136" t="str">
        <f>VLOOKUP($B136,'[1]Plant data'!$A$1:$AB$315,16,0)</f>
        <v>NA</v>
      </c>
      <c r="AI136">
        <f>VLOOKUP($B136,'[1]Plant data'!$A$1:$AB$315,17,0)</f>
        <v>4.1815384615384614</v>
      </c>
      <c r="AJ136" t="str">
        <f>VLOOKUP($B136,'[1]Plant data'!$A$1:$AB$315,18,0)</f>
        <v>Erica&amp;Wesley</v>
      </c>
      <c r="AK136" t="str">
        <f>VLOOKUP($B136,'[1]Plant data'!$A$1:$AB$315,19,0)</f>
        <v>NA</v>
      </c>
      <c r="AL136">
        <f>VLOOKUP($B136,'[1]Plant data'!$A$1:$AB$315,20,0)</f>
        <v>0.88</v>
      </c>
      <c r="AM136">
        <f>VLOOKUP($B136,'[1]Plant data'!$A$1:$AB$315,21,0)</f>
        <v>8.0000000000000002E-3</v>
      </c>
      <c r="AN136" t="str">
        <f>VLOOKUP($B136,'[1]Plant data'!$A$1:$AB$315,22,0)</f>
        <v>NA</v>
      </c>
      <c r="AO136" t="str">
        <f>VLOOKUP($B136,'[1]Plant data'!$A$1:$AB$315,23,0)</f>
        <v>NA</v>
      </c>
      <c r="AP136" t="str">
        <f>VLOOKUP($B136,'[1]Plant data'!$A$1:$AB$315,24,0)</f>
        <v>NA</v>
      </c>
      <c r="AQ136">
        <f>VLOOKUP($B136,'[1]Plant data'!$A$1:$AB$315,25,0)</f>
        <v>0.04</v>
      </c>
      <c r="AR136">
        <f>VLOOKUP($B136,'[1]Plant data'!$A$1:$AB$315,26,0)</f>
        <v>0.02</v>
      </c>
      <c r="AS136">
        <f>VLOOKUP($B136,'[1]Plant data'!$A$1:$AB$315,27,0)</f>
        <v>0.05</v>
      </c>
      <c r="AT136" t="str">
        <f>VLOOKUP($B136,'[1]Plant data'!$A$1:$AB$315,28,0)</f>
        <v>Camargo 2014</v>
      </c>
    </row>
    <row r="137" spans="1:46">
      <c r="A137" s="5" t="s">
        <v>28</v>
      </c>
      <c r="B137" s="14" t="s">
        <v>267</v>
      </c>
      <c r="C137">
        <v>10</v>
      </c>
      <c r="D137" s="25">
        <v>43.7</v>
      </c>
      <c r="E137" s="8">
        <f t="shared" si="11"/>
        <v>0.22883295194508008</v>
      </c>
      <c r="F137" t="s">
        <v>19</v>
      </c>
      <c r="G137" s="9" t="s">
        <v>19</v>
      </c>
      <c r="H137" s="9"/>
      <c r="I137" s="8" t="s">
        <v>19</v>
      </c>
      <c r="J137" s="25" t="s">
        <v>265</v>
      </c>
      <c r="K137" t="s">
        <v>266</v>
      </c>
      <c r="L137" t="s">
        <v>22</v>
      </c>
      <c r="M137" t="s">
        <v>30</v>
      </c>
      <c r="N137" s="11">
        <v>18</v>
      </c>
      <c r="O137" s="11">
        <v>7.4188405800000004</v>
      </c>
      <c r="P137" t="s">
        <v>24</v>
      </c>
      <c r="Q137" s="13" t="s">
        <v>25</v>
      </c>
      <c r="R137" s="13" t="s">
        <v>26</v>
      </c>
      <c r="S137" s="13" t="s">
        <v>31</v>
      </c>
      <c r="T137" t="str">
        <f>VLOOKUP(B137,'[1]Plant data'!$A$1:$AB$315,2,0)</f>
        <v>Erythroxylaceae</v>
      </c>
      <c r="U137" t="str">
        <f>VLOOKUP($B137,'[1]Plant data'!$A$1:$AB$315,3,0)</f>
        <v>NA</v>
      </c>
      <c r="V137" t="str">
        <f>VLOOKUP($B137,'[1]Plant data'!$A$1:$AB$315,4,0)</f>
        <v>red</v>
      </c>
      <c r="W137" t="str">
        <f>VLOOKUP($B137,'[1]Plant data'!$A$1:$AB$315,5,0)</f>
        <v>YES</v>
      </c>
      <c r="X137">
        <f>VLOOKUP($B137,'[1]Plant data'!$A$1:$AB$315,6,0)</f>
        <v>4</v>
      </c>
      <c r="Y137">
        <f>VLOOKUP($B137,'[1]Plant data'!$A$1:$AB$315,7,0)</f>
        <v>11</v>
      </c>
      <c r="Z137">
        <f>VLOOKUP($B137,'[1]Plant data'!$A$1:$AB$315,8,0)</f>
        <v>4.7</v>
      </c>
      <c r="AA137">
        <f>VLOOKUP($B137,'[1]Plant data'!$A$1:$AB$315,9,0)</f>
        <v>9</v>
      </c>
      <c r="AB137" t="str">
        <f>VLOOKUP($B137,'[1]Plant data'!$A$1:$AB$315,10,0)</f>
        <v>NA</v>
      </c>
      <c r="AC137" t="str">
        <f>VLOOKUP($B137,'[1]Plant data'!$A$1:$AB$315,11,0)</f>
        <v>NA</v>
      </c>
      <c r="AD137" t="str">
        <f>VLOOKUP($B137,'[1]Plant data'!$A$1:$AB$315,12,0)</f>
        <v>NA</v>
      </c>
      <c r="AE137" t="str">
        <f>VLOOKUP($B137,'[1]Plant data'!$A$1:$AB$315,13,0)</f>
        <v>NA</v>
      </c>
      <c r="AF137" t="str">
        <f>VLOOKUP($B137,'[1]Plant data'!$A$1:$AB$315,14,0)</f>
        <v>NA</v>
      </c>
      <c r="AG137" t="str">
        <f>VLOOKUP($B137,'[1]Plant data'!$A$1:$AB$315,15,0)</f>
        <v>NA</v>
      </c>
      <c r="AH137" t="str">
        <f>VLOOKUP($B137,'[1]Plant data'!$A$1:$AB$315,16,0)</f>
        <v>NA</v>
      </c>
      <c r="AI137" t="str">
        <f>VLOOKUP($B137,'[1]Plant data'!$A$1:$AB$315,17,0)</f>
        <v>NA</v>
      </c>
      <c r="AJ137" t="str">
        <f>VLOOKUP($B137,'[1]Plant data'!$A$1:$AB$315,18,0)</f>
        <v>ATLANTIC</v>
      </c>
      <c r="AK137" t="str">
        <f>VLOOKUP($B137,'[1]Plant data'!$A$1:$AB$315,19,0)</f>
        <v>NA</v>
      </c>
      <c r="AL137" t="str">
        <f>VLOOKUP($B137,'[1]Plant data'!$A$1:$AB$315,20,0)</f>
        <v>NA</v>
      </c>
      <c r="AM137" t="str">
        <f>VLOOKUP($B137,'[1]Plant data'!$A$1:$AB$315,21,0)</f>
        <v>NA</v>
      </c>
      <c r="AN137" t="str">
        <f>VLOOKUP($B137,'[1]Plant data'!$A$1:$AB$315,22,0)</f>
        <v>NA</v>
      </c>
      <c r="AO137" t="str">
        <f>VLOOKUP($B137,'[1]Plant data'!$A$1:$AB$315,23,0)</f>
        <v>NA</v>
      </c>
      <c r="AP137" t="str">
        <f>VLOOKUP($B137,'[1]Plant data'!$A$1:$AB$315,24,0)</f>
        <v>NA</v>
      </c>
      <c r="AQ137" t="str">
        <f>VLOOKUP($B137,'[1]Plant data'!$A$1:$AB$315,25,0)</f>
        <v>NA</v>
      </c>
      <c r="AR137" t="str">
        <f>VLOOKUP($B137,'[1]Plant data'!$A$1:$AB$315,26,0)</f>
        <v>NA</v>
      </c>
      <c r="AS137" t="str">
        <f>VLOOKUP($B137,'[1]Plant data'!$A$1:$AB$315,27,0)</f>
        <v>NA</v>
      </c>
      <c r="AT137" t="str">
        <f>VLOOKUP($B137,'[1]Plant data'!$A$1:$AB$315,28,0)</f>
        <v>NA</v>
      </c>
    </row>
    <row r="138" spans="1:46">
      <c r="A138" s="5" t="s">
        <v>43</v>
      </c>
      <c r="B138" s="14" t="s">
        <v>267</v>
      </c>
      <c r="C138">
        <v>60</v>
      </c>
      <c r="D138" s="25">
        <v>43.7</v>
      </c>
      <c r="E138" s="8">
        <f>C138/43.7</f>
        <v>1.3729977116704806</v>
      </c>
      <c r="F138">
        <v>460</v>
      </c>
      <c r="G138" s="9">
        <f>F138/C138</f>
        <v>7.666666666666667</v>
      </c>
      <c r="H138" s="9"/>
      <c r="I138" s="8">
        <f>E138*G138</f>
        <v>10.526315789473685</v>
      </c>
      <c r="J138" s="25" t="s">
        <v>265</v>
      </c>
      <c r="K138" t="s">
        <v>266</v>
      </c>
      <c r="L138" t="s">
        <v>22</v>
      </c>
      <c r="M138" t="s">
        <v>30</v>
      </c>
      <c r="N138" s="11">
        <v>32.5</v>
      </c>
      <c r="O138" s="11">
        <v>8.9205555560000001</v>
      </c>
      <c r="P138" t="s">
        <v>24</v>
      </c>
      <c r="Q138" t="s">
        <v>25</v>
      </c>
      <c r="R138" t="s">
        <v>26</v>
      </c>
      <c r="S138" t="s">
        <v>31</v>
      </c>
      <c r="T138" t="str">
        <f>VLOOKUP(B138,'[1]Plant data'!$A$1:$AB$315,2,0)</f>
        <v>Erythroxylaceae</v>
      </c>
      <c r="U138" t="str">
        <f>VLOOKUP($B138,'[1]Plant data'!$A$1:$AB$315,3,0)</f>
        <v>NA</v>
      </c>
      <c r="V138" t="str">
        <f>VLOOKUP($B138,'[1]Plant data'!$A$1:$AB$315,4,0)</f>
        <v>red</v>
      </c>
      <c r="W138" t="str">
        <f>VLOOKUP($B138,'[1]Plant data'!$A$1:$AB$315,5,0)</f>
        <v>YES</v>
      </c>
      <c r="X138">
        <f>VLOOKUP($B138,'[1]Plant data'!$A$1:$AB$315,6,0)</f>
        <v>4</v>
      </c>
      <c r="Y138">
        <f>VLOOKUP($B138,'[1]Plant data'!$A$1:$AB$315,7,0)</f>
        <v>11</v>
      </c>
      <c r="Z138">
        <f>VLOOKUP($B138,'[1]Plant data'!$A$1:$AB$315,8,0)</f>
        <v>4.7</v>
      </c>
      <c r="AA138">
        <f>VLOOKUP($B138,'[1]Plant data'!$A$1:$AB$315,9,0)</f>
        <v>9</v>
      </c>
      <c r="AB138" t="str">
        <f>VLOOKUP($B138,'[1]Plant data'!$A$1:$AB$315,10,0)</f>
        <v>NA</v>
      </c>
      <c r="AC138" t="str">
        <f>VLOOKUP($B138,'[1]Plant data'!$A$1:$AB$315,11,0)</f>
        <v>NA</v>
      </c>
      <c r="AD138" t="str">
        <f>VLOOKUP($B138,'[1]Plant data'!$A$1:$AB$315,12,0)</f>
        <v>NA</v>
      </c>
      <c r="AE138" t="str">
        <f>VLOOKUP($B138,'[1]Plant data'!$A$1:$AB$315,13,0)</f>
        <v>NA</v>
      </c>
      <c r="AF138" t="str">
        <f>VLOOKUP($B138,'[1]Plant data'!$A$1:$AB$315,14,0)</f>
        <v>NA</v>
      </c>
      <c r="AG138" t="str">
        <f>VLOOKUP($B138,'[1]Plant data'!$A$1:$AB$315,15,0)</f>
        <v>NA</v>
      </c>
      <c r="AH138" t="str">
        <f>VLOOKUP($B138,'[1]Plant data'!$A$1:$AB$315,16,0)</f>
        <v>NA</v>
      </c>
      <c r="AI138" t="str">
        <f>VLOOKUP($B138,'[1]Plant data'!$A$1:$AB$315,17,0)</f>
        <v>NA</v>
      </c>
      <c r="AJ138" t="str">
        <f>VLOOKUP($B138,'[1]Plant data'!$A$1:$AB$315,18,0)</f>
        <v>ATLANTIC</v>
      </c>
      <c r="AK138" t="str">
        <f>VLOOKUP($B138,'[1]Plant data'!$A$1:$AB$315,19,0)</f>
        <v>NA</v>
      </c>
      <c r="AL138" t="str">
        <f>VLOOKUP($B138,'[1]Plant data'!$A$1:$AB$315,20,0)</f>
        <v>NA</v>
      </c>
      <c r="AM138" t="str">
        <f>VLOOKUP($B138,'[1]Plant data'!$A$1:$AB$315,21,0)</f>
        <v>NA</v>
      </c>
      <c r="AN138" t="str">
        <f>VLOOKUP($B138,'[1]Plant data'!$A$1:$AB$315,22,0)</f>
        <v>NA</v>
      </c>
      <c r="AO138" t="str">
        <f>VLOOKUP($B138,'[1]Plant data'!$A$1:$AB$315,23,0)</f>
        <v>NA</v>
      </c>
      <c r="AP138" t="str">
        <f>VLOOKUP($B138,'[1]Plant data'!$A$1:$AB$315,24,0)</f>
        <v>NA</v>
      </c>
      <c r="AQ138" t="str">
        <f>VLOOKUP($B138,'[1]Plant data'!$A$1:$AB$315,25,0)</f>
        <v>NA</v>
      </c>
      <c r="AR138" t="str">
        <f>VLOOKUP($B138,'[1]Plant data'!$A$1:$AB$315,26,0)</f>
        <v>NA</v>
      </c>
      <c r="AS138" t="str">
        <f>VLOOKUP($B138,'[1]Plant data'!$A$1:$AB$315,27,0)</f>
        <v>NA</v>
      </c>
      <c r="AT138" t="str">
        <f>VLOOKUP($B138,'[1]Plant data'!$A$1:$AB$315,28,0)</f>
        <v>NA</v>
      </c>
    </row>
    <row r="139" spans="1:46">
      <c r="A139" s="5" t="s">
        <v>50</v>
      </c>
      <c r="B139" s="14" t="s">
        <v>267</v>
      </c>
      <c r="C139">
        <v>26</v>
      </c>
      <c r="D139" s="25">
        <v>43.7</v>
      </c>
      <c r="E139" s="8">
        <f>C139/43.7</f>
        <v>0.59496567505720821</v>
      </c>
      <c r="F139">
        <v>292</v>
      </c>
      <c r="G139" s="9">
        <f>F139/C139</f>
        <v>11.23076923076923</v>
      </c>
      <c r="H139" s="9"/>
      <c r="I139" s="8">
        <f>E139*G139</f>
        <v>6.6819221967963376</v>
      </c>
      <c r="J139" s="25" t="s">
        <v>265</v>
      </c>
      <c r="K139" t="s">
        <v>266</v>
      </c>
      <c r="L139" t="s">
        <v>22</v>
      </c>
      <c r="M139" t="s">
        <v>47</v>
      </c>
      <c r="N139" s="11">
        <v>69.5</v>
      </c>
      <c r="O139" s="11">
        <v>13.253214290000001</v>
      </c>
      <c r="P139" t="s">
        <v>48</v>
      </c>
      <c r="Q139" t="s">
        <v>25</v>
      </c>
      <c r="R139" t="s">
        <v>26</v>
      </c>
      <c r="S139" t="s">
        <v>31</v>
      </c>
      <c r="T139" t="str">
        <f>VLOOKUP(B139,'[1]Plant data'!$A$1:$AB$315,2,0)</f>
        <v>Erythroxylaceae</v>
      </c>
      <c r="U139" t="str">
        <f>VLOOKUP($B139,'[1]Plant data'!$A$1:$AB$315,3,0)</f>
        <v>NA</v>
      </c>
      <c r="V139" t="str">
        <f>VLOOKUP($B139,'[1]Plant data'!$A$1:$AB$315,4,0)</f>
        <v>red</v>
      </c>
      <c r="W139" t="str">
        <f>VLOOKUP($B139,'[1]Plant data'!$A$1:$AB$315,5,0)</f>
        <v>YES</v>
      </c>
      <c r="X139">
        <f>VLOOKUP($B139,'[1]Plant data'!$A$1:$AB$315,6,0)</f>
        <v>4</v>
      </c>
      <c r="Y139">
        <f>VLOOKUP($B139,'[1]Plant data'!$A$1:$AB$315,7,0)</f>
        <v>11</v>
      </c>
      <c r="Z139">
        <f>VLOOKUP($B139,'[1]Plant data'!$A$1:$AB$315,8,0)</f>
        <v>4.7</v>
      </c>
      <c r="AA139">
        <f>VLOOKUP($B139,'[1]Plant data'!$A$1:$AB$315,9,0)</f>
        <v>9</v>
      </c>
      <c r="AB139" t="str">
        <f>VLOOKUP($B139,'[1]Plant data'!$A$1:$AB$315,10,0)</f>
        <v>NA</v>
      </c>
      <c r="AC139" t="str">
        <f>VLOOKUP($B139,'[1]Plant data'!$A$1:$AB$315,11,0)</f>
        <v>NA</v>
      </c>
      <c r="AD139" t="str">
        <f>VLOOKUP($B139,'[1]Plant data'!$A$1:$AB$315,12,0)</f>
        <v>NA</v>
      </c>
      <c r="AE139" t="str">
        <f>VLOOKUP($B139,'[1]Plant data'!$A$1:$AB$315,13,0)</f>
        <v>NA</v>
      </c>
      <c r="AF139" t="str">
        <f>VLOOKUP($B139,'[1]Plant data'!$A$1:$AB$315,14,0)</f>
        <v>NA</v>
      </c>
      <c r="AG139" t="str">
        <f>VLOOKUP($B139,'[1]Plant data'!$A$1:$AB$315,15,0)</f>
        <v>NA</v>
      </c>
      <c r="AH139" t="str">
        <f>VLOOKUP($B139,'[1]Plant data'!$A$1:$AB$315,16,0)</f>
        <v>NA</v>
      </c>
      <c r="AI139" t="str">
        <f>VLOOKUP($B139,'[1]Plant data'!$A$1:$AB$315,17,0)</f>
        <v>NA</v>
      </c>
      <c r="AJ139" t="str">
        <f>VLOOKUP($B139,'[1]Plant data'!$A$1:$AB$315,18,0)</f>
        <v>ATLANTIC</v>
      </c>
      <c r="AK139" t="str">
        <f>VLOOKUP($B139,'[1]Plant data'!$A$1:$AB$315,19,0)</f>
        <v>NA</v>
      </c>
      <c r="AL139" t="str">
        <f>VLOOKUP($B139,'[1]Plant data'!$A$1:$AB$315,20,0)</f>
        <v>NA</v>
      </c>
      <c r="AM139" t="str">
        <f>VLOOKUP($B139,'[1]Plant data'!$A$1:$AB$315,21,0)</f>
        <v>NA</v>
      </c>
      <c r="AN139" t="str">
        <f>VLOOKUP($B139,'[1]Plant data'!$A$1:$AB$315,22,0)</f>
        <v>NA</v>
      </c>
      <c r="AO139" t="str">
        <f>VLOOKUP($B139,'[1]Plant data'!$A$1:$AB$315,23,0)</f>
        <v>NA</v>
      </c>
      <c r="AP139" t="str">
        <f>VLOOKUP($B139,'[1]Plant data'!$A$1:$AB$315,24,0)</f>
        <v>NA</v>
      </c>
      <c r="AQ139" t="str">
        <f>VLOOKUP($B139,'[1]Plant data'!$A$1:$AB$315,25,0)</f>
        <v>NA</v>
      </c>
      <c r="AR139" t="str">
        <f>VLOOKUP($B139,'[1]Plant data'!$A$1:$AB$315,26,0)</f>
        <v>NA</v>
      </c>
      <c r="AS139" t="str">
        <f>VLOOKUP($B139,'[1]Plant data'!$A$1:$AB$315,27,0)</f>
        <v>NA</v>
      </c>
      <c r="AT139" t="str">
        <f>VLOOKUP($B139,'[1]Plant data'!$A$1:$AB$315,28,0)</f>
        <v>NA</v>
      </c>
    </row>
    <row r="140" spans="1:46">
      <c r="A140" s="5" t="s">
        <v>43</v>
      </c>
      <c r="B140" s="14" t="s">
        <v>188</v>
      </c>
      <c r="C140">
        <v>2</v>
      </c>
      <c r="D140">
        <v>1.3</v>
      </c>
      <c r="E140" s="8">
        <f>C140/1.3</f>
        <v>1.5384615384615383</v>
      </c>
      <c r="F140" t="s">
        <v>19</v>
      </c>
      <c r="G140" s="19" t="s">
        <v>184</v>
      </c>
      <c r="H140" s="19"/>
      <c r="I140" s="8" t="s">
        <v>19</v>
      </c>
      <c r="J140" s="24" t="s">
        <v>180</v>
      </c>
      <c r="K140" s="25" t="s">
        <v>181</v>
      </c>
      <c r="L140" t="s">
        <v>22</v>
      </c>
      <c r="M140" t="s">
        <v>30</v>
      </c>
      <c r="N140" s="11">
        <v>32.5</v>
      </c>
      <c r="O140" s="11">
        <v>8.9205555560000001</v>
      </c>
      <c r="P140" t="s">
        <v>24</v>
      </c>
      <c r="Q140" t="s">
        <v>25</v>
      </c>
      <c r="R140" t="s">
        <v>26</v>
      </c>
      <c r="S140" t="s">
        <v>31</v>
      </c>
      <c r="T140" t="str">
        <f>VLOOKUP(B140,'[1]Plant data'!$A$1:$AB$315,2,0)</f>
        <v>Myrtaceae</v>
      </c>
      <c r="U140" t="str">
        <f>VLOOKUP($B140,'[1]Plant data'!$A$1:$AB$315,3,0)</f>
        <v>Syzygium kurzii</v>
      </c>
      <c r="V140" t="str">
        <f>VLOOKUP($B140,'[1]Plant data'!$A$1:$AB$315,4,0)</f>
        <v>red</v>
      </c>
      <c r="W140" t="str">
        <f>VLOOKUP($B140,'[1]Plant data'!$A$1:$AB$315,5,0)</f>
        <v>YES</v>
      </c>
      <c r="X140">
        <f>VLOOKUP($B140,'[1]Plant data'!$A$1:$AB$315,6,0)</f>
        <v>11</v>
      </c>
      <c r="Y140">
        <f>VLOOKUP($B140,'[1]Plant data'!$A$1:$AB$315,7,0)</f>
        <v>16</v>
      </c>
      <c r="Z140">
        <f>VLOOKUP($B140,'[1]Plant data'!$A$1:$AB$315,8,0)</f>
        <v>10</v>
      </c>
      <c r="AA140">
        <f>VLOOKUP($B140,'[1]Plant data'!$A$1:$AB$315,9,0)</f>
        <v>14</v>
      </c>
      <c r="AB140" t="str">
        <f>VLOOKUP($B140,'[1]Plant data'!$A$1:$AB$315,10,0)</f>
        <v>NA</v>
      </c>
      <c r="AC140" t="str">
        <f>VLOOKUP($B140,'[1]Plant data'!$A$1:$AB$315,11,0)</f>
        <v>NA</v>
      </c>
      <c r="AD140" t="str">
        <f>VLOOKUP($B140,'[1]Plant data'!$A$1:$AB$315,12,0)</f>
        <v>NA</v>
      </c>
      <c r="AE140" t="str">
        <f>VLOOKUP($B140,'[1]Plant data'!$A$1:$AB$315,13,0)</f>
        <v>NA</v>
      </c>
      <c r="AF140" t="str">
        <f>VLOOKUP($B140,'[1]Plant data'!$A$1:$AB$315,14,0)</f>
        <v>NA</v>
      </c>
      <c r="AG140" t="str">
        <f>VLOOKUP($B140,'[1]Plant data'!$A$1:$AB$315,15,0)</f>
        <v>NA</v>
      </c>
      <c r="AH140" t="str">
        <f>VLOOKUP($B140,'[1]Plant data'!$A$1:$AB$315,16,0)</f>
        <v>NA</v>
      </c>
      <c r="AI140" t="str">
        <f>VLOOKUP($B140,'[1]Plant data'!$A$1:$AB$315,17,0)</f>
        <v>NA</v>
      </c>
      <c r="AJ140" t="str">
        <f>VLOOKUP($B140,'[1]Plant data'!$A$1:$AB$315,18,0)</f>
        <v>ATLANTIC</v>
      </c>
      <c r="AK140" t="str">
        <f>VLOOKUP($B140,'[1]Plant data'!$A$1:$AB$315,19,0)</f>
        <v>NA</v>
      </c>
      <c r="AL140" t="str">
        <f>VLOOKUP($B140,'[1]Plant data'!$A$1:$AB$315,20,0)</f>
        <v>NA</v>
      </c>
      <c r="AM140" t="str">
        <f>VLOOKUP($B140,'[1]Plant data'!$A$1:$AB$315,21,0)</f>
        <v>NA</v>
      </c>
      <c r="AN140" t="str">
        <f>VLOOKUP($B140,'[1]Plant data'!$A$1:$AB$315,22,0)</f>
        <v>NA</v>
      </c>
      <c r="AO140" t="str">
        <f>VLOOKUP($B140,'[1]Plant data'!$A$1:$AB$315,23,0)</f>
        <v>NA</v>
      </c>
      <c r="AP140" t="str">
        <f>VLOOKUP($B140,'[1]Plant data'!$A$1:$AB$315,24,0)</f>
        <v>NA</v>
      </c>
      <c r="AQ140" t="str">
        <f>VLOOKUP($B140,'[1]Plant data'!$A$1:$AB$315,25,0)</f>
        <v>NA</v>
      </c>
      <c r="AR140" t="str">
        <f>VLOOKUP($B140,'[1]Plant data'!$A$1:$AB$315,26,0)</f>
        <v>NA</v>
      </c>
      <c r="AS140" t="str">
        <f>VLOOKUP($B140,'[1]Plant data'!$A$1:$AB$315,27,0)</f>
        <v>NA</v>
      </c>
      <c r="AT140" t="str">
        <f>VLOOKUP($B140,'[1]Plant data'!$A$1:$AB$315,28,0)</f>
        <v>NA</v>
      </c>
    </row>
    <row r="141" spans="1:46">
      <c r="A141" s="5" t="s">
        <v>50</v>
      </c>
      <c r="B141" s="14" t="s">
        <v>188</v>
      </c>
      <c r="C141">
        <v>1</v>
      </c>
      <c r="D141">
        <v>1.3</v>
      </c>
      <c r="E141" s="8">
        <f>C141/1.3</f>
        <v>0.76923076923076916</v>
      </c>
      <c r="F141" t="s">
        <v>19</v>
      </c>
      <c r="G141" s="9" t="s">
        <v>19</v>
      </c>
      <c r="H141" s="9"/>
      <c r="I141" s="8" t="s">
        <v>19</v>
      </c>
      <c r="J141" s="25" t="s">
        <v>180</v>
      </c>
      <c r="K141" s="25" t="s">
        <v>181</v>
      </c>
      <c r="L141" t="s">
        <v>22</v>
      </c>
      <c r="M141" t="s">
        <v>47</v>
      </c>
      <c r="N141" s="11">
        <v>69.5</v>
      </c>
      <c r="O141" s="11">
        <v>13.253214290000001</v>
      </c>
      <c r="P141" t="s">
        <v>48</v>
      </c>
      <c r="Q141" t="s">
        <v>25</v>
      </c>
      <c r="R141" t="s">
        <v>26</v>
      </c>
      <c r="S141" t="s">
        <v>31</v>
      </c>
      <c r="T141" t="str">
        <f>VLOOKUP(B141,'[1]Plant data'!$A$1:$AB$315,2,0)</f>
        <v>Myrtaceae</v>
      </c>
      <c r="U141" t="str">
        <f>VLOOKUP($B141,'[1]Plant data'!$A$1:$AB$315,3,0)</f>
        <v>Syzygium kurzii</v>
      </c>
      <c r="V141" t="str">
        <f>VLOOKUP($B141,'[1]Plant data'!$A$1:$AB$315,4,0)</f>
        <v>red</v>
      </c>
      <c r="W141" t="str">
        <f>VLOOKUP($B141,'[1]Plant data'!$A$1:$AB$315,5,0)</f>
        <v>YES</v>
      </c>
      <c r="X141">
        <f>VLOOKUP($B141,'[1]Plant data'!$A$1:$AB$315,6,0)</f>
        <v>11</v>
      </c>
      <c r="Y141">
        <f>VLOOKUP($B141,'[1]Plant data'!$A$1:$AB$315,7,0)</f>
        <v>16</v>
      </c>
      <c r="Z141">
        <f>VLOOKUP($B141,'[1]Plant data'!$A$1:$AB$315,8,0)</f>
        <v>10</v>
      </c>
      <c r="AA141">
        <f>VLOOKUP($B141,'[1]Plant data'!$A$1:$AB$315,9,0)</f>
        <v>14</v>
      </c>
      <c r="AB141" t="str">
        <f>VLOOKUP($B141,'[1]Plant data'!$A$1:$AB$315,10,0)</f>
        <v>NA</v>
      </c>
      <c r="AC141" t="str">
        <f>VLOOKUP($B141,'[1]Plant data'!$A$1:$AB$315,11,0)</f>
        <v>NA</v>
      </c>
      <c r="AD141" t="str">
        <f>VLOOKUP($B141,'[1]Plant data'!$A$1:$AB$315,12,0)</f>
        <v>NA</v>
      </c>
      <c r="AE141" t="str">
        <f>VLOOKUP($B141,'[1]Plant data'!$A$1:$AB$315,13,0)</f>
        <v>NA</v>
      </c>
      <c r="AF141" t="str">
        <f>VLOOKUP($B141,'[1]Plant data'!$A$1:$AB$315,14,0)</f>
        <v>NA</v>
      </c>
      <c r="AG141" t="str">
        <f>VLOOKUP($B141,'[1]Plant data'!$A$1:$AB$315,15,0)</f>
        <v>NA</v>
      </c>
      <c r="AH141" t="str">
        <f>VLOOKUP($B141,'[1]Plant data'!$A$1:$AB$315,16,0)</f>
        <v>NA</v>
      </c>
      <c r="AI141" t="str">
        <f>VLOOKUP($B141,'[1]Plant data'!$A$1:$AB$315,17,0)</f>
        <v>NA</v>
      </c>
      <c r="AJ141" t="str">
        <f>VLOOKUP($B141,'[1]Plant data'!$A$1:$AB$315,18,0)</f>
        <v>ATLANTIC</v>
      </c>
      <c r="AK141" t="str">
        <f>VLOOKUP($B141,'[1]Plant data'!$A$1:$AB$315,19,0)</f>
        <v>NA</v>
      </c>
      <c r="AL141" t="str">
        <f>VLOOKUP($B141,'[1]Plant data'!$A$1:$AB$315,20,0)</f>
        <v>NA</v>
      </c>
      <c r="AM141" t="str">
        <f>VLOOKUP($B141,'[1]Plant data'!$A$1:$AB$315,21,0)</f>
        <v>NA</v>
      </c>
      <c r="AN141" t="str">
        <f>VLOOKUP($B141,'[1]Plant data'!$A$1:$AB$315,22,0)</f>
        <v>NA</v>
      </c>
      <c r="AO141" t="str">
        <f>VLOOKUP($B141,'[1]Plant data'!$A$1:$AB$315,23,0)</f>
        <v>NA</v>
      </c>
      <c r="AP141" t="str">
        <f>VLOOKUP($B141,'[1]Plant data'!$A$1:$AB$315,24,0)</f>
        <v>NA</v>
      </c>
      <c r="AQ141" t="str">
        <f>VLOOKUP($B141,'[1]Plant data'!$A$1:$AB$315,25,0)</f>
        <v>NA</v>
      </c>
      <c r="AR141" t="str">
        <f>VLOOKUP($B141,'[1]Plant data'!$A$1:$AB$315,26,0)</f>
        <v>NA</v>
      </c>
      <c r="AS141" t="str">
        <f>VLOOKUP($B141,'[1]Plant data'!$A$1:$AB$315,27,0)</f>
        <v>NA</v>
      </c>
      <c r="AT141" t="str">
        <f>VLOOKUP($B141,'[1]Plant data'!$A$1:$AB$315,28,0)</f>
        <v>NA</v>
      </c>
    </row>
    <row r="142" spans="1:46">
      <c r="A142" s="21" t="s">
        <v>74</v>
      </c>
      <c r="B142" s="22" t="s">
        <v>138</v>
      </c>
      <c r="C142" s="16" t="s">
        <v>19</v>
      </c>
      <c r="D142" s="16" t="s">
        <v>19</v>
      </c>
      <c r="E142" s="16">
        <v>0.04</v>
      </c>
      <c r="F142" s="16" t="s">
        <v>19</v>
      </c>
      <c r="G142" s="19">
        <v>6.5</v>
      </c>
      <c r="H142" s="19"/>
      <c r="I142" s="8">
        <f t="shared" ref="I142:I174" si="12">E142*G142</f>
        <v>0.26</v>
      </c>
      <c r="J142" s="16" t="s">
        <v>139</v>
      </c>
      <c r="K142" s="16" t="s">
        <v>113</v>
      </c>
      <c r="L142" s="16" t="s">
        <v>22</v>
      </c>
      <c r="M142" s="16" t="s">
        <v>75</v>
      </c>
      <c r="N142" s="17">
        <v>200</v>
      </c>
      <c r="O142" s="17">
        <v>23.614285710000001</v>
      </c>
      <c r="P142" s="16" t="s">
        <v>48</v>
      </c>
      <c r="Q142" s="16" t="s">
        <v>25</v>
      </c>
      <c r="R142" s="16" t="s">
        <v>76</v>
      </c>
      <c r="S142" s="16" t="s">
        <v>27</v>
      </c>
      <c r="T142" t="str">
        <f>VLOOKUP(B142,'[1]Plant data'!$A$1:$AB$315,2,0)</f>
        <v>Myrtaceae</v>
      </c>
      <c r="U142" t="str">
        <f>VLOOKUP($B142,'[1]Plant data'!$A$1:$AB$315,3,0)</f>
        <v>NA</v>
      </c>
      <c r="V142" t="str">
        <f>VLOOKUP($B142,'[1]Plant data'!$A$1:$AB$315,4,0)</f>
        <v>black</v>
      </c>
      <c r="W142" t="str">
        <f>VLOOKUP($B142,'[1]Plant data'!$A$1:$AB$315,5,0)</f>
        <v>YES</v>
      </c>
      <c r="X142">
        <f>VLOOKUP($B142,'[1]Plant data'!$A$1:$AB$315,6,0)</f>
        <v>12.12</v>
      </c>
      <c r="Y142">
        <f>VLOOKUP($B142,'[1]Plant data'!$A$1:$AB$315,7,0)</f>
        <v>14.95</v>
      </c>
      <c r="Z142">
        <f>VLOOKUP($B142,'[1]Plant data'!$A$1:$AB$315,8,0)</f>
        <v>9.1300000000000008</v>
      </c>
      <c r="AA142">
        <f>VLOOKUP($B142,'[1]Plant data'!$A$1:$AB$315,9,0)</f>
        <v>12.06</v>
      </c>
      <c r="AB142">
        <f>VLOOKUP($B142,'[1]Plant data'!$A$1:$AB$315,10,0)</f>
        <v>1.38</v>
      </c>
      <c r="AC142">
        <f>VLOOKUP($B142,'[1]Plant data'!$A$1:$AB$315,11,0)</f>
        <v>0.78</v>
      </c>
      <c r="AD142">
        <f>VLOOKUP($B142,'[1]Plant data'!$A$1:$AB$315,12,0)</f>
        <v>0.6</v>
      </c>
      <c r="AE142">
        <f>VLOOKUP($B142,'[1]Plant data'!$A$1:$AB$315,13,0)</f>
        <v>0.26</v>
      </c>
      <c r="AF142" t="str">
        <f>VLOOKUP($B142,'[1]Plant data'!$A$1:$AB$315,14,0)</f>
        <v>NA</v>
      </c>
      <c r="AG142">
        <f>VLOOKUP($B142,'[1]Plant data'!$A$1:$AB$315,15,0)</f>
        <v>1.1599999999999999</v>
      </c>
      <c r="AH142" t="str">
        <f>VLOOKUP($B142,'[1]Plant data'!$A$1:$AB$315,16,0)</f>
        <v>NA</v>
      </c>
      <c r="AI142">
        <f>VLOOKUP($B142,'[1]Plant data'!$A$1:$AB$315,17,0)</f>
        <v>0.43333333333333335</v>
      </c>
      <c r="AJ142" t="str">
        <f>VLOOKUP($B142,'[1]Plant data'!$A$1:$AB$315,18,0)</f>
        <v>Cazetta 2007</v>
      </c>
      <c r="AK142">
        <f>VLOOKUP($B142,'[1]Plant data'!$A$1:$AB$315,19,0)</f>
        <v>0.52854999999999996</v>
      </c>
      <c r="AL142">
        <f>VLOOKUP($B142,'[1]Plant data'!$A$1:$AB$315,20,0)</f>
        <v>3.8650000000000004E-2</v>
      </c>
      <c r="AM142">
        <f>VLOOKUP($B142,'[1]Plant data'!$A$1:$AB$315,21,0)</f>
        <v>3.5799999999999998E-2</v>
      </c>
      <c r="AN142">
        <f>VLOOKUP($B142,'[1]Plant data'!$A$1:$AB$315,22,0)</f>
        <v>7.6350000000000001E-2</v>
      </c>
      <c r="AO142" t="str">
        <f>VLOOKUP($B142,'[1]Plant data'!$A$1:$AB$315,23,0)</f>
        <v>NA</v>
      </c>
      <c r="AP142" t="str">
        <f>VLOOKUP($B142,'[1]Plant data'!$A$1:$AB$315,24,0)</f>
        <v>NA</v>
      </c>
      <c r="AQ142" t="str">
        <f>VLOOKUP($B142,'[1]Plant data'!$A$1:$AB$315,25,0)</f>
        <v>NA</v>
      </c>
      <c r="AR142" t="str">
        <f>VLOOKUP($B142,'[1]Plant data'!$A$1:$AB$315,26,0)</f>
        <v>NA</v>
      </c>
      <c r="AS142" t="str">
        <f>VLOOKUP($B142,'[1]Plant data'!$A$1:$AB$315,27,0)</f>
        <v>NA</v>
      </c>
      <c r="AT142" t="str">
        <f>VLOOKUP($B142,'[1]Plant data'!$A$1:$AB$315,28,0)</f>
        <v>Cazetta 2007, Gomes et al. 2010</v>
      </c>
    </row>
    <row r="143" spans="1:46">
      <c r="A143" s="21" t="s">
        <v>41</v>
      </c>
      <c r="B143" s="22" t="s">
        <v>138</v>
      </c>
      <c r="C143" s="16" t="s">
        <v>19</v>
      </c>
      <c r="D143" s="16" t="s">
        <v>19</v>
      </c>
      <c r="E143" s="23">
        <v>0.05</v>
      </c>
      <c r="F143" s="16" t="s">
        <v>19</v>
      </c>
      <c r="G143" s="19">
        <v>3.3</v>
      </c>
      <c r="H143" s="19"/>
      <c r="I143" s="8">
        <f t="shared" si="12"/>
        <v>0.16500000000000001</v>
      </c>
      <c r="J143" s="16" t="s">
        <v>140</v>
      </c>
      <c r="K143" s="16" t="s">
        <v>113</v>
      </c>
      <c r="L143" s="16" t="s">
        <v>22</v>
      </c>
      <c r="M143" s="16" t="s">
        <v>30</v>
      </c>
      <c r="N143" s="17">
        <v>39</v>
      </c>
      <c r="O143" s="17">
        <v>8.2839869279999991</v>
      </c>
      <c r="P143" s="16" t="s">
        <v>24</v>
      </c>
      <c r="Q143" s="16" t="s">
        <v>25</v>
      </c>
      <c r="R143" s="16" t="s">
        <v>26</v>
      </c>
      <c r="S143" s="16" t="s">
        <v>31</v>
      </c>
      <c r="T143" t="str">
        <f>VLOOKUP(B143,'[1]Plant data'!$A$1:$AB$315,2,0)</f>
        <v>Myrtaceae</v>
      </c>
      <c r="U143" t="str">
        <f>VLOOKUP($B143,'[1]Plant data'!$A$1:$AB$315,3,0)</f>
        <v>NA</v>
      </c>
      <c r="V143" t="str">
        <f>VLOOKUP($B143,'[1]Plant data'!$A$1:$AB$315,4,0)</f>
        <v>black</v>
      </c>
      <c r="W143" t="str">
        <f>VLOOKUP($B143,'[1]Plant data'!$A$1:$AB$315,5,0)</f>
        <v>YES</v>
      </c>
      <c r="X143">
        <f>VLOOKUP($B143,'[1]Plant data'!$A$1:$AB$315,6,0)</f>
        <v>12.12</v>
      </c>
      <c r="Y143">
        <f>VLOOKUP($B143,'[1]Plant data'!$A$1:$AB$315,7,0)</f>
        <v>14.95</v>
      </c>
      <c r="Z143">
        <f>VLOOKUP($B143,'[1]Plant data'!$A$1:$AB$315,8,0)</f>
        <v>9.1300000000000008</v>
      </c>
      <c r="AA143">
        <f>VLOOKUP($B143,'[1]Plant data'!$A$1:$AB$315,9,0)</f>
        <v>12.06</v>
      </c>
      <c r="AB143">
        <f>VLOOKUP($B143,'[1]Plant data'!$A$1:$AB$315,10,0)</f>
        <v>1.38</v>
      </c>
      <c r="AC143">
        <f>VLOOKUP($B143,'[1]Plant data'!$A$1:$AB$315,11,0)</f>
        <v>0.78</v>
      </c>
      <c r="AD143">
        <f>VLOOKUP($B143,'[1]Plant data'!$A$1:$AB$315,12,0)</f>
        <v>0.6</v>
      </c>
      <c r="AE143">
        <f>VLOOKUP($B143,'[1]Plant data'!$A$1:$AB$315,13,0)</f>
        <v>0.26</v>
      </c>
      <c r="AF143" t="str">
        <f>VLOOKUP($B143,'[1]Plant data'!$A$1:$AB$315,14,0)</f>
        <v>NA</v>
      </c>
      <c r="AG143">
        <f>VLOOKUP($B143,'[1]Plant data'!$A$1:$AB$315,15,0)</f>
        <v>1.1599999999999999</v>
      </c>
      <c r="AH143" t="str">
        <f>VLOOKUP($B143,'[1]Plant data'!$A$1:$AB$315,16,0)</f>
        <v>NA</v>
      </c>
      <c r="AI143">
        <f>VLOOKUP($B143,'[1]Plant data'!$A$1:$AB$315,17,0)</f>
        <v>0.43333333333333335</v>
      </c>
      <c r="AJ143" t="str">
        <f>VLOOKUP($B143,'[1]Plant data'!$A$1:$AB$315,18,0)</f>
        <v>Cazetta 2007</v>
      </c>
      <c r="AK143">
        <f>VLOOKUP($B143,'[1]Plant data'!$A$1:$AB$315,19,0)</f>
        <v>0.52854999999999996</v>
      </c>
      <c r="AL143">
        <f>VLOOKUP($B143,'[1]Plant data'!$A$1:$AB$315,20,0)</f>
        <v>3.8650000000000004E-2</v>
      </c>
      <c r="AM143">
        <f>VLOOKUP($B143,'[1]Plant data'!$A$1:$AB$315,21,0)</f>
        <v>3.5799999999999998E-2</v>
      </c>
      <c r="AN143">
        <f>VLOOKUP($B143,'[1]Plant data'!$A$1:$AB$315,22,0)</f>
        <v>7.6350000000000001E-2</v>
      </c>
      <c r="AO143" t="str">
        <f>VLOOKUP($B143,'[1]Plant data'!$A$1:$AB$315,23,0)</f>
        <v>NA</v>
      </c>
      <c r="AP143" t="str">
        <f>VLOOKUP($B143,'[1]Plant data'!$A$1:$AB$315,24,0)</f>
        <v>NA</v>
      </c>
      <c r="AQ143" t="str">
        <f>VLOOKUP($B143,'[1]Plant data'!$A$1:$AB$315,25,0)</f>
        <v>NA</v>
      </c>
      <c r="AR143" t="str">
        <f>VLOOKUP($B143,'[1]Plant data'!$A$1:$AB$315,26,0)</f>
        <v>NA</v>
      </c>
      <c r="AS143" t="str">
        <f>VLOOKUP($B143,'[1]Plant data'!$A$1:$AB$315,27,0)</f>
        <v>NA</v>
      </c>
      <c r="AT143" t="str">
        <f>VLOOKUP($B143,'[1]Plant data'!$A$1:$AB$315,28,0)</f>
        <v>Cazetta 2007, Gomes et al. 2010</v>
      </c>
    </row>
    <row r="144" spans="1:46">
      <c r="A144" s="5" t="s">
        <v>43</v>
      </c>
      <c r="B144" s="14" t="s">
        <v>138</v>
      </c>
      <c r="C144" s="16" t="s">
        <v>19</v>
      </c>
      <c r="D144" s="16" t="s">
        <v>19</v>
      </c>
      <c r="E144" s="8">
        <v>0.65</v>
      </c>
      <c r="F144" s="16" t="s">
        <v>19</v>
      </c>
      <c r="G144" s="9">
        <v>4</v>
      </c>
      <c r="H144" s="9"/>
      <c r="I144" s="8">
        <f t="shared" si="12"/>
        <v>2.6</v>
      </c>
      <c r="J144" s="16" t="s">
        <v>140</v>
      </c>
      <c r="K144" s="16" t="s">
        <v>113</v>
      </c>
      <c r="L144" t="s">
        <v>22</v>
      </c>
      <c r="M144" t="s">
        <v>30</v>
      </c>
      <c r="N144" s="11">
        <v>32.5</v>
      </c>
      <c r="O144" s="11">
        <v>8.9205555560000001</v>
      </c>
      <c r="P144" t="s">
        <v>24</v>
      </c>
      <c r="Q144" t="s">
        <v>25</v>
      </c>
      <c r="R144" t="s">
        <v>26</v>
      </c>
      <c r="S144" t="s">
        <v>31</v>
      </c>
      <c r="T144" t="str">
        <f>VLOOKUP(B144,'[1]Plant data'!$A$1:$AB$315,2,0)</f>
        <v>Myrtaceae</v>
      </c>
      <c r="U144" t="str">
        <f>VLOOKUP($B144,'[1]Plant data'!$A$1:$AB$315,3,0)</f>
        <v>NA</v>
      </c>
      <c r="V144" t="str">
        <f>VLOOKUP($B144,'[1]Plant data'!$A$1:$AB$315,4,0)</f>
        <v>black</v>
      </c>
      <c r="W144" t="str">
        <f>VLOOKUP($B144,'[1]Plant data'!$A$1:$AB$315,5,0)</f>
        <v>YES</v>
      </c>
      <c r="X144">
        <f>VLOOKUP($B144,'[1]Plant data'!$A$1:$AB$315,6,0)</f>
        <v>12.12</v>
      </c>
      <c r="Y144">
        <f>VLOOKUP($B144,'[1]Plant data'!$A$1:$AB$315,7,0)</f>
        <v>14.95</v>
      </c>
      <c r="Z144">
        <f>VLOOKUP($B144,'[1]Plant data'!$A$1:$AB$315,8,0)</f>
        <v>9.1300000000000008</v>
      </c>
      <c r="AA144">
        <f>VLOOKUP($B144,'[1]Plant data'!$A$1:$AB$315,9,0)</f>
        <v>12.06</v>
      </c>
      <c r="AB144">
        <f>VLOOKUP($B144,'[1]Plant data'!$A$1:$AB$315,10,0)</f>
        <v>1.38</v>
      </c>
      <c r="AC144">
        <f>VLOOKUP($B144,'[1]Plant data'!$A$1:$AB$315,11,0)</f>
        <v>0.78</v>
      </c>
      <c r="AD144">
        <f>VLOOKUP($B144,'[1]Plant data'!$A$1:$AB$315,12,0)</f>
        <v>0.6</v>
      </c>
      <c r="AE144">
        <f>VLOOKUP($B144,'[1]Plant data'!$A$1:$AB$315,13,0)</f>
        <v>0.26</v>
      </c>
      <c r="AF144" t="str">
        <f>VLOOKUP($B144,'[1]Plant data'!$A$1:$AB$315,14,0)</f>
        <v>NA</v>
      </c>
      <c r="AG144">
        <f>VLOOKUP($B144,'[1]Plant data'!$A$1:$AB$315,15,0)</f>
        <v>1.1599999999999999</v>
      </c>
      <c r="AH144" t="str">
        <f>VLOOKUP($B144,'[1]Plant data'!$A$1:$AB$315,16,0)</f>
        <v>NA</v>
      </c>
      <c r="AI144">
        <f>VLOOKUP($B144,'[1]Plant data'!$A$1:$AB$315,17,0)</f>
        <v>0.43333333333333335</v>
      </c>
      <c r="AJ144" t="str">
        <f>VLOOKUP($B144,'[1]Plant data'!$A$1:$AB$315,18,0)</f>
        <v>Cazetta 2007</v>
      </c>
      <c r="AK144">
        <f>VLOOKUP($B144,'[1]Plant data'!$A$1:$AB$315,19,0)</f>
        <v>0.52854999999999996</v>
      </c>
      <c r="AL144">
        <f>VLOOKUP($B144,'[1]Plant data'!$A$1:$AB$315,20,0)</f>
        <v>3.8650000000000004E-2</v>
      </c>
      <c r="AM144">
        <f>VLOOKUP($B144,'[1]Plant data'!$A$1:$AB$315,21,0)</f>
        <v>3.5799999999999998E-2</v>
      </c>
      <c r="AN144">
        <f>VLOOKUP($B144,'[1]Plant data'!$A$1:$AB$315,22,0)</f>
        <v>7.6350000000000001E-2</v>
      </c>
      <c r="AO144" t="str">
        <f>VLOOKUP($B144,'[1]Plant data'!$A$1:$AB$315,23,0)</f>
        <v>NA</v>
      </c>
      <c r="AP144" t="str">
        <f>VLOOKUP($B144,'[1]Plant data'!$A$1:$AB$315,24,0)</f>
        <v>NA</v>
      </c>
      <c r="AQ144" t="str">
        <f>VLOOKUP($B144,'[1]Plant data'!$A$1:$AB$315,25,0)</f>
        <v>NA</v>
      </c>
      <c r="AR144" t="str">
        <f>VLOOKUP($B144,'[1]Plant data'!$A$1:$AB$315,26,0)</f>
        <v>NA</v>
      </c>
      <c r="AS144" t="str">
        <f>VLOOKUP($B144,'[1]Plant data'!$A$1:$AB$315,27,0)</f>
        <v>NA</v>
      </c>
      <c r="AT144" t="str">
        <f>VLOOKUP($B144,'[1]Plant data'!$A$1:$AB$315,28,0)</f>
        <v>Cazetta 2007, Gomes et al. 2010</v>
      </c>
    </row>
    <row r="145" spans="1:46">
      <c r="A145" s="21" t="s">
        <v>46</v>
      </c>
      <c r="B145" s="22" t="s">
        <v>138</v>
      </c>
      <c r="C145" s="16" t="s">
        <v>19</v>
      </c>
      <c r="D145" s="16" t="s">
        <v>19</v>
      </c>
      <c r="E145" s="23">
        <v>0.13</v>
      </c>
      <c r="F145" s="16" t="s">
        <v>19</v>
      </c>
      <c r="G145" s="19">
        <v>4</v>
      </c>
      <c r="H145" s="19"/>
      <c r="I145" s="8">
        <f t="shared" si="12"/>
        <v>0.52</v>
      </c>
      <c r="J145" s="16" t="s">
        <v>140</v>
      </c>
      <c r="K145" s="16" t="s">
        <v>113</v>
      </c>
      <c r="L145" s="16" t="s">
        <v>22</v>
      </c>
      <c r="M145" s="16" t="s">
        <v>47</v>
      </c>
      <c r="N145" s="17">
        <v>54</v>
      </c>
      <c r="O145" s="17">
        <v>11.14875</v>
      </c>
      <c r="P145" s="16" t="s">
        <v>48</v>
      </c>
      <c r="Q145" s="16" t="s">
        <v>49</v>
      </c>
      <c r="R145" s="16" t="s">
        <v>26</v>
      </c>
      <c r="S145" s="16" t="s">
        <v>31</v>
      </c>
      <c r="T145" t="str">
        <f>VLOOKUP(B145,'[1]Plant data'!$A$1:$AB$315,2,0)</f>
        <v>Myrtaceae</v>
      </c>
      <c r="U145" t="str">
        <f>VLOOKUP($B145,'[1]Plant data'!$A$1:$AB$315,3,0)</f>
        <v>NA</v>
      </c>
      <c r="V145" t="str">
        <f>VLOOKUP($B145,'[1]Plant data'!$A$1:$AB$315,4,0)</f>
        <v>black</v>
      </c>
      <c r="W145" t="str">
        <f>VLOOKUP($B145,'[1]Plant data'!$A$1:$AB$315,5,0)</f>
        <v>YES</v>
      </c>
      <c r="X145">
        <f>VLOOKUP($B145,'[1]Plant data'!$A$1:$AB$315,6,0)</f>
        <v>12.12</v>
      </c>
      <c r="Y145">
        <f>VLOOKUP($B145,'[1]Plant data'!$A$1:$AB$315,7,0)</f>
        <v>14.95</v>
      </c>
      <c r="Z145">
        <f>VLOOKUP($B145,'[1]Plant data'!$A$1:$AB$315,8,0)</f>
        <v>9.1300000000000008</v>
      </c>
      <c r="AA145">
        <f>VLOOKUP($B145,'[1]Plant data'!$A$1:$AB$315,9,0)</f>
        <v>12.06</v>
      </c>
      <c r="AB145">
        <f>VLOOKUP($B145,'[1]Plant data'!$A$1:$AB$315,10,0)</f>
        <v>1.38</v>
      </c>
      <c r="AC145">
        <f>VLOOKUP($B145,'[1]Plant data'!$A$1:$AB$315,11,0)</f>
        <v>0.78</v>
      </c>
      <c r="AD145">
        <f>VLOOKUP($B145,'[1]Plant data'!$A$1:$AB$315,12,0)</f>
        <v>0.6</v>
      </c>
      <c r="AE145">
        <f>VLOOKUP($B145,'[1]Plant data'!$A$1:$AB$315,13,0)</f>
        <v>0.26</v>
      </c>
      <c r="AF145" t="str">
        <f>VLOOKUP($B145,'[1]Plant data'!$A$1:$AB$315,14,0)</f>
        <v>NA</v>
      </c>
      <c r="AG145">
        <f>VLOOKUP($B145,'[1]Plant data'!$A$1:$AB$315,15,0)</f>
        <v>1.1599999999999999</v>
      </c>
      <c r="AH145" t="str">
        <f>VLOOKUP($B145,'[1]Plant data'!$A$1:$AB$315,16,0)</f>
        <v>NA</v>
      </c>
      <c r="AI145">
        <f>VLOOKUP($B145,'[1]Plant data'!$A$1:$AB$315,17,0)</f>
        <v>0.43333333333333335</v>
      </c>
      <c r="AJ145" t="str">
        <f>VLOOKUP($B145,'[1]Plant data'!$A$1:$AB$315,18,0)</f>
        <v>Cazetta 2007</v>
      </c>
      <c r="AK145">
        <f>VLOOKUP($B145,'[1]Plant data'!$A$1:$AB$315,19,0)</f>
        <v>0.52854999999999996</v>
      </c>
      <c r="AL145">
        <f>VLOOKUP($B145,'[1]Plant data'!$A$1:$AB$315,20,0)</f>
        <v>3.8650000000000004E-2</v>
      </c>
      <c r="AM145">
        <f>VLOOKUP($B145,'[1]Plant data'!$A$1:$AB$315,21,0)</f>
        <v>3.5799999999999998E-2</v>
      </c>
      <c r="AN145">
        <f>VLOOKUP($B145,'[1]Plant data'!$A$1:$AB$315,22,0)</f>
        <v>7.6350000000000001E-2</v>
      </c>
      <c r="AO145" t="str">
        <f>VLOOKUP($B145,'[1]Plant data'!$A$1:$AB$315,23,0)</f>
        <v>NA</v>
      </c>
      <c r="AP145" t="str">
        <f>VLOOKUP($B145,'[1]Plant data'!$A$1:$AB$315,24,0)</f>
        <v>NA</v>
      </c>
      <c r="AQ145" t="str">
        <f>VLOOKUP($B145,'[1]Plant data'!$A$1:$AB$315,25,0)</f>
        <v>NA</v>
      </c>
      <c r="AR145" t="str">
        <f>VLOOKUP($B145,'[1]Plant data'!$A$1:$AB$315,26,0)</f>
        <v>NA</v>
      </c>
      <c r="AS145" t="str">
        <f>VLOOKUP($B145,'[1]Plant data'!$A$1:$AB$315,27,0)</f>
        <v>NA</v>
      </c>
      <c r="AT145" t="str">
        <f>VLOOKUP($B145,'[1]Plant data'!$A$1:$AB$315,28,0)</f>
        <v>Cazetta 2007, Gomes et al. 2010</v>
      </c>
    </row>
    <row r="146" spans="1:46">
      <c r="A146" s="21" t="s">
        <v>50</v>
      </c>
      <c r="B146" s="22" t="s">
        <v>138</v>
      </c>
      <c r="C146" s="16" t="s">
        <v>19</v>
      </c>
      <c r="D146" s="16" t="s">
        <v>19</v>
      </c>
      <c r="E146" s="16">
        <v>0.27</v>
      </c>
      <c r="F146" s="16" t="s">
        <v>19</v>
      </c>
      <c r="G146" s="19">
        <v>3.1</v>
      </c>
      <c r="H146" s="19"/>
      <c r="I146" s="8">
        <f t="shared" si="12"/>
        <v>0.83700000000000008</v>
      </c>
      <c r="J146" s="16" t="s">
        <v>140</v>
      </c>
      <c r="K146" s="16" t="s">
        <v>113</v>
      </c>
      <c r="L146" s="16" t="s">
        <v>22</v>
      </c>
      <c r="M146" s="16" t="s">
        <v>47</v>
      </c>
      <c r="N146" s="17">
        <v>69.5</v>
      </c>
      <c r="O146" s="17">
        <v>13.253214290000001</v>
      </c>
      <c r="P146" s="16" t="s">
        <v>48</v>
      </c>
      <c r="Q146" s="16" t="s">
        <v>25</v>
      </c>
      <c r="R146" s="16" t="s">
        <v>26</v>
      </c>
      <c r="S146" s="16" t="s">
        <v>31</v>
      </c>
      <c r="T146" t="str">
        <f>VLOOKUP(B146,'[1]Plant data'!$A$1:$AB$315,2,0)</f>
        <v>Myrtaceae</v>
      </c>
      <c r="U146" t="str">
        <f>VLOOKUP($B146,'[1]Plant data'!$A$1:$AB$315,3,0)</f>
        <v>NA</v>
      </c>
      <c r="V146" t="str">
        <f>VLOOKUP($B146,'[1]Plant data'!$A$1:$AB$315,4,0)</f>
        <v>black</v>
      </c>
      <c r="W146" t="str">
        <f>VLOOKUP($B146,'[1]Plant data'!$A$1:$AB$315,5,0)</f>
        <v>YES</v>
      </c>
      <c r="X146">
        <f>VLOOKUP($B146,'[1]Plant data'!$A$1:$AB$315,6,0)</f>
        <v>12.12</v>
      </c>
      <c r="Y146">
        <f>VLOOKUP($B146,'[1]Plant data'!$A$1:$AB$315,7,0)</f>
        <v>14.95</v>
      </c>
      <c r="Z146">
        <f>VLOOKUP($B146,'[1]Plant data'!$A$1:$AB$315,8,0)</f>
        <v>9.1300000000000008</v>
      </c>
      <c r="AA146">
        <f>VLOOKUP($B146,'[1]Plant data'!$A$1:$AB$315,9,0)</f>
        <v>12.06</v>
      </c>
      <c r="AB146">
        <f>VLOOKUP($B146,'[1]Plant data'!$A$1:$AB$315,10,0)</f>
        <v>1.38</v>
      </c>
      <c r="AC146">
        <f>VLOOKUP($B146,'[1]Plant data'!$A$1:$AB$315,11,0)</f>
        <v>0.78</v>
      </c>
      <c r="AD146">
        <f>VLOOKUP($B146,'[1]Plant data'!$A$1:$AB$315,12,0)</f>
        <v>0.6</v>
      </c>
      <c r="AE146">
        <f>VLOOKUP($B146,'[1]Plant data'!$A$1:$AB$315,13,0)</f>
        <v>0.26</v>
      </c>
      <c r="AF146" t="str">
        <f>VLOOKUP($B146,'[1]Plant data'!$A$1:$AB$315,14,0)</f>
        <v>NA</v>
      </c>
      <c r="AG146">
        <f>VLOOKUP($B146,'[1]Plant data'!$A$1:$AB$315,15,0)</f>
        <v>1.1599999999999999</v>
      </c>
      <c r="AH146" t="str">
        <f>VLOOKUP($B146,'[1]Plant data'!$A$1:$AB$315,16,0)</f>
        <v>NA</v>
      </c>
      <c r="AI146">
        <f>VLOOKUP($B146,'[1]Plant data'!$A$1:$AB$315,17,0)</f>
        <v>0.43333333333333335</v>
      </c>
      <c r="AJ146" t="str">
        <f>VLOOKUP($B146,'[1]Plant data'!$A$1:$AB$315,18,0)</f>
        <v>Cazetta 2007</v>
      </c>
      <c r="AK146">
        <f>VLOOKUP($B146,'[1]Plant data'!$A$1:$AB$315,19,0)</f>
        <v>0.52854999999999996</v>
      </c>
      <c r="AL146">
        <f>VLOOKUP($B146,'[1]Plant data'!$A$1:$AB$315,20,0)</f>
        <v>3.8650000000000004E-2</v>
      </c>
      <c r="AM146">
        <f>VLOOKUP($B146,'[1]Plant data'!$A$1:$AB$315,21,0)</f>
        <v>3.5799999999999998E-2</v>
      </c>
      <c r="AN146">
        <f>VLOOKUP($B146,'[1]Plant data'!$A$1:$AB$315,22,0)</f>
        <v>7.6350000000000001E-2</v>
      </c>
      <c r="AO146" t="str">
        <f>VLOOKUP($B146,'[1]Plant data'!$A$1:$AB$315,23,0)</f>
        <v>NA</v>
      </c>
      <c r="AP146" t="str">
        <f>VLOOKUP($B146,'[1]Plant data'!$A$1:$AB$315,24,0)</f>
        <v>NA</v>
      </c>
      <c r="AQ146" t="str">
        <f>VLOOKUP($B146,'[1]Plant data'!$A$1:$AB$315,25,0)</f>
        <v>NA</v>
      </c>
      <c r="AR146" t="str">
        <f>VLOOKUP($B146,'[1]Plant data'!$A$1:$AB$315,26,0)</f>
        <v>NA</v>
      </c>
      <c r="AS146" t="str">
        <f>VLOOKUP($B146,'[1]Plant data'!$A$1:$AB$315,27,0)</f>
        <v>NA</v>
      </c>
      <c r="AT146" t="str">
        <f>VLOOKUP($B146,'[1]Plant data'!$A$1:$AB$315,28,0)</f>
        <v>Cazetta 2007, Gomes et al. 2010</v>
      </c>
    </row>
    <row r="147" spans="1:46">
      <c r="A147" s="5" t="s">
        <v>43</v>
      </c>
      <c r="B147" s="14" t="s">
        <v>125</v>
      </c>
      <c r="C147">
        <v>213</v>
      </c>
      <c r="D147">
        <v>60</v>
      </c>
      <c r="E147" s="8">
        <f>C147/60</f>
        <v>3.55</v>
      </c>
      <c r="F147">
        <v>390</v>
      </c>
      <c r="G147" s="9">
        <f>F147/C147</f>
        <v>1.8309859154929577</v>
      </c>
      <c r="H147" s="9"/>
      <c r="I147" s="8">
        <f t="shared" si="12"/>
        <v>6.5</v>
      </c>
      <c r="J147" t="s">
        <v>126</v>
      </c>
      <c r="K147" t="s">
        <v>127</v>
      </c>
      <c r="L147" t="s">
        <v>22</v>
      </c>
      <c r="M147" t="s">
        <v>30</v>
      </c>
      <c r="N147" s="11">
        <v>32.5</v>
      </c>
      <c r="O147" s="11">
        <v>8.9205555560000001</v>
      </c>
      <c r="P147" t="s">
        <v>24</v>
      </c>
      <c r="Q147" t="s">
        <v>25</v>
      </c>
      <c r="R147" t="s">
        <v>26</v>
      </c>
      <c r="S147" t="s">
        <v>31</v>
      </c>
      <c r="T147" t="str">
        <f>VLOOKUP(B147,'[1]Plant data'!$A$1:$AB$315,2,0)</f>
        <v>Myrtaceae</v>
      </c>
      <c r="U147" t="str">
        <f>VLOOKUP($B147,'[1]Plant data'!$A$1:$AB$315,3,0)</f>
        <v>Eugenia bergii</v>
      </c>
      <c r="V147" t="str">
        <f>VLOOKUP($B147,'[1]Plant data'!$A$1:$AB$315,4,0)</f>
        <v>red</v>
      </c>
      <c r="W147" t="str">
        <f>VLOOKUP($B147,'[1]Plant data'!$A$1:$AB$315,5,0)</f>
        <v>YES</v>
      </c>
      <c r="X147">
        <f>VLOOKUP($B147,'[1]Plant data'!$A$1:$AB$315,6,0)</f>
        <v>19.07</v>
      </c>
      <c r="Y147">
        <f>VLOOKUP($B147,'[1]Plant data'!$A$1:$AB$315,7,0)</f>
        <v>24.386666666666667</v>
      </c>
      <c r="Z147">
        <f>VLOOKUP($B147,'[1]Plant data'!$A$1:$AB$315,8,0)</f>
        <v>9.1999999999999993</v>
      </c>
      <c r="AA147">
        <f>VLOOKUP($B147,'[1]Plant data'!$A$1:$AB$315,9,0)</f>
        <v>13</v>
      </c>
      <c r="AB147">
        <f>VLOOKUP($B147,'[1]Plant data'!$A$1:$AB$315,10,0)</f>
        <v>4.9989999999999997</v>
      </c>
      <c r="AC147">
        <f>VLOOKUP($B147,'[1]Plant data'!$A$1:$AB$315,11,0)</f>
        <v>4.109</v>
      </c>
      <c r="AD147" t="str">
        <f>VLOOKUP($B147,'[1]Plant data'!$A$1:$AB$315,12,0)</f>
        <v>NA</v>
      </c>
      <c r="AE147">
        <f>VLOOKUP($B147,'[1]Plant data'!$A$1:$AB$315,13,0)</f>
        <v>0.43099999999999999</v>
      </c>
      <c r="AF147" t="str">
        <f>VLOOKUP($B147,'[1]Plant data'!$A$1:$AB$315,14,0)</f>
        <v>NA</v>
      </c>
      <c r="AG147">
        <f>VLOOKUP($B147,'[1]Plant data'!$A$1:$AB$315,15,0)</f>
        <v>1.23</v>
      </c>
      <c r="AH147" t="str">
        <f>VLOOKUP($B147,'[1]Plant data'!$A$1:$AB$315,16,0)</f>
        <v>NA</v>
      </c>
      <c r="AI147" t="str">
        <f>VLOOKUP($B147,'[1]Plant data'!$A$1:$AB$315,17,0)</f>
        <v>NA</v>
      </c>
      <c r="AJ147" t="str">
        <f>VLOOKUP($B147,'[1]Plant data'!$A$1:$AB$315,18,0)</f>
        <v>ATLANTIC, Castro &amp; Galetti 2004, Gosper &amp; Vivian-Smith 2010</v>
      </c>
      <c r="AK147">
        <f>VLOOKUP($B147,'[1]Plant data'!$A$1:$AB$315,19,0)</f>
        <v>0.85799999999999998</v>
      </c>
      <c r="AL147">
        <f>VLOOKUP($B147,'[1]Plant data'!$A$1:$AB$315,20,0)</f>
        <v>2.8000000000000001E-2</v>
      </c>
      <c r="AM147">
        <f>VLOOKUP($B147,'[1]Plant data'!$A$1:$AB$315,21,0)</f>
        <v>5.6000000000000001E-2</v>
      </c>
      <c r="AN147" t="str">
        <f>VLOOKUP($B147,'[1]Plant data'!$A$1:$AB$315,22,0)</f>
        <v>NA</v>
      </c>
      <c r="AO147" t="str">
        <f>VLOOKUP($B147,'[1]Plant data'!$A$1:$AB$315,23,0)</f>
        <v>NA</v>
      </c>
      <c r="AP147">
        <f>VLOOKUP($B147,'[1]Plant data'!$A$1:$AB$315,24,0)</f>
        <v>0.88</v>
      </c>
      <c r="AQ147" t="str">
        <f>VLOOKUP($B147,'[1]Plant data'!$A$1:$AB$315,25,0)</f>
        <v>NA</v>
      </c>
      <c r="AR147">
        <f>VLOOKUP($B147,'[1]Plant data'!$A$1:$AB$315,26,0)</f>
        <v>3.5000000000000003E-2</v>
      </c>
      <c r="AS147" t="str">
        <f>VLOOKUP($B147,'[1]Plant data'!$A$1:$AB$315,27,0)</f>
        <v>NA</v>
      </c>
      <c r="AT147" t="str">
        <f>VLOOKUP($B147,'[1]Plant data'!$A$1:$AB$315,28,0)</f>
        <v>FRUBASE</v>
      </c>
    </row>
    <row r="148" spans="1:46">
      <c r="A148" s="21" t="s">
        <v>50</v>
      </c>
      <c r="B148" s="22" t="s">
        <v>125</v>
      </c>
      <c r="C148" s="16">
        <v>6</v>
      </c>
      <c r="D148">
        <v>60</v>
      </c>
      <c r="E148" s="8">
        <f>C148/60</f>
        <v>0.1</v>
      </c>
      <c r="F148" s="16">
        <v>6</v>
      </c>
      <c r="G148" s="19">
        <v>1</v>
      </c>
      <c r="H148" s="19"/>
      <c r="I148" s="8">
        <f t="shared" si="12"/>
        <v>0.1</v>
      </c>
      <c r="J148" s="16" t="s">
        <v>126</v>
      </c>
      <c r="K148" s="16" t="s">
        <v>127</v>
      </c>
      <c r="L148" s="16" t="s">
        <v>22</v>
      </c>
      <c r="M148" s="16" t="s">
        <v>47</v>
      </c>
      <c r="N148" s="17">
        <v>69.5</v>
      </c>
      <c r="O148" s="17">
        <v>13.253214290000001</v>
      </c>
      <c r="P148" s="16" t="s">
        <v>48</v>
      </c>
      <c r="Q148" s="16" t="s">
        <v>25</v>
      </c>
      <c r="R148" s="16" t="s">
        <v>26</v>
      </c>
      <c r="S148" s="16" t="s">
        <v>31</v>
      </c>
      <c r="T148" t="str">
        <f>VLOOKUP(B148,'[1]Plant data'!$A$1:$AB$315,2,0)</f>
        <v>Myrtaceae</v>
      </c>
      <c r="U148" t="str">
        <f>VLOOKUP($B148,'[1]Plant data'!$A$1:$AB$315,3,0)</f>
        <v>Eugenia bergii</v>
      </c>
      <c r="V148" t="str">
        <f>VLOOKUP($B148,'[1]Plant data'!$A$1:$AB$315,4,0)</f>
        <v>red</v>
      </c>
      <c r="W148" t="str">
        <f>VLOOKUP($B148,'[1]Plant data'!$A$1:$AB$315,5,0)</f>
        <v>YES</v>
      </c>
      <c r="X148">
        <f>VLOOKUP($B148,'[1]Plant data'!$A$1:$AB$315,6,0)</f>
        <v>19.07</v>
      </c>
      <c r="Y148">
        <f>VLOOKUP($B148,'[1]Plant data'!$A$1:$AB$315,7,0)</f>
        <v>24.386666666666667</v>
      </c>
      <c r="Z148">
        <f>VLOOKUP($B148,'[1]Plant data'!$A$1:$AB$315,8,0)</f>
        <v>9.1999999999999993</v>
      </c>
      <c r="AA148">
        <f>VLOOKUP($B148,'[1]Plant data'!$A$1:$AB$315,9,0)</f>
        <v>13</v>
      </c>
      <c r="AB148">
        <f>VLOOKUP($B148,'[1]Plant data'!$A$1:$AB$315,10,0)</f>
        <v>4.9989999999999997</v>
      </c>
      <c r="AC148">
        <f>VLOOKUP($B148,'[1]Plant data'!$A$1:$AB$315,11,0)</f>
        <v>4.109</v>
      </c>
      <c r="AD148" t="str">
        <f>VLOOKUP($B148,'[1]Plant data'!$A$1:$AB$315,12,0)</f>
        <v>NA</v>
      </c>
      <c r="AE148">
        <f>VLOOKUP($B148,'[1]Plant data'!$A$1:$AB$315,13,0)</f>
        <v>0.43099999999999999</v>
      </c>
      <c r="AF148" t="str">
        <f>VLOOKUP($B148,'[1]Plant data'!$A$1:$AB$315,14,0)</f>
        <v>NA</v>
      </c>
      <c r="AG148">
        <f>VLOOKUP($B148,'[1]Plant data'!$A$1:$AB$315,15,0)</f>
        <v>1.23</v>
      </c>
      <c r="AH148" t="str">
        <f>VLOOKUP($B148,'[1]Plant data'!$A$1:$AB$315,16,0)</f>
        <v>NA</v>
      </c>
      <c r="AI148" t="str">
        <f>VLOOKUP($B148,'[1]Plant data'!$A$1:$AB$315,17,0)</f>
        <v>NA</v>
      </c>
      <c r="AJ148" t="str">
        <f>VLOOKUP($B148,'[1]Plant data'!$A$1:$AB$315,18,0)</f>
        <v>ATLANTIC, Castro &amp; Galetti 2004, Gosper &amp; Vivian-Smith 2010</v>
      </c>
      <c r="AK148">
        <f>VLOOKUP($B148,'[1]Plant data'!$A$1:$AB$315,19,0)</f>
        <v>0.85799999999999998</v>
      </c>
      <c r="AL148">
        <f>VLOOKUP($B148,'[1]Plant data'!$A$1:$AB$315,20,0)</f>
        <v>2.8000000000000001E-2</v>
      </c>
      <c r="AM148">
        <f>VLOOKUP($B148,'[1]Plant data'!$A$1:$AB$315,21,0)</f>
        <v>5.6000000000000001E-2</v>
      </c>
      <c r="AN148" t="str">
        <f>VLOOKUP($B148,'[1]Plant data'!$A$1:$AB$315,22,0)</f>
        <v>NA</v>
      </c>
      <c r="AO148" t="str">
        <f>VLOOKUP($B148,'[1]Plant data'!$A$1:$AB$315,23,0)</f>
        <v>NA</v>
      </c>
      <c r="AP148">
        <f>VLOOKUP($B148,'[1]Plant data'!$A$1:$AB$315,24,0)</f>
        <v>0.88</v>
      </c>
      <c r="AQ148" t="str">
        <f>VLOOKUP($B148,'[1]Plant data'!$A$1:$AB$315,25,0)</f>
        <v>NA</v>
      </c>
      <c r="AR148">
        <f>VLOOKUP($B148,'[1]Plant data'!$A$1:$AB$315,26,0)</f>
        <v>3.5000000000000003E-2</v>
      </c>
      <c r="AS148" t="str">
        <f>VLOOKUP($B148,'[1]Plant data'!$A$1:$AB$315,27,0)</f>
        <v>NA</v>
      </c>
      <c r="AT148" t="str">
        <f>VLOOKUP($B148,'[1]Plant data'!$A$1:$AB$315,28,0)</f>
        <v>FRUBASE</v>
      </c>
    </row>
    <row r="149" spans="1:46">
      <c r="A149" s="21" t="s">
        <v>90</v>
      </c>
      <c r="B149" s="22" t="s">
        <v>125</v>
      </c>
      <c r="C149" s="16">
        <v>1</v>
      </c>
      <c r="D149" s="16">
        <v>60</v>
      </c>
      <c r="E149" s="8">
        <f>C149/60</f>
        <v>1.6666666666666666E-2</v>
      </c>
      <c r="F149" s="16">
        <v>2</v>
      </c>
      <c r="G149" s="19">
        <v>2</v>
      </c>
      <c r="H149" s="19"/>
      <c r="I149" s="8">
        <f t="shared" si="12"/>
        <v>3.3333333333333333E-2</v>
      </c>
      <c r="J149" s="16" t="s">
        <v>130</v>
      </c>
      <c r="K149" s="16" t="s">
        <v>127</v>
      </c>
      <c r="L149" s="16" t="s">
        <v>93</v>
      </c>
      <c r="M149" s="16" t="s">
        <v>94</v>
      </c>
      <c r="N149" s="17">
        <v>331</v>
      </c>
      <c r="O149" s="17">
        <v>30.7</v>
      </c>
      <c r="P149" s="16" t="s">
        <v>48</v>
      </c>
      <c r="Q149" s="16" t="s">
        <v>95</v>
      </c>
      <c r="R149" s="16" t="s">
        <v>26</v>
      </c>
      <c r="S149" s="16" t="s">
        <v>27</v>
      </c>
      <c r="T149" t="str">
        <f>VLOOKUP(B149,'[1]Plant data'!$A$1:$AB$315,2,0)</f>
        <v>Myrtaceae</v>
      </c>
      <c r="U149" t="str">
        <f>VLOOKUP($B149,'[1]Plant data'!$A$1:$AB$315,3,0)</f>
        <v>Eugenia bergii</v>
      </c>
      <c r="V149" t="str">
        <f>VLOOKUP($B149,'[1]Plant data'!$A$1:$AB$315,4,0)</f>
        <v>red</v>
      </c>
      <c r="W149" t="str">
        <f>VLOOKUP($B149,'[1]Plant data'!$A$1:$AB$315,5,0)</f>
        <v>YES</v>
      </c>
      <c r="X149">
        <f>VLOOKUP($B149,'[1]Plant data'!$A$1:$AB$315,6,0)</f>
        <v>19.07</v>
      </c>
      <c r="Y149">
        <f>VLOOKUP($B149,'[1]Plant data'!$A$1:$AB$315,7,0)</f>
        <v>24.386666666666667</v>
      </c>
      <c r="Z149">
        <f>VLOOKUP($B149,'[1]Plant data'!$A$1:$AB$315,8,0)</f>
        <v>9.1999999999999993</v>
      </c>
      <c r="AA149">
        <f>VLOOKUP($B149,'[1]Plant data'!$A$1:$AB$315,9,0)</f>
        <v>13</v>
      </c>
      <c r="AB149">
        <f>VLOOKUP($B149,'[1]Plant data'!$A$1:$AB$315,10,0)</f>
        <v>4.9989999999999997</v>
      </c>
      <c r="AC149">
        <f>VLOOKUP($B149,'[1]Plant data'!$A$1:$AB$315,11,0)</f>
        <v>4.109</v>
      </c>
      <c r="AD149" t="str">
        <f>VLOOKUP($B149,'[1]Plant data'!$A$1:$AB$315,12,0)</f>
        <v>NA</v>
      </c>
      <c r="AE149">
        <f>VLOOKUP($B149,'[1]Plant data'!$A$1:$AB$315,13,0)</f>
        <v>0.43099999999999999</v>
      </c>
      <c r="AF149" t="str">
        <f>VLOOKUP($B149,'[1]Plant data'!$A$1:$AB$315,14,0)</f>
        <v>NA</v>
      </c>
      <c r="AG149">
        <f>VLOOKUP($B149,'[1]Plant data'!$A$1:$AB$315,15,0)</f>
        <v>1.23</v>
      </c>
      <c r="AH149" t="str">
        <f>VLOOKUP($B149,'[1]Plant data'!$A$1:$AB$315,16,0)</f>
        <v>NA</v>
      </c>
      <c r="AI149" t="str">
        <f>VLOOKUP($B149,'[1]Plant data'!$A$1:$AB$315,17,0)</f>
        <v>NA</v>
      </c>
      <c r="AJ149" t="str">
        <f>VLOOKUP($B149,'[1]Plant data'!$A$1:$AB$315,18,0)</f>
        <v>ATLANTIC, Castro &amp; Galetti 2004, Gosper &amp; Vivian-Smith 2010</v>
      </c>
      <c r="AK149">
        <f>VLOOKUP($B149,'[1]Plant data'!$A$1:$AB$315,19,0)</f>
        <v>0.85799999999999998</v>
      </c>
      <c r="AL149">
        <f>VLOOKUP($B149,'[1]Plant data'!$A$1:$AB$315,20,0)</f>
        <v>2.8000000000000001E-2</v>
      </c>
      <c r="AM149">
        <f>VLOOKUP($B149,'[1]Plant data'!$A$1:$AB$315,21,0)</f>
        <v>5.6000000000000001E-2</v>
      </c>
      <c r="AN149" t="str">
        <f>VLOOKUP($B149,'[1]Plant data'!$A$1:$AB$315,22,0)</f>
        <v>NA</v>
      </c>
      <c r="AO149" t="str">
        <f>VLOOKUP($B149,'[1]Plant data'!$A$1:$AB$315,23,0)</f>
        <v>NA</v>
      </c>
      <c r="AP149">
        <f>VLOOKUP($B149,'[1]Plant data'!$A$1:$AB$315,24,0)</f>
        <v>0.88</v>
      </c>
      <c r="AQ149" t="str">
        <f>VLOOKUP($B149,'[1]Plant data'!$A$1:$AB$315,25,0)</f>
        <v>NA</v>
      </c>
      <c r="AR149">
        <f>VLOOKUP($B149,'[1]Plant data'!$A$1:$AB$315,26,0)</f>
        <v>3.5000000000000003E-2</v>
      </c>
      <c r="AS149" t="str">
        <f>VLOOKUP($B149,'[1]Plant data'!$A$1:$AB$315,27,0)</f>
        <v>NA</v>
      </c>
      <c r="AT149" t="str">
        <f>VLOOKUP($B149,'[1]Plant data'!$A$1:$AB$315,28,0)</f>
        <v>FRUBASE</v>
      </c>
    </row>
    <row r="150" spans="1:46">
      <c r="A150" s="5" t="s">
        <v>43</v>
      </c>
      <c r="B150" s="14" t="s">
        <v>125</v>
      </c>
      <c r="C150">
        <v>115</v>
      </c>
      <c r="D150" s="25">
        <v>116</v>
      </c>
      <c r="E150" s="8">
        <f>C150/D150</f>
        <v>0.99137931034482762</v>
      </c>
      <c r="F150" t="s">
        <v>19</v>
      </c>
      <c r="G150" s="9">
        <v>1.53</v>
      </c>
      <c r="H150" s="9"/>
      <c r="I150" s="8">
        <f t="shared" si="12"/>
        <v>1.5168103448275863</v>
      </c>
      <c r="J150" t="s">
        <v>206</v>
      </c>
      <c r="K150" t="s">
        <v>207</v>
      </c>
      <c r="L150" t="s">
        <v>22</v>
      </c>
      <c r="M150" t="s">
        <v>30</v>
      </c>
      <c r="N150" s="11">
        <v>32.5</v>
      </c>
      <c r="O150" s="11">
        <v>8.9205555560000001</v>
      </c>
      <c r="P150" t="s">
        <v>24</v>
      </c>
      <c r="Q150" t="s">
        <v>25</v>
      </c>
      <c r="R150" t="s">
        <v>26</v>
      </c>
      <c r="S150" t="s">
        <v>31</v>
      </c>
      <c r="T150" t="str">
        <f>VLOOKUP(B150,'[1]Plant data'!$A$1:$AB$315,2,0)</f>
        <v>Myrtaceae</v>
      </c>
      <c r="U150" t="str">
        <f>VLOOKUP($B150,'[1]Plant data'!$A$1:$AB$315,3,0)</f>
        <v>Eugenia bergii</v>
      </c>
      <c r="V150" t="str">
        <f>VLOOKUP($B150,'[1]Plant data'!$A$1:$AB$315,4,0)</f>
        <v>red</v>
      </c>
      <c r="W150" t="str">
        <f>VLOOKUP($B150,'[1]Plant data'!$A$1:$AB$315,5,0)</f>
        <v>YES</v>
      </c>
      <c r="X150">
        <f>VLOOKUP($B150,'[1]Plant data'!$A$1:$AB$315,6,0)</f>
        <v>19.07</v>
      </c>
      <c r="Y150">
        <f>VLOOKUP($B150,'[1]Plant data'!$A$1:$AB$315,7,0)</f>
        <v>24.386666666666667</v>
      </c>
      <c r="Z150">
        <f>VLOOKUP($B150,'[1]Plant data'!$A$1:$AB$315,8,0)</f>
        <v>9.1999999999999993</v>
      </c>
      <c r="AA150">
        <f>VLOOKUP($B150,'[1]Plant data'!$A$1:$AB$315,9,0)</f>
        <v>13</v>
      </c>
      <c r="AB150">
        <f>VLOOKUP($B150,'[1]Plant data'!$A$1:$AB$315,10,0)</f>
        <v>4.9989999999999997</v>
      </c>
      <c r="AC150">
        <f>VLOOKUP($B150,'[1]Plant data'!$A$1:$AB$315,11,0)</f>
        <v>4.109</v>
      </c>
      <c r="AD150" t="str">
        <f>VLOOKUP($B150,'[1]Plant data'!$A$1:$AB$315,12,0)</f>
        <v>NA</v>
      </c>
      <c r="AE150">
        <f>VLOOKUP($B150,'[1]Plant data'!$A$1:$AB$315,13,0)</f>
        <v>0.43099999999999999</v>
      </c>
      <c r="AF150" t="str">
        <f>VLOOKUP($B150,'[1]Plant data'!$A$1:$AB$315,14,0)</f>
        <v>NA</v>
      </c>
      <c r="AG150">
        <f>VLOOKUP($B150,'[1]Plant data'!$A$1:$AB$315,15,0)</f>
        <v>1.23</v>
      </c>
      <c r="AH150" t="str">
        <f>VLOOKUP($B150,'[1]Plant data'!$A$1:$AB$315,16,0)</f>
        <v>NA</v>
      </c>
      <c r="AI150" t="str">
        <f>VLOOKUP($B150,'[1]Plant data'!$A$1:$AB$315,17,0)</f>
        <v>NA</v>
      </c>
      <c r="AJ150" t="str">
        <f>VLOOKUP($B150,'[1]Plant data'!$A$1:$AB$315,18,0)</f>
        <v>ATLANTIC, Castro &amp; Galetti 2004, Gosper &amp; Vivian-Smith 2010</v>
      </c>
      <c r="AK150">
        <f>VLOOKUP($B150,'[1]Plant data'!$A$1:$AB$315,19,0)</f>
        <v>0.85799999999999998</v>
      </c>
      <c r="AL150">
        <f>VLOOKUP($B150,'[1]Plant data'!$A$1:$AB$315,20,0)</f>
        <v>2.8000000000000001E-2</v>
      </c>
      <c r="AM150">
        <f>VLOOKUP($B150,'[1]Plant data'!$A$1:$AB$315,21,0)</f>
        <v>5.6000000000000001E-2</v>
      </c>
      <c r="AN150" t="str">
        <f>VLOOKUP($B150,'[1]Plant data'!$A$1:$AB$315,22,0)</f>
        <v>NA</v>
      </c>
      <c r="AO150" t="str">
        <f>VLOOKUP($B150,'[1]Plant data'!$A$1:$AB$315,23,0)</f>
        <v>NA</v>
      </c>
      <c r="AP150">
        <f>VLOOKUP($B150,'[1]Plant data'!$A$1:$AB$315,24,0)</f>
        <v>0.88</v>
      </c>
      <c r="AQ150" t="str">
        <f>VLOOKUP($B150,'[1]Plant data'!$A$1:$AB$315,25,0)</f>
        <v>NA</v>
      </c>
      <c r="AR150">
        <f>VLOOKUP($B150,'[1]Plant data'!$A$1:$AB$315,26,0)</f>
        <v>3.5000000000000003E-2</v>
      </c>
      <c r="AS150" t="str">
        <f>VLOOKUP($B150,'[1]Plant data'!$A$1:$AB$315,27,0)</f>
        <v>NA</v>
      </c>
      <c r="AT150" t="str">
        <f>VLOOKUP($B150,'[1]Plant data'!$A$1:$AB$315,28,0)</f>
        <v>FRUBASE</v>
      </c>
    </row>
    <row r="151" spans="1:46">
      <c r="A151" s="5" t="s">
        <v>43</v>
      </c>
      <c r="B151" s="14" t="s">
        <v>125</v>
      </c>
      <c r="C151">
        <v>6</v>
      </c>
      <c r="D151" s="25">
        <v>10</v>
      </c>
      <c r="E151" s="8">
        <f>C151/10</f>
        <v>0.6</v>
      </c>
      <c r="F151">
        <v>9</v>
      </c>
      <c r="G151" s="9">
        <f t="shared" ref="G151:G162" si="13">F151/C151</f>
        <v>1.5</v>
      </c>
      <c r="H151" s="9"/>
      <c r="I151" s="8">
        <f t="shared" si="12"/>
        <v>0.89999999999999991</v>
      </c>
      <c r="J151" t="s">
        <v>274</v>
      </c>
      <c r="K151" t="s">
        <v>275</v>
      </c>
      <c r="L151" t="s">
        <v>22</v>
      </c>
      <c r="M151" t="s">
        <v>30</v>
      </c>
      <c r="N151" s="11">
        <v>32.5</v>
      </c>
      <c r="O151" s="11">
        <v>8.9205555560000001</v>
      </c>
      <c r="P151" t="s">
        <v>24</v>
      </c>
      <c r="Q151" t="s">
        <v>25</v>
      </c>
      <c r="R151" t="s">
        <v>26</v>
      </c>
      <c r="S151" t="s">
        <v>31</v>
      </c>
      <c r="T151" t="str">
        <f>VLOOKUP(B151,'[1]Plant data'!$A$1:$AB$315,2,0)</f>
        <v>Myrtaceae</v>
      </c>
      <c r="U151" t="str">
        <f>VLOOKUP($B151,'[1]Plant data'!$A$1:$AB$315,3,0)</f>
        <v>Eugenia bergii</v>
      </c>
      <c r="V151" t="str">
        <f>VLOOKUP($B151,'[1]Plant data'!$A$1:$AB$315,4,0)</f>
        <v>red</v>
      </c>
      <c r="W151" t="str">
        <f>VLOOKUP($B151,'[1]Plant data'!$A$1:$AB$315,5,0)</f>
        <v>YES</v>
      </c>
      <c r="X151">
        <f>VLOOKUP($B151,'[1]Plant data'!$A$1:$AB$315,6,0)</f>
        <v>19.07</v>
      </c>
      <c r="Y151">
        <f>VLOOKUP($B151,'[1]Plant data'!$A$1:$AB$315,7,0)</f>
        <v>24.386666666666667</v>
      </c>
      <c r="Z151">
        <f>VLOOKUP($B151,'[1]Plant data'!$A$1:$AB$315,8,0)</f>
        <v>9.1999999999999993</v>
      </c>
      <c r="AA151">
        <f>VLOOKUP($B151,'[1]Plant data'!$A$1:$AB$315,9,0)</f>
        <v>13</v>
      </c>
      <c r="AB151">
        <f>VLOOKUP($B151,'[1]Plant data'!$A$1:$AB$315,10,0)</f>
        <v>4.9989999999999997</v>
      </c>
      <c r="AC151">
        <f>VLOOKUP($B151,'[1]Plant data'!$A$1:$AB$315,11,0)</f>
        <v>4.109</v>
      </c>
      <c r="AD151" t="str">
        <f>VLOOKUP($B151,'[1]Plant data'!$A$1:$AB$315,12,0)</f>
        <v>NA</v>
      </c>
      <c r="AE151">
        <f>VLOOKUP($B151,'[1]Plant data'!$A$1:$AB$315,13,0)</f>
        <v>0.43099999999999999</v>
      </c>
      <c r="AF151" t="str">
        <f>VLOOKUP($B151,'[1]Plant data'!$A$1:$AB$315,14,0)</f>
        <v>NA</v>
      </c>
      <c r="AG151">
        <f>VLOOKUP($B151,'[1]Plant data'!$A$1:$AB$315,15,0)</f>
        <v>1.23</v>
      </c>
      <c r="AH151" t="str">
        <f>VLOOKUP($B151,'[1]Plant data'!$A$1:$AB$315,16,0)</f>
        <v>NA</v>
      </c>
      <c r="AI151" t="str">
        <f>VLOOKUP($B151,'[1]Plant data'!$A$1:$AB$315,17,0)</f>
        <v>NA</v>
      </c>
      <c r="AJ151" t="str">
        <f>VLOOKUP($B151,'[1]Plant data'!$A$1:$AB$315,18,0)</f>
        <v>ATLANTIC, Castro &amp; Galetti 2004, Gosper &amp; Vivian-Smith 2010</v>
      </c>
      <c r="AK151">
        <f>VLOOKUP($B151,'[1]Plant data'!$A$1:$AB$315,19,0)</f>
        <v>0.85799999999999998</v>
      </c>
      <c r="AL151">
        <f>VLOOKUP($B151,'[1]Plant data'!$A$1:$AB$315,20,0)</f>
        <v>2.8000000000000001E-2</v>
      </c>
      <c r="AM151">
        <f>VLOOKUP($B151,'[1]Plant data'!$A$1:$AB$315,21,0)</f>
        <v>5.6000000000000001E-2</v>
      </c>
      <c r="AN151" t="str">
        <f>VLOOKUP($B151,'[1]Plant data'!$A$1:$AB$315,22,0)</f>
        <v>NA</v>
      </c>
      <c r="AO151" t="str">
        <f>VLOOKUP($B151,'[1]Plant data'!$A$1:$AB$315,23,0)</f>
        <v>NA</v>
      </c>
      <c r="AP151">
        <f>VLOOKUP($B151,'[1]Plant data'!$A$1:$AB$315,24,0)</f>
        <v>0.88</v>
      </c>
      <c r="AQ151" t="str">
        <f>VLOOKUP($B151,'[1]Plant data'!$A$1:$AB$315,25,0)</f>
        <v>NA</v>
      </c>
      <c r="AR151">
        <f>VLOOKUP($B151,'[1]Plant data'!$A$1:$AB$315,26,0)</f>
        <v>3.5000000000000003E-2</v>
      </c>
      <c r="AS151" t="str">
        <f>VLOOKUP($B151,'[1]Plant data'!$A$1:$AB$315,27,0)</f>
        <v>NA</v>
      </c>
      <c r="AT151" t="str">
        <f>VLOOKUP($B151,'[1]Plant data'!$A$1:$AB$315,28,0)</f>
        <v>FRUBASE</v>
      </c>
    </row>
    <row r="152" spans="1:46">
      <c r="A152" s="5" t="s">
        <v>96</v>
      </c>
      <c r="B152" s="15" t="s">
        <v>97</v>
      </c>
      <c r="C152">
        <v>1</v>
      </c>
      <c r="D152">
        <v>324</v>
      </c>
      <c r="E152" s="8">
        <f t="shared" ref="E152:E174" si="14">C152/324</f>
        <v>3.0864197530864196E-3</v>
      </c>
      <c r="F152">
        <v>10</v>
      </c>
      <c r="G152" s="9">
        <f t="shared" si="13"/>
        <v>10</v>
      </c>
      <c r="H152" s="9"/>
      <c r="I152" s="8">
        <f t="shared" si="12"/>
        <v>3.0864197530864196E-2</v>
      </c>
      <c r="J152" s="25" t="s">
        <v>98</v>
      </c>
      <c r="K152" s="25" t="s">
        <v>99</v>
      </c>
      <c r="L152" t="s">
        <v>100</v>
      </c>
      <c r="M152" t="s">
        <v>101</v>
      </c>
      <c r="N152" s="11">
        <v>1770</v>
      </c>
      <c r="O152" s="11">
        <v>22.349</v>
      </c>
      <c r="P152" t="s">
        <v>48</v>
      </c>
      <c r="Q152" t="s">
        <v>25</v>
      </c>
      <c r="R152" t="s">
        <v>26</v>
      </c>
      <c r="S152" t="s">
        <v>27</v>
      </c>
      <c r="T152" t="str">
        <f>VLOOKUP(B152,'[1]Plant data'!$A$1:$AB$315,2,0)</f>
        <v>Arecaceae</v>
      </c>
      <c r="U152" t="str">
        <f>VLOOKUP($B152,'[1]Plant data'!$A$1:$AB$315,3,0)</f>
        <v>NA</v>
      </c>
      <c r="V152" t="str">
        <f>VLOOKUP($B152,'[1]Plant data'!$A$1:$AB$315,4,0)</f>
        <v>black</v>
      </c>
      <c r="W152" t="str">
        <f>VLOOKUP($B152,'[1]Plant data'!$A$1:$AB$315,5,0)</f>
        <v>YES</v>
      </c>
      <c r="X152">
        <f>VLOOKUP($B152,'[1]Plant data'!$A$1:$AB$315,6,0)</f>
        <v>13.294285714285715</v>
      </c>
      <c r="Y152">
        <f>VLOOKUP($B152,'[1]Plant data'!$A$1:$AB$315,7,0)</f>
        <v>12.980000000000002</v>
      </c>
      <c r="Z152">
        <f>VLOOKUP($B152,'[1]Plant data'!$A$1:$AB$315,8,0)</f>
        <v>11.3575</v>
      </c>
      <c r="AA152">
        <f>VLOOKUP($B152,'[1]Plant data'!$A$1:$AB$315,9,0)</f>
        <v>11.62275</v>
      </c>
      <c r="AB152">
        <f>VLOOKUP($B152,'[1]Plant data'!$A$1:$AB$315,10,0)</f>
        <v>1.4212800000000001</v>
      </c>
      <c r="AC152">
        <f>VLOOKUP($B152,'[1]Plant data'!$A$1:$AB$315,11,0)</f>
        <v>0.46</v>
      </c>
      <c r="AD152">
        <f>VLOOKUP($B152,'[1]Plant data'!$A$1:$AB$315,12,0)</f>
        <v>1.06515</v>
      </c>
      <c r="AE152">
        <f>VLOOKUP($B152,'[1]Plant data'!$A$1:$AB$315,13,0)</f>
        <v>0.32305000000000006</v>
      </c>
      <c r="AF152">
        <f>VLOOKUP($B152,'[1]Plant data'!$A$1:$AB$315,14,0)</f>
        <v>0.96343333333333325</v>
      </c>
      <c r="AG152">
        <f>VLOOKUP($B152,'[1]Plant data'!$A$1:$AB$315,15,0)</f>
        <v>1</v>
      </c>
      <c r="AH152" t="str">
        <f>VLOOKUP($B152,'[1]Plant data'!$A$1:$AB$315,16,0)</f>
        <v>NA</v>
      </c>
      <c r="AI152">
        <f>VLOOKUP($B152,'[1]Plant data'!$A$1:$AB$315,17,0)</f>
        <v>0.36819721900926922</v>
      </c>
      <c r="AJ152" t="str">
        <f>VLOOKUP($B152,'[1]Plant data'!$A$1:$AB$315,18,0)</f>
        <v>Castro &amp; Galetti 2004, Cazetta 2007, Erica&amp;Wesley, Intervales_morfo, Mikich 2002, Santana et al. 2013, Alves 2008</v>
      </c>
      <c r="AK152">
        <f>VLOOKUP($B152,'[1]Plant data'!$A$1:$AB$315,19,0)</f>
        <v>0.67774999999999996</v>
      </c>
      <c r="AL152">
        <f>VLOOKUP($B152,'[1]Plant data'!$A$1:$AB$315,20,0)</f>
        <v>0.13617499999999999</v>
      </c>
      <c r="AM152">
        <f>VLOOKUP($B152,'[1]Plant data'!$A$1:$AB$315,21,0)</f>
        <v>5.0733332999999999E-2</v>
      </c>
      <c r="AN152">
        <f>VLOOKUP($B152,'[1]Plant data'!$A$1:$AB$315,22,0)</f>
        <v>3.65E-3</v>
      </c>
      <c r="AO152">
        <f>VLOOKUP($B152,'[1]Plant data'!$A$1:$AB$315,23,0)</f>
        <v>0.182</v>
      </c>
      <c r="AP152" t="str">
        <f>VLOOKUP($B152,'[1]Plant data'!$A$1:$AB$315,24,0)</f>
        <v>NA</v>
      </c>
      <c r="AQ152">
        <f>VLOOKUP($B152,'[1]Plant data'!$A$1:$AB$315,25,0)</f>
        <v>0.69899999999999995</v>
      </c>
      <c r="AR152">
        <f>VLOOKUP($B152,'[1]Plant data'!$A$1:$AB$315,26,0)</f>
        <v>2.7E-2</v>
      </c>
      <c r="AS152" t="str">
        <f>VLOOKUP($B152,'[1]Plant data'!$A$1:$AB$315,27,0)</f>
        <v>NA</v>
      </c>
      <c r="AT152" t="str">
        <f>VLOOKUP($B152,'[1]Plant data'!$A$1:$AB$315,28,0)</f>
        <v>Cazetta 2007, Erica &amp; Wesley, unpubl., Saibadela, Santana et al. 2013</v>
      </c>
    </row>
    <row r="153" spans="1:46">
      <c r="A153" s="5" t="s">
        <v>74</v>
      </c>
      <c r="B153" s="14" t="s">
        <v>97</v>
      </c>
      <c r="C153">
        <v>9</v>
      </c>
      <c r="D153">
        <v>324</v>
      </c>
      <c r="E153" s="8">
        <f t="shared" si="14"/>
        <v>2.7777777777777776E-2</v>
      </c>
      <c r="F153">
        <v>21</v>
      </c>
      <c r="G153" s="9">
        <f t="shared" si="13"/>
        <v>2.3333333333333335</v>
      </c>
      <c r="H153" s="9"/>
      <c r="I153" s="8">
        <f t="shared" si="12"/>
        <v>6.4814814814814811E-2</v>
      </c>
      <c r="J153" t="s">
        <v>98</v>
      </c>
      <c r="K153" t="s">
        <v>102</v>
      </c>
      <c r="L153" t="s">
        <v>22</v>
      </c>
      <c r="M153" t="s">
        <v>75</v>
      </c>
      <c r="N153" s="11">
        <v>200</v>
      </c>
      <c r="O153" s="11">
        <v>23.614285710000001</v>
      </c>
      <c r="P153" t="s">
        <v>48</v>
      </c>
      <c r="Q153" t="s">
        <v>25</v>
      </c>
      <c r="R153" t="s">
        <v>76</v>
      </c>
      <c r="S153" t="s">
        <v>27</v>
      </c>
      <c r="T153" t="str">
        <f>VLOOKUP(B153,'[1]Plant data'!$A$1:$AB$315,2,0)</f>
        <v>Arecaceae</v>
      </c>
      <c r="U153" t="str">
        <f>VLOOKUP($B153,'[1]Plant data'!$A$1:$AB$315,3,0)</f>
        <v>NA</v>
      </c>
      <c r="V153" t="str">
        <f>VLOOKUP($B153,'[1]Plant data'!$A$1:$AB$315,4,0)</f>
        <v>black</v>
      </c>
      <c r="W153" t="str">
        <f>VLOOKUP($B153,'[1]Plant data'!$A$1:$AB$315,5,0)</f>
        <v>YES</v>
      </c>
      <c r="X153">
        <f>VLOOKUP($B153,'[1]Plant data'!$A$1:$AB$315,6,0)</f>
        <v>13.294285714285715</v>
      </c>
      <c r="Y153">
        <f>VLOOKUP($B153,'[1]Plant data'!$A$1:$AB$315,7,0)</f>
        <v>12.980000000000002</v>
      </c>
      <c r="Z153">
        <f>VLOOKUP($B153,'[1]Plant data'!$A$1:$AB$315,8,0)</f>
        <v>11.3575</v>
      </c>
      <c r="AA153">
        <f>VLOOKUP($B153,'[1]Plant data'!$A$1:$AB$315,9,0)</f>
        <v>11.62275</v>
      </c>
      <c r="AB153">
        <f>VLOOKUP($B153,'[1]Plant data'!$A$1:$AB$315,10,0)</f>
        <v>1.4212800000000001</v>
      </c>
      <c r="AC153">
        <f>VLOOKUP($B153,'[1]Plant data'!$A$1:$AB$315,11,0)</f>
        <v>0.46</v>
      </c>
      <c r="AD153">
        <f>VLOOKUP($B153,'[1]Plant data'!$A$1:$AB$315,12,0)</f>
        <v>1.06515</v>
      </c>
      <c r="AE153">
        <f>VLOOKUP($B153,'[1]Plant data'!$A$1:$AB$315,13,0)</f>
        <v>0.32305000000000006</v>
      </c>
      <c r="AF153">
        <f>VLOOKUP($B153,'[1]Plant data'!$A$1:$AB$315,14,0)</f>
        <v>0.96343333333333325</v>
      </c>
      <c r="AG153">
        <f>VLOOKUP($B153,'[1]Plant data'!$A$1:$AB$315,15,0)</f>
        <v>1</v>
      </c>
      <c r="AH153" t="str">
        <f>VLOOKUP($B153,'[1]Plant data'!$A$1:$AB$315,16,0)</f>
        <v>NA</v>
      </c>
      <c r="AI153">
        <f>VLOOKUP($B153,'[1]Plant data'!$A$1:$AB$315,17,0)</f>
        <v>0.36819721900926922</v>
      </c>
      <c r="AJ153" t="str">
        <f>VLOOKUP($B153,'[1]Plant data'!$A$1:$AB$315,18,0)</f>
        <v>Castro &amp; Galetti 2004, Cazetta 2007, Erica&amp;Wesley, Intervales_morfo, Mikich 2002, Santana et al. 2013, Alves 2008</v>
      </c>
      <c r="AK153">
        <f>VLOOKUP($B153,'[1]Plant data'!$A$1:$AB$315,19,0)</f>
        <v>0.67774999999999996</v>
      </c>
      <c r="AL153">
        <f>VLOOKUP($B153,'[1]Plant data'!$A$1:$AB$315,20,0)</f>
        <v>0.13617499999999999</v>
      </c>
      <c r="AM153">
        <f>VLOOKUP($B153,'[1]Plant data'!$A$1:$AB$315,21,0)</f>
        <v>5.0733332999999999E-2</v>
      </c>
      <c r="AN153">
        <f>VLOOKUP($B153,'[1]Plant data'!$A$1:$AB$315,22,0)</f>
        <v>3.65E-3</v>
      </c>
      <c r="AO153">
        <f>VLOOKUP($B153,'[1]Plant data'!$A$1:$AB$315,23,0)</f>
        <v>0.182</v>
      </c>
      <c r="AP153" t="str">
        <f>VLOOKUP($B153,'[1]Plant data'!$A$1:$AB$315,24,0)</f>
        <v>NA</v>
      </c>
      <c r="AQ153">
        <f>VLOOKUP($B153,'[1]Plant data'!$A$1:$AB$315,25,0)</f>
        <v>0.69899999999999995</v>
      </c>
      <c r="AR153">
        <f>VLOOKUP($B153,'[1]Plant data'!$A$1:$AB$315,26,0)</f>
        <v>2.7E-2</v>
      </c>
      <c r="AS153" t="str">
        <f>VLOOKUP($B153,'[1]Plant data'!$A$1:$AB$315,27,0)</f>
        <v>NA</v>
      </c>
      <c r="AT153" t="str">
        <f>VLOOKUP($B153,'[1]Plant data'!$A$1:$AB$315,28,0)</f>
        <v>Cazetta 2007, Erica &amp; Wesley, unpubl., Saibadela, Santana et al. 2013</v>
      </c>
    </row>
    <row r="154" spans="1:46">
      <c r="A154" s="5" t="s">
        <v>74</v>
      </c>
      <c r="B154" s="14" t="s">
        <v>97</v>
      </c>
      <c r="C154">
        <v>6</v>
      </c>
      <c r="D154">
        <v>324</v>
      </c>
      <c r="E154" s="8">
        <f t="shared" si="14"/>
        <v>1.8518518518518517E-2</v>
      </c>
      <c r="F154">
        <v>28</v>
      </c>
      <c r="G154" s="9">
        <f t="shared" si="13"/>
        <v>4.666666666666667</v>
      </c>
      <c r="H154" s="9"/>
      <c r="I154" s="8">
        <f t="shared" si="12"/>
        <v>8.6419753086419748E-2</v>
      </c>
      <c r="J154" s="25" t="s">
        <v>98</v>
      </c>
      <c r="K154" s="25" t="s">
        <v>99</v>
      </c>
      <c r="L154" t="s">
        <v>22</v>
      </c>
      <c r="M154" t="s">
        <v>75</v>
      </c>
      <c r="N154" s="11">
        <v>200</v>
      </c>
      <c r="O154" s="11">
        <v>23.614285710000001</v>
      </c>
      <c r="P154" t="s">
        <v>48</v>
      </c>
      <c r="Q154" t="s">
        <v>25</v>
      </c>
      <c r="R154" t="s">
        <v>76</v>
      </c>
      <c r="S154" t="s">
        <v>27</v>
      </c>
      <c r="T154" t="str">
        <f>VLOOKUP(B154,'[1]Plant data'!$A$1:$AB$315,2,0)</f>
        <v>Arecaceae</v>
      </c>
      <c r="U154" t="str">
        <f>VLOOKUP($B154,'[1]Plant data'!$A$1:$AB$315,3,0)</f>
        <v>NA</v>
      </c>
      <c r="V154" t="str">
        <f>VLOOKUP($B154,'[1]Plant data'!$A$1:$AB$315,4,0)</f>
        <v>black</v>
      </c>
      <c r="W154" t="str">
        <f>VLOOKUP($B154,'[1]Plant data'!$A$1:$AB$315,5,0)</f>
        <v>YES</v>
      </c>
      <c r="X154">
        <f>VLOOKUP($B154,'[1]Plant data'!$A$1:$AB$315,6,0)</f>
        <v>13.294285714285715</v>
      </c>
      <c r="Y154">
        <f>VLOOKUP($B154,'[1]Plant data'!$A$1:$AB$315,7,0)</f>
        <v>12.980000000000002</v>
      </c>
      <c r="Z154">
        <f>VLOOKUP($B154,'[1]Plant data'!$A$1:$AB$315,8,0)</f>
        <v>11.3575</v>
      </c>
      <c r="AA154">
        <f>VLOOKUP($B154,'[1]Plant data'!$A$1:$AB$315,9,0)</f>
        <v>11.62275</v>
      </c>
      <c r="AB154">
        <f>VLOOKUP($B154,'[1]Plant data'!$A$1:$AB$315,10,0)</f>
        <v>1.4212800000000001</v>
      </c>
      <c r="AC154">
        <f>VLOOKUP($B154,'[1]Plant data'!$A$1:$AB$315,11,0)</f>
        <v>0.46</v>
      </c>
      <c r="AD154">
        <f>VLOOKUP($B154,'[1]Plant data'!$A$1:$AB$315,12,0)</f>
        <v>1.06515</v>
      </c>
      <c r="AE154">
        <f>VLOOKUP($B154,'[1]Plant data'!$A$1:$AB$315,13,0)</f>
        <v>0.32305000000000006</v>
      </c>
      <c r="AF154">
        <f>VLOOKUP($B154,'[1]Plant data'!$A$1:$AB$315,14,0)</f>
        <v>0.96343333333333325</v>
      </c>
      <c r="AG154">
        <f>VLOOKUP($B154,'[1]Plant data'!$A$1:$AB$315,15,0)</f>
        <v>1</v>
      </c>
      <c r="AH154" t="str">
        <f>VLOOKUP($B154,'[1]Plant data'!$A$1:$AB$315,16,0)</f>
        <v>NA</v>
      </c>
      <c r="AI154">
        <f>VLOOKUP($B154,'[1]Plant data'!$A$1:$AB$315,17,0)</f>
        <v>0.36819721900926922</v>
      </c>
      <c r="AJ154" t="str">
        <f>VLOOKUP($B154,'[1]Plant data'!$A$1:$AB$315,18,0)</f>
        <v>Castro &amp; Galetti 2004, Cazetta 2007, Erica&amp;Wesley, Intervales_morfo, Mikich 2002, Santana et al. 2013, Alves 2008</v>
      </c>
      <c r="AK154">
        <f>VLOOKUP($B154,'[1]Plant data'!$A$1:$AB$315,19,0)</f>
        <v>0.67774999999999996</v>
      </c>
      <c r="AL154">
        <f>VLOOKUP($B154,'[1]Plant data'!$A$1:$AB$315,20,0)</f>
        <v>0.13617499999999999</v>
      </c>
      <c r="AM154">
        <f>VLOOKUP($B154,'[1]Plant data'!$A$1:$AB$315,21,0)</f>
        <v>5.0733332999999999E-2</v>
      </c>
      <c r="AN154">
        <f>VLOOKUP($B154,'[1]Plant data'!$A$1:$AB$315,22,0)</f>
        <v>3.65E-3</v>
      </c>
      <c r="AO154">
        <f>VLOOKUP($B154,'[1]Plant data'!$A$1:$AB$315,23,0)</f>
        <v>0.182</v>
      </c>
      <c r="AP154" t="str">
        <f>VLOOKUP($B154,'[1]Plant data'!$A$1:$AB$315,24,0)</f>
        <v>NA</v>
      </c>
      <c r="AQ154">
        <f>VLOOKUP($B154,'[1]Plant data'!$A$1:$AB$315,25,0)</f>
        <v>0.69899999999999995</v>
      </c>
      <c r="AR154">
        <f>VLOOKUP($B154,'[1]Plant data'!$A$1:$AB$315,26,0)</f>
        <v>2.7E-2</v>
      </c>
      <c r="AS154" t="str">
        <f>VLOOKUP($B154,'[1]Plant data'!$A$1:$AB$315,27,0)</f>
        <v>NA</v>
      </c>
      <c r="AT154" t="str">
        <f>VLOOKUP($B154,'[1]Plant data'!$A$1:$AB$315,28,0)</f>
        <v>Cazetta 2007, Erica &amp; Wesley, unpubl., Saibadela, Santana et al. 2013</v>
      </c>
    </row>
    <row r="155" spans="1:46">
      <c r="A155" s="5" t="s">
        <v>90</v>
      </c>
      <c r="B155" s="6" t="s">
        <v>97</v>
      </c>
      <c r="C155">
        <v>1</v>
      </c>
      <c r="D155">
        <v>324</v>
      </c>
      <c r="E155" s="8">
        <f t="shared" si="14"/>
        <v>3.0864197530864196E-3</v>
      </c>
      <c r="F155">
        <v>3</v>
      </c>
      <c r="G155" s="9">
        <f t="shared" si="13"/>
        <v>3</v>
      </c>
      <c r="H155" s="9"/>
      <c r="I155" s="8">
        <f t="shared" si="12"/>
        <v>9.2592592592592587E-3</v>
      </c>
      <c r="J155" s="25" t="s">
        <v>98</v>
      </c>
      <c r="K155" s="25" t="s">
        <v>103</v>
      </c>
      <c r="L155" t="s">
        <v>93</v>
      </c>
      <c r="M155" t="s">
        <v>94</v>
      </c>
      <c r="N155" s="11">
        <v>331</v>
      </c>
      <c r="O155" s="11">
        <v>30.7</v>
      </c>
      <c r="P155" t="s">
        <v>48</v>
      </c>
      <c r="Q155" t="s">
        <v>95</v>
      </c>
      <c r="R155" t="s">
        <v>26</v>
      </c>
      <c r="S155" t="s">
        <v>27</v>
      </c>
      <c r="T155" t="str">
        <f>VLOOKUP(B155,'[1]Plant data'!$A$1:$AB$315,2,0)</f>
        <v>Arecaceae</v>
      </c>
      <c r="U155" t="str">
        <f>VLOOKUP($B155,'[1]Plant data'!$A$1:$AB$315,3,0)</f>
        <v>NA</v>
      </c>
      <c r="V155" t="str">
        <f>VLOOKUP($B155,'[1]Plant data'!$A$1:$AB$315,4,0)</f>
        <v>black</v>
      </c>
      <c r="W155" t="str">
        <f>VLOOKUP($B155,'[1]Plant data'!$A$1:$AB$315,5,0)</f>
        <v>YES</v>
      </c>
      <c r="X155">
        <f>VLOOKUP($B155,'[1]Plant data'!$A$1:$AB$315,6,0)</f>
        <v>13.294285714285715</v>
      </c>
      <c r="Y155">
        <f>VLOOKUP($B155,'[1]Plant data'!$A$1:$AB$315,7,0)</f>
        <v>12.980000000000002</v>
      </c>
      <c r="Z155">
        <f>VLOOKUP($B155,'[1]Plant data'!$A$1:$AB$315,8,0)</f>
        <v>11.3575</v>
      </c>
      <c r="AA155">
        <f>VLOOKUP($B155,'[1]Plant data'!$A$1:$AB$315,9,0)</f>
        <v>11.62275</v>
      </c>
      <c r="AB155">
        <f>VLOOKUP($B155,'[1]Plant data'!$A$1:$AB$315,10,0)</f>
        <v>1.4212800000000001</v>
      </c>
      <c r="AC155">
        <f>VLOOKUP($B155,'[1]Plant data'!$A$1:$AB$315,11,0)</f>
        <v>0.46</v>
      </c>
      <c r="AD155">
        <f>VLOOKUP($B155,'[1]Plant data'!$A$1:$AB$315,12,0)</f>
        <v>1.06515</v>
      </c>
      <c r="AE155">
        <f>VLOOKUP($B155,'[1]Plant data'!$A$1:$AB$315,13,0)</f>
        <v>0.32305000000000006</v>
      </c>
      <c r="AF155">
        <f>VLOOKUP($B155,'[1]Plant data'!$A$1:$AB$315,14,0)</f>
        <v>0.96343333333333325</v>
      </c>
      <c r="AG155">
        <f>VLOOKUP($B155,'[1]Plant data'!$A$1:$AB$315,15,0)</f>
        <v>1</v>
      </c>
      <c r="AH155" t="str">
        <f>VLOOKUP($B155,'[1]Plant data'!$A$1:$AB$315,16,0)</f>
        <v>NA</v>
      </c>
      <c r="AI155">
        <f>VLOOKUP($B155,'[1]Plant data'!$A$1:$AB$315,17,0)</f>
        <v>0.36819721900926922</v>
      </c>
      <c r="AJ155" t="str">
        <f>VLOOKUP($B155,'[1]Plant data'!$A$1:$AB$315,18,0)</f>
        <v>Castro &amp; Galetti 2004, Cazetta 2007, Erica&amp;Wesley, Intervales_morfo, Mikich 2002, Santana et al. 2013, Alves 2008</v>
      </c>
      <c r="AK155">
        <f>VLOOKUP($B155,'[1]Plant data'!$A$1:$AB$315,19,0)</f>
        <v>0.67774999999999996</v>
      </c>
      <c r="AL155">
        <f>VLOOKUP($B155,'[1]Plant data'!$A$1:$AB$315,20,0)</f>
        <v>0.13617499999999999</v>
      </c>
      <c r="AM155">
        <f>VLOOKUP($B155,'[1]Plant data'!$A$1:$AB$315,21,0)</f>
        <v>5.0733332999999999E-2</v>
      </c>
      <c r="AN155">
        <f>VLOOKUP($B155,'[1]Plant data'!$A$1:$AB$315,22,0)</f>
        <v>3.65E-3</v>
      </c>
      <c r="AO155">
        <f>VLOOKUP($B155,'[1]Plant data'!$A$1:$AB$315,23,0)</f>
        <v>0.182</v>
      </c>
      <c r="AP155" t="str">
        <f>VLOOKUP($B155,'[1]Plant data'!$A$1:$AB$315,24,0)</f>
        <v>NA</v>
      </c>
      <c r="AQ155">
        <f>VLOOKUP($B155,'[1]Plant data'!$A$1:$AB$315,25,0)</f>
        <v>0.69899999999999995</v>
      </c>
      <c r="AR155">
        <f>VLOOKUP($B155,'[1]Plant data'!$A$1:$AB$315,26,0)</f>
        <v>2.7E-2</v>
      </c>
      <c r="AS155" t="str">
        <f>VLOOKUP($B155,'[1]Plant data'!$A$1:$AB$315,27,0)</f>
        <v>NA</v>
      </c>
      <c r="AT155" t="str">
        <f>VLOOKUP($B155,'[1]Plant data'!$A$1:$AB$315,28,0)</f>
        <v>Cazetta 2007, Erica &amp; Wesley, unpubl., Saibadela, Santana et al. 2013</v>
      </c>
    </row>
    <row r="156" spans="1:46">
      <c r="A156" s="5" t="s">
        <v>90</v>
      </c>
      <c r="B156" s="6" t="s">
        <v>97</v>
      </c>
      <c r="C156">
        <v>1</v>
      </c>
      <c r="D156">
        <v>324</v>
      </c>
      <c r="E156" s="8">
        <f t="shared" si="14"/>
        <v>3.0864197530864196E-3</v>
      </c>
      <c r="F156">
        <v>5</v>
      </c>
      <c r="G156" s="9">
        <f t="shared" si="13"/>
        <v>5</v>
      </c>
      <c r="H156" s="9"/>
      <c r="I156" s="8">
        <f t="shared" si="12"/>
        <v>1.5432098765432098E-2</v>
      </c>
      <c r="J156" s="25" t="s">
        <v>98</v>
      </c>
      <c r="K156" s="25" t="s">
        <v>99</v>
      </c>
      <c r="L156" t="s">
        <v>93</v>
      </c>
      <c r="M156" t="s">
        <v>94</v>
      </c>
      <c r="N156" s="11">
        <v>331</v>
      </c>
      <c r="O156" s="11">
        <v>30.7</v>
      </c>
      <c r="P156" t="s">
        <v>48</v>
      </c>
      <c r="Q156" t="s">
        <v>95</v>
      </c>
      <c r="R156" t="s">
        <v>26</v>
      </c>
      <c r="S156" t="s">
        <v>27</v>
      </c>
      <c r="T156" t="str">
        <f>VLOOKUP(B156,'[1]Plant data'!$A$1:$AB$315,2,0)</f>
        <v>Arecaceae</v>
      </c>
      <c r="U156" t="str">
        <f>VLOOKUP($B156,'[1]Plant data'!$A$1:$AB$315,3,0)</f>
        <v>NA</v>
      </c>
      <c r="V156" t="str">
        <f>VLOOKUP($B156,'[1]Plant data'!$A$1:$AB$315,4,0)</f>
        <v>black</v>
      </c>
      <c r="W156" t="str">
        <f>VLOOKUP($B156,'[1]Plant data'!$A$1:$AB$315,5,0)</f>
        <v>YES</v>
      </c>
      <c r="X156">
        <f>VLOOKUP($B156,'[1]Plant data'!$A$1:$AB$315,6,0)</f>
        <v>13.294285714285715</v>
      </c>
      <c r="Y156">
        <f>VLOOKUP($B156,'[1]Plant data'!$A$1:$AB$315,7,0)</f>
        <v>12.980000000000002</v>
      </c>
      <c r="Z156">
        <f>VLOOKUP($B156,'[1]Plant data'!$A$1:$AB$315,8,0)</f>
        <v>11.3575</v>
      </c>
      <c r="AA156">
        <f>VLOOKUP($B156,'[1]Plant data'!$A$1:$AB$315,9,0)</f>
        <v>11.62275</v>
      </c>
      <c r="AB156">
        <f>VLOOKUP($B156,'[1]Plant data'!$A$1:$AB$315,10,0)</f>
        <v>1.4212800000000001</v>
      </c>
      <c r="AC156">
        <f>VLOOKUP($B156,'[1]Plant data'!$A$1:$AB$315,11,0)</f>
        <v>0.46</v>
      </c>
      <c r="AD156">
        <f>VLOOKUP($B156,'[1]Plant data'!$A$1:$AB$315,12,0)</f>
        <v>1.06515</v>
      </c>
      <c r="AE156">
        <f>VLOOKUP($B156,'[1]Plant data'!$A$1:$AB$315,13,0)</f>
        <v>0.32305000000000006</v>
      </c>
      <c r="AF156">
        <f>VLOOKUP($B156,'[1]Plant data'!$A$1:$AB$315,14,0)</f>
        <v>0.96343333333333325</v>
      </c>
      <c r="AG156">
        <f>VLOOKUP($B156,'[1]Plant data'!$A$1:$AB$315,15,0)</f>
        <v>1</v>
      </c>
      <c r="AH156" t="str">
        <f>VLOOKUP($B156,'[1]Plant data'!$A$1:$AB$315,16,0)</f>
        <v>NA</v>
      </c>
      <c r="AI156">
        <f>VLOOKUP($B156,'[1]Plant data'!$A$1:$AB$315,17,0)</f>
        <v>0.36819721900926922</v>
      </c>
      <c r="AJ156" t="str">
        <f>VLOOKUP($B156,'[1]Plant data'!$A$1:$AB$315,18,0)</f>
        <v>Castro &amp; Galetti 2004, Cazetta 2007, Erica&amp;Wesley, Intervales_morfo, Mikich 2002, Santana et al. 2013, Alves 2008</v>
      </c>
      <c r="AK156">
        <f>VLOOKUP($B156,'[1]Plant data'!$A$1:$AB$315,19,0)</f>
        <v>0.67774999999999996</v>
      </c>
      <c r="AL156">
        <f>VLOOKUP($B156,'[1]Plant data'!$A$1:$AB$315,20,0)</f>
        <v>0.13617499999999999</v>
      </c>
      <c r="AM156">
        <f>VLOOKUP($B156,'[1]Plant data'!$A$1:$AB$315,21,0)</f>
        <v>5.0733332999999999E-2</v>
      </c>
      <c r="AN156">
        <f>VLOOKUP($B156,'[1]Plant data'!$A$1:$AB$315,22,0)</f>
        <v>3.65E-3</v>
      </c>
      <c r="AO156">
        <f>VLOOKUP($B156,'[1]Plant data'!$A$1:$AB$315,23,0)</f>
        <v>0.182</v>
      </c>
      <c r="AP156" t="str">
        <f>VLOOKUP($B156,'[1]Plant data'!$A$1:$AB$315,24,0)</f>
        <v>NA</v>
      </c>
      <c r="AQ156">
        <f>VLOOKUP($B156,'[1]Plant data'!$A$1:$AB$315,25,0)</f>
        <v>0.69899999999999995</v>
      </c>
      <c r="AR156">
        <f>VLOOKUP($B156,'[1]Plant data'!$A$1:$AB$315,26,0)</f>
        <v>2.7E-2</v>
      </c>
      <c r="AS156" t="str">
        <f>VLOOKUP($B156,'[1]Plant data'!$A$1:$AB$315,27,0)</f>
        <v>NA</v>
      </c>
      <c r="AT156" t="str">
        <f>VLOOKUP($B156,'[1]Plant data'!$A$1:$AB$315,28,0)</f>
        <v>Cazetta 2007, Erica &amp; Wesley, unpubl., Saibadela, Santana et al. 2013</v>
      </c>
    </row>
    <row r="157" spans="1:46">
      <c r="A157" s="5" t="s">
        <v>90</v>
      </c>
      <c r="B157" s="6" t="s">
        <v>97</v>
      </c>
      <c r="C157">
        <v>4</v>
      </c>
      <c r="D157">
        <v>324</v>
      </c>
      <c r="E157" s="8">
        <f t="shared" si="14"/>
        <v>1.2345679012345678E-2</v>
      </c>
      <c r="F157">
        <v>13</v>
      </c>
      <c r="G157" s="9">
        <f t="shared" si="13"/>
        <v>3.25</v>
      </c>
      <c r="H157" s="9"/>
      <c r="I157" s="8">
        <f t="shared" si="12"/>
        <v>4.0123456790123455E-2</v>
      </c>
      <c r="J157" s="25" t="s">
        <v>98</v>
      </c>
      <c r="K157" s="25" t="s">
        <v>102</v>
      </c>
      <c r="L157" t="s">
        <v>93</v>
      </c>
      <c r="M157" t="s">
        <v>94</v>
      </c>
      <c r="N157" s="11">
        <v>331</v>
      </c>
      <c r="O157" s="11">
        <v>30.7</v>
      </c>
      <c r="P157" t="s">
        <v>48</v>
      </c>
      <c r="Q157" t="s">
        <v>95</v>
      </c>
      <c r="R157" t="s">
        <v>26</v>
      </c>
      <c r="S157" t="s">
        <v>27</v>
      </c>
      <c r="T157" t="str">
        <f>VLOOKUP(B157,'[1]Plant data'!$A$1:$AB$315,2,0)</f>
        <v>Arecaceae</v>
      </c>
      <c r="U157" t="str">
        <f>VLOOKUP($B157,'[1]Plant data'!$A$1:$AB$315,3,0)</f>
        <v>NA</v>
      </c>
      <c r="V157" t="str">
        <f>VLOOKUP($B157,'[1]Plant data'!$A$1:$AB$315,4,0)</f>
        <v>black</v>
      </c>
      <c r="W157" t="str">
        <f>VLOOKUP($B157,'[1]Plant data'!$A$1:$AB$315,5,0)</f>
        <v>YES</v>
      </c>
      <c r="X157">
        <f>VLOOKUP($B157,'[1]Plant data'!$A$1:$AB$315,6,0)</f>
        <v>13.294285714285715</v>
      </c>
      <c r="Y157">
        <f>VLOOKUP($B157,'[1]Plant data'!$A$1:$AB$315,7,0)</f>
        <v>12.980000000000002</v>
      </c>
      <c r="Z157">
        <f>VLOOKUP($B157,'[1]Plant data'!$A$1:$AB$315,8,0)</f>
        <v>11.3575</v>
      </c>
      <c r="AA157">
        <f>VLOOKUP($B157,'[1]Plant data'!$A$1:$AB$315,9,0)</f>
        <v>11.62275</v>
      </c>
      <c r="AB157">
        <f>VLOOKUP($B157,'[1]Plant data'!$A$1:$AB$315,10,0)</f>
        <v>1.4212800000000001</v>
      </c>
      <c r="AC157">
        <f>VLOOKUP($B157,'[1]Plant data'!$A$1:$AB$315,11,0)</f>
        <v>0.46</v>
      </c>
      <c r="AD157">
        <f>VLOOKUP($B157,'[1]Plant data'!$A$1:$AB$315,12,0)</f>
        <v>1.06515</v>
      </c>
      <c r="AE157">
        <f>VLOOKUP($B157,'[1]Plant data'!$A$1:$AB$315,13,0)</f>
        <v>0.32305000000000006</v>
      </c>
      <c r="AF157">
        <f>VLOOKUP($B157,'[1]Plant data'!$A$1:$AB$315,14,0)</f>
        <v>0.96343333333333325</v>
      </c>
      <c r="AG157">
        <f>VLOOKUP($B157,'[1]Plant data'!$A$1:$AB$315,15,0)</f>
        <v>1</v>
      </c>
      <c r="AH157" t="str">
        <f>VLOOKUP($B157,'[1]Plant data'!$A$1:$AB$315,16,0)</f>
        <v>NA</v>
      </c>
      <c r="AI157">
        <f>VLOOKUP($B157,'[1]Plant data'!$A$1:$AB$315,17,0)</f>
        <v>0.36819721900926922</v>
      </c>
      <c r="AJ157" t="str">
        <f>VLOOKUP($B157,'[1]Plant data'!$A$1:$AB$315,18,0)</f>
        <v>Castro &amp; Galetti 2004, Cazetta 2007, Erica&amp;Wesley, Intervales_morfo, Mikich 2002, Santana et al. 2013, Alves 2008</v>
      </c>
      <c r="AK157">
        <f>VLOOKUP($B157,'[1]Plant data'!$A$1:$AB$315,19,0)</f>
        <v>0.67774999999999996</v>
      </c>
      <c r="AL157">
        <f>VLOOKUP($B157,'[1]Plant data'!$A$1:$AB$315,20,0)</f>
        <v>0.13617499999999999</v>
      </c>
      <c r="AM157">
        <f>VLOOKUP($B157,'[1]Plant data'!$A$1:$AB$315,21,0)</f>
        <v>5.0733332999999999E-2</v>
      </c>
      <c r="AN157">
        <f>VLOOKUP($B157,'[1]Plant data'!$A$1:$AB$315,22,0)</f>
        <v>3.65E-3</v>
      </c>
      <c r="AO157">
        <f>VLOOKUP($B157,'[1]Plant data'!$A$1:$AB$315,23,0)</f>
        <v>0.182</v>
      </c>
      <c r="AP157" t="str">
        <f>VLOOKUP($B157,'[1]Plant data'!$A$1:$AB$315,24,0)</f>
        <v>NA</v>
      </c>
      <c r="AQ157">
        <f>VLOOKUP($B157,'[1]Plant data'!$A$1:$AB$315,25,0)</f>
        <v>0.69899999999999995</v>
      </c>
      <c r="AR157">
        <f>VLOOKUP($B157,'[1]Plant data'!$A$1:$AB$315,26,0)</f>
        <v>2.7E-2</v>
      </c>
      <c r="AS157" t="str">
        <f>VLOOKUP($B157,'[1]Plant data'!$A$1:$AB$315,27,0)</f>
        <v>NA</v>
      </c>
      <c r="AT157" t="str">
        <f>VLOOKUP($B157,'[1]Plant data'!$A$1:$AB$315,28,0)</f>
        <v>Cazetta 2007, Erica &amp; Wesley, unpubl., Saibadela, Santana et al. 2013</v>
      </c>
    </row>
    <row r="158" spans="1:46">
      <c r="A158" s="5" t="s">
        <v>104</v>
      </c>
      <c r="B158" s="14" t="s">
        <v>97</v>
      </c>
      <c r="C158" s="25">
        <v>3</v>
      </c>
      <c r="D158" s="25">
        <v>324</v>
      </c>
      <c r="E158" s="8">
        <f t="shared" si="14"/>
        <v>9.2592592592592587E-3</v>
      </c>
      <c r="F158" s="25">
        <v>9</v>
      </c>
      <c r="G158" s="27">
        <f t="shared" si="13"/>
        <v>3</v>
      </c>
      <c r="H158" s="27"/>
      <c r="I158" s="8">
        <f t="shared" si="12"/>
        <v>2.7777777777777776E-2</v>
      </c>
      <c r="J158" s="25" t="s">
        <v>98</v>
      </c>
      <c r="K158" s="25" t="s">
        <v>103</v>
      </c>
      <c r="L158" t="s">
        <v>93</v>
      </c>
      <c r="M158" t="s">
        <v>94</v>
      </c>
      <c r="N158" s="11">
        <v>343.5</v>
      </c>
      <c r="O158" s="11">
        <v>30.107272729999998</v>
      </c>
      <c r="P158" t="s">
        <v>48</v>
      </c>
      <c r="Q158" t="s">
        <v>25</v>
      </c>
      <c r="R158" t="s">
        <v>76</v>
      </c>
      <c r="S158" t="s">
        <v>27</v>
      </c>
      <c r="T158" t="str">
        <f>VLOOKUP(B158,'[1]Plant data'!$A$1:$AB$315,2,0)</f>
        <v>Arecaceae</v>
      </c>
      <c r="U158" t="str">
        <f>VLOOKUP($B158,'[1]Plant data'!$A$1:$AB$315,3,0)</f>
        <v>NA</v>
      </c>
      <c r="V158" t="str">
        <f>VLOOKUP($B158,'[1]Plant data'!$A$1:$AB$315,4,0)</f>
        <v>black</v>
      </c>
      <c r="W158" t="str">
        <f>VLOOKUP($B158,'[1]Plant data'!$A$1:$AB$315,5,0)</f>
        <v>YES</v>
      </c>
      <c r="X158">
        <f>VLOOKUP($B158,'[1]Plant data'!$A$1:$AB$315,6,0)</f>
        <v>13.294285714285715</v>
      </c>
      <c r="Y158">
        <f>VLOOKUP($B158,'[1]Plant data'!$A$1:$AB$315,7,0)</f>
        <v>12.980000000000002</v>
      </c>
      <c r="Z158">
        <f>VLOOKUP($B158,'[1]Plant data'!$A$1:$AB$315,8,0)</f>
        <v>11.3575</v>
      </c>
      <c r="AA158">
        <f>VLOOKUP($B158,'[1]Plant data'!$A$1:$AB$315,9,0)</f>
        <v>11.62275</v>
      </c>
      <c r="AB158">
        <f>VLOOKUP($B158,'[1]Plant data'!$A$1:$AB$315,10,0)</f>
        <v>1.4212800000000001</v>
      </c>
      <c r="AC158">
        <f>VLOOKUP($B158,'[1]Plant data'!$A$1:$AB$315,11,0)</f>
        <v>0.46</v>
      </c>
      <c r="AD158">
        <f>VLOOKUP($B158,'[1]Plant data'!$A$1:$AB$315,12,0)</f>
        <v>1.06515</v>
      </c>
      <c r="AE158">
        <f>VLOOKUP($B158,'[1]Plant data'!$A$1:$AB$315,13,0)</f>
        <v>0.32305000000000006</v>
      </c>
      <c r="AF158">
        <f>VLOOKUP($B158,'[1]Plant data'!$A$1:$AB$315,14,0)</f>
        <v>0.96343333333333325</v>
      </c>
      <c r="AG158">
        <f>VLOOKUP($B158,'[1]Plant data'!$A$1:$AB$315,15,0)</f>
        <v>1</v>
      </c>
      <c r="AH158" t="str">
        <f>VLOOKUP($B158,'[1]Plant data'!$A$1:$AB$315,16,0)</f>
        <v>NA</v>
      </c>
      <c r="AI158">
        <f>VLOOKUP($B158,'[1]Plant data'!$A$1:$AB$315,17,0)</f>
        <v>0.36819721900926922</v>
      </c>
      <c r="AJ158" t="str">
        <f>VLOOKUP($B158,'[1]Plant data'!$A$1:$AB$315,18,0)</f>
        <v>Castro &amp; Galetti 2004, Cazetta 2007, Erica&amp;Wesley, Intervales_morfo, Mikich 2002, Santana et al. 2013, Alves 2008</v>
      </c>
      <c r="AK158">
        <f>VLOOKUP($B158,'[1]Plant data'!$A$1:$AB$315,19,0)</f>
        <v>0.67774999999999996</v>
      </c>
      <c r="AL158">
        <f>VLOOKUP($B158,'[1]Plant data'!$A$1:$AB$315,20,0)</f>
        <v>0.13617499999999999</v>
      </c>
      <c r="AM158">
        <f>VLOOKUP($B158,'[1]Plant data'!$A$1:$AB$315,21,0)</f>
        <v>5.0733332999999999E-2</v>
      </c>
      <c r="AN158">
        <f>VLOOKUP($B158,'[1]Plant data'!$A$1:$AB$315,22,0)</f>
        <v>3.65E-3</v>
      </c>
      <c r="AO158">
        <f>VLOOKUP($B158,'[1]Plant data'!$A$1:$AB$315,23,0)</f>
        <v>0.182</v>
      </c>
      <c r="AP158" t="str">
        <f>VLOOKUP($B158,'[1]Plant data'!$A$1:$AB$315,24,0)</f>
        <v>NA</v>
      </c>
      <c r="AQ158">
        <f>VLOOKUP($B158,'[1]Plant data'!$A$1:$AB$315,25,0)</f>
        <v>0.69899999999999995</v>
      </c>
      <c r="AR158">
        <f>VLOOKUP($B158,'[1]Plant data'!$A$1:$AB$315,26,0)</f>
        <v>2.7E-2</v>
      </c>
      <c r="AS158" t="str">
        <f>VLOOKUP($B158,'[1]Plant data'!$A$1:$AB$315,27,0)</f>
        <v>NA</v>
      </c>
      <c r="AT158" t="str">
        <f>VLOOKUP($B158,'[1]Plant data'!$A$1:$AB$315,28,0)</f>
        <v>Cazetta 2007, Erica &amp; Wesley, unpubl., Saibadela, Santana et al. 2013</v>
      </c>
    </row>
    <row r="159" spans="1:46">
      <c r="A159" s="5" t="s">
        <v>104</v>
      </c>
      <c r="B159" s="14" t="s">
        <v>97</v>
      </c>
      <c r="C159" s="25">
        <v>7</v>
      </c>
      <c r="D159" s="25">
        <v>324</v>
      </c>
      <c r="E159" s="8">
        <f t="shared" si="14"/>
        <v>2.1604938271604937E-2</v>
      </c>
      <c r="F159" s="25">
        <v>49</v>
      </c>
      <c r="G159" s="27">
        <f t="shared" si="13"/>
        <v>7</v>
      </c>
      <c r="H159" s="27"/>
      <c r="I159" s="8">
        <f t="shared" si="12"/>
        <v>0.15123456790123457</v>
      </c>
      <c r="J159" s="25" t="s">
        <v>98</v>
      </c>
      <c r="K159" s="25" t="s">
        <v>99</v>
      </c>
      <c r="L159" t="s">
        <v>93</v>
      </c>
      <c r="M159" t="s">
        <v>94</v>
      </c>
      <c r="N159" s="11">
        <v>343.5</v>
      </c>
      <c r="O159" s="11">
        <v>30.107272729999998</v>
      </c>
      <c r="P159" t="s">
        <v>48</v>
      </c>
      <c r="Q159" t="s">
        <v>25</v>
      </c>
      <c r="R159" t="s">
        <v>76</v>
      </c>
      <c r="S159" t="s">
        <v>27</v>
      </c>
      <c r="T159" t="str">
        <f>VLOOKUP(B159,'[1]Plant data'!$A$1:$AB$315,2,0)</f>
        <v>Arecaceae</v>
      </c>
      <c r="U159" t="str">
        <f>VLOOKUP($B159,'[1]Plant data'!$A$1:$AB$315,3,0)</f>
        <v>NA</v>
      </c>
      <c r="V159" t="str">
        <f>VLOOKUP($B159,'[1]Plant data'!$A$1:$AB$315,4,0)</f>
        <v>black</v>
      </c>
      <c r="W159" t="str">
        <f>VLOOKUP($B159,'[1]Plant data'!$A$1:$AB$315,5,0)</f>
        <v>YES</v>
      </c>
      <c r="X159">
        <f>VLOOKUP($B159,'[1]Plant data'!$A$1:$AB$315,6,0)</f>
        <v>13.294285714285715</v>
      </c>
      <c r="Y159">
        <f>VLOOKUP($B159,'[1]Plant data'!$A$1:$AB$315,7,0)</f>
        <v>12.980000000000002</v>
      </c>
      <c r="Z159">
        <f>VLOOKUP($B159,'[1]Plant data'!$A$1:$AB$315,8,0)</f>
        <v>11.3575</v>
      </c>
      <c r="AA159">
        <f>VLOOKUP($B159,'[1]Plant data'!$A$1:$AB$315,9,0)</f>
        <v>11.62275</v>
      </c>
      <c r="AB159">
        <f>VLOOKUP($B159,'[1]Plant data'!$A$1:$AB$315,10,0)</f>
        <v>1.4212800000000001</v>
      </c>
      <c r="AC159">
        <f>VLOOKUP($B159,'[1]Plant data'!$A$1:$AB$315,11,0)</f>
        <v>0.46</v>
      </c>
      <c r="AD159">
        <f>VLOOKUP($B159,'[1]Plant data'!$A$1:$AB$315,12,0)</f>
        <v>1.06515</v>
      </c>
      <c r="AE159">
        <f>VLOOKUP($B159,'[1]Plant data'!$A$1:$AB$315,13,0)</f>
        <v>0.32305000000000006</v>
      </c>
      <c r="AF159">
        <f>VLOOKUP($B159,'[1]Plant data'!$A$1:$AB$315,14,0)</f>
        <v>0.96343333333333325</v>
      </c>
      <c r="AG159">
        <f>VLOOKUP($B159,'[1]Plant data'!$A$1:$AB$315,15,0)</f>
        <v>1</v>
      </c>
      <c r="AH159" t="str">
        <f>VLOOKUP($B159,'[1]Plant data'!$A$1:$AB$315,16,0)</f>
        <v>NA</v>
      </c>
      <c r="AI159">
        <f>VLOOKUP($B159,'[1]Plant data'!$A$1:$AB$315,17,0)</f>
        <v>0.36819721900926922</v>
      </c>
      <c r="AJ159" t="str">
        <f>VLOOKUP($B159,'[1]Plant data'!$A$1:$AB$315,18,0)</f>
        <v>Castro &amp; Galetti 2004, Cazetta 2007, Erica&amp;Wesley, Intervales_morfo, Mikich 2002, Santana et al. 2013, Alves 2008</v>
      </c>
      <c r="AK159">
        <f>VLOOKUP($B159,'[1]Plant data'!$A$1:$AB$315,19,0)</f>
        <v>0.67774999999999996</v>
      </c>
      <c r="AL159">
        <f>VLOOKUP($B159,'[1]Plant data'!$A$1:$AB$315,20,0)</f>
        <v>0.13617499999999999</v>
      </c>
      <c r="AM159">
        <f>VLOOKUP($B159,'[1]Plant data'!$A$1:$AB$315,21,0)</f>
        <v>5.0733332999999999E-2</v>
      </c>
      <c r="AN159">
        <f>VLOOKUP($B159,'[1]Plant data'!$A$1:$AB$315,22,0)</f>
        <v>3.65E-3</v>
      </c>
      <c r="AO159">
        <f>VLOOKUP($B159,'[1]Plant data'!$A$1:$AB$315,23,0)</f>
        <v>0.182</v>
      </c>
      <c r="AP159" t="str">
        <f>VLOOKUP($B159,'[1]Plant data'!$A$1:$AB$315,24,0)</f>
        <v>NA</v>
      </c>
      <c r="AQ159">
        <f>VLOOKUP($B159,'[1]Plant data'!$A$1:$AB$315,25,0)</f>
        <v>0.69899999999999995</v>
      </c>
      <c r="AR159">
        <f>VLOOKUP($B159,'[1]Plant data'!$A$1:$AB$315,26,0)</f>
        <v>2.7E-2</v>
      </c>
      <c r="AS159" t="str">
        <f>VLOOKUP($B159,'[1]Plant data'!$A$1:$AB$315,27,0)</f>
        <v>NA</v>
      </c>
      <c r="AT159" t="str">
        <f>VLOOKUP($B159,'[1]Plant data'!$A$1:$AB$315,28,0)</f>
        <v>Cazetta 2007, Erica &amp; Wesley, unpubl., Saibadela, Santana et al. 2013</v>
      </c>
    </row>
    <row r="160" spans="1:46">
      <c r="A160" s="5" t="s">
        <v>104</v>
      </c>
      <c r="B160" s="14" t="s">
        <v>97</v>
      </c>
      <c r="C160" s="25">
        <v>10</v>
      </c>
      <c r="D160" s="25">
        <v>324</v>
      </c>
      <c r="E160" s="8">
        <f t="shared" si="14"/>
        <v>3.0864197530864196E-2</v>
      </c>
      <c r="F160" s="25">
        <v>55</v>
      </c>
      <c r="G160" s="27">
        <f t="shared" si="13"/>
        <v>5.5</v>
      </c>
      <c r="H160" s="27"/>
      <c r="I160" s="8">
        <f t="shared" si="12"/>
        <v>0.16975308641975306</v>
      </c>
      <c r="J160" s="25" t="s">
        <v>98</v>
      </c>
      <c r="K160" s="25" t="s">
        <v>102</v>
      </c>
      <c r="L160" t="s">
        <v>93</v>
      </c>
      <c r="M160" t="s">
        <v>94</v>
      </c>
      <c r="N160" s="11">
        <v>343.5</v>
      </c>
      <c r="O160" s="11">
        <v>30.107272729999998</v>
      </c>
      <c r="P160" t="s">
        <v>48</v>
      </c>
      <c r="Q160" t="s">
        <v>25</v>
      </c>
      <c r="R160" t="s">
        <v>76</v>
      </c>
      <c r="S160" t="s">
        <v>27</v>
      </c>
      <c r="T160" t="str">
        <f>VLOOKUP(B160,'[1]Plant data'!$A$1:$AB$315,2,0)</f>
        <v>Arecaceae</v>
      </c>
      <c r="U160" t="str">
        <f>VLOOKUP($B160,'[1]Plant data'!$A$1:$AB$315,3,0)</f>
        <v>NA</v>
      </c>
      <c r="V160" t="str">
        <f>VLOOKUP($B160,'[1]Plant data'!$A$1:$AB$315,4,0)</f>
        <v>black</v>
      </c>
      <c r="W160" t="str">
        <f>VLOOKUP($B160,'[1]Plant data'!$A$1:$AB$315,5,0)</f>
        <v>YES</v>
      </c>
      <c r="X160">
        <f>VLOOKUP($B160,'[1]Plant data'!$A$1:$AB$315,6,0)</f>
        <v>13.294285714285715</v>
      </c>
      <c r="Y160">
        <f>VLOOKUP($B160,'[1]Plant data'!$A$1:$AB$315,7,0)</f>
        <v>12.980000000000002</v>
      </c>
      <c r="Z160">
        <f>VLOOKUP($B160,'[1]Plant data'!$A$1:$AB$315,8,0)</f>
        <v>11.3575</v>
      </c>
      <c r="AA160">
        <f>VLOOKUP($B160,'[1]Plant data'!$A$1:$AB$315,9,0)</f>
        <v>11.62275</v>
      </c>
      <c r="AB160">
        <f>VLOOKUP($B160,'[1]Plant data'!$A$1:$AB$315,10,0)</f>
        <v>1.4212800000000001</v>
      </c>
      <c r="AC160">
        <f>VLOOKUP($B160,'[1]Plant data'!$A$1:$AB$315,11,0)</f>
        <v>0.46</v>
      </c>
      <c r="AD160">
        <f>VLOOKUP($B160,'[1]Plant data'!$A$1:$AB$315,12,0)</f>
        <v>1.06515</v>
      </c>
      <c r="AE160">
        <f>VLOOKUP($B160,'[1]Plant data'!$A$1:$AB$315,13,0)</f>
        <v>0.32305000000000006</v>
      </c>
      <c r="AF160">
        <f>VLOOKUP($B160,'[1]Plant data'!$A$1:$AB$315,14,0)</f>
        <v>0.96343333333333325</v>
      </c>
      <c r="AG160">
        <f>VLOOKUP($B160,'[1]Plant data'!$A$1:$AB$315,15,0)</f>
        <v>1</v>
      </c>
      <c r="AH160" t="str">
        <f>VLOOKUP($B160,'[1]Plant data'!$A$1:$AB$315,16,0)</f>
        <v>NA</v>
      </c>
      <c r="AI160">
        <f>VLOOKUP($B160,'[1]Plant data'!$A$1:$AB$315,17,0)</f>
        <v>0.36819721900926922</v>
      </c>
      <c r="AJ160" t="str">
        <f>VLOOKUP($B160,'[1]Plant data'!$A$1:$AB$315,18,0)</f>
        <v>Castro &amp; Galetti 2004, Cazetta 2007, Erica&amp;Wesley, Intervales_morfo, Mikich 2002, Santana et al. 2013, Alves 2008</v>
      </c>
      <c r="AK160">
        <f>VLOOKUP($B160,'[1]Plant data'!$A$1:$AB$315,19,0)</f>
        <v>0.67774999999999996</v>
      </c>
      <c r="AL160">
        <f>VLOOKUP($B160,'[1]Plant data'!$A$1:$AB$315,20,0)</f>
        <v>0.13617499999999999</v>
      </c>
      <c r="AM160">
        <f>VLOOKUP($B160,'[1]Plant data'!$A$1:$AB$315,21,0)</f>
        <v>5.0733332999999999E-2</v>
      </c>
      <c r="AN160">
        <f>VLOOKUP($B160,'[1]Plant data'!$A$1:$AB$315,22,0)</f>
        <v>3.65E-3</v>
      </c>
      <c r="AO160">
        <f>VLOOKUP($B160,'[1]Plant data'!$A$1:$AB$315,23,0)</f>
        <v>0.182</v>
      </c>
      <c r="AP160" t="str">
        <f>VLOOKUP($B160,'[1]Plant data'!$A$1:$AB$315,24,0)</f>
        <v>NA</v>
      </c>
      <c r="AQ160">
        <f>VLOOKUP($B160,'[1]Plant data'!$A$1:$AB$315,25,0)</f>
        <v>0.69899999999999995</v>
      </c>
      <c r="AR160">
        <f>VLOOKUP($B160,'[1]Plant data'!$A$1:$AB$315,26,0)</f>
        <v>2.7E-2</v>
      </c>
      <c r="AS160" t="str">
        <f>VLOOKUP($B160,'[1]Plant data'!$A$1:$AB$315,27,0)</f>
        <v>NA</v>
      </c>
      <c r="AT160" t="str">
        <f>VLOOKUP($B160,'[1]Plant data'!$A$1:$AB$315,28,0)</f>
        <v>Cazetta 2007, Erica &amp; Wesley, unpubl., Saibadela, Santana et al. 2013</v>
      </c>
    </row>
    <row r="161" spans="1:46">
      <c r="A161" s="5" t="s">
        <v>105</v>
      </c>
      <c r="B161" s="14" t="s">
        <v>97</v>
      </c>
      <c r="C161" s="25">
        <v>5</v>
      </c>
      <c r="D161" s="25">
        <v>324</v>
      </c>
      <c r="E161" s="8">
        <f t="shared" si="14"/>
        <v>1.5432098765432098E-2</v>
      </c>
      <c r="F161">
        <v>8</v>
      </c>
      <c r="G161" s="9">
        <f t="shared" si="13"/>
        <v>1.6</v>
      </c>
      <c r="H161" s="9"/>
      <c r="I161" s="8">
        <f t="shared" si="12"/>
        <v>2.4691358024691357E-2</v>
      </c>
      <c r="J161" s="25" t="s">
        <v>98</v>
      </c>
      <c r="K161" s="25" t="s">
        <v>99</v>
      </c>
      <c r="L161" t="s">
        <v>93</v>
      </c>
      <c r="M161" t="s">
        <v>94</v>
      </c>
      <c r="N161" s="11">
        <v>164</v>
      </c>
      <c r="O161" s="11">
        <v>25.039000000000001</v>
      </c>
      <c r="P161" t="s">
        <v>48</v>
      </c>
      <c r="Q161" t="s">
        <v>25</v>
      </c>
      <c r="R161" t="s">
        <v>26</v>
      </c>
      <c r="S161" t="s">
        <v>27</v>
      </c>
      <c r="T161" t="str">
        <f>VLOOKUP(B161,'[1]Plant data'!$A$1:$AB$315,2,0)</f>
        <v>Arecaceae</v>
      </c>
      <c r="U161" t="str">
        <f>VLOOKUP($B161,'[1]Plant data'!$A$1:$AB$315,3,0)</f>
        <v>NA</v>
      </c>
      <c r="V161" t="str">
        <f>VLOOKUP($B161,'[1]Plant data'!$A$1:$AB$315,4,0)</f>
        <v>black</v>
      </c>
      <c r="W161" t="str">
        <f>VLOOKUP($B161,'[1]Plant data'!$A$1:$AB$315,5,0)</f>
        <v>YES</v>
      </c>
      <c r="X161">
        <f>VLOOKUP($B161,'[1]Plant data'!$A$1:$AB$315,6,0)</f>
        <v>13.294285714285715</v>
      </c>
      <c r="Y161">
        <f>VLOOKUP($B161,'[1]Plant data'!$A$1:$AB$315,7,0)</f>
        <v>12.980000000000002</v>
      </c>
      <c r="Z161">
        <f>VLOOKUP($B161,'[1]Plant data'!$A$1:$AB$315,8,0)</f>
        <v>11.3575</v>
      </c>
      <c r="AA161">
        <f>VLOOKUP($B161,'[1]Plant data'!$A$1:$AB$315,9,0)</f>
        <v>11.62275</v>
      </c>
      <c r="AB161">
        <f>VLOOKUP($B161,'[1]Plant data'!$A$1:$AB$315,10,0)</f>
        <v>1.4212800000000001</v>
      </c>
      <c r="AC161">
        <f>VLOOKUP($B161,'[1]Plant data'!$A$1:$AB$315,11,0)</f>
        <v>0.46</v>
      </c>
      <c r="AD161">
        <f>VLOOKUP($B161,'[1]Plant data'!$A$1:$AB$315,12,0)</f>
        <v>1.06515</v>
      </c>
      <c r="AE161">
        <f>VLOOKUP($B161,'[1]Plant data'!$A$1:$AB$315,13,0)</f>
        <v>0.32305000000000006</v>
      </c>
      <c r="AF161">
        <f>VLOOKUP($B161,'[1]Plant data'!$A$1:$AB$315,14,0)</f>
        <v>0.96343333333333325</v>
      </c>
      <c r="AG161">
        <f>VLOOKUP($B161,'[1]Plant data'!$A$1:$AB$315,15,0)</f>
        <v>1</v>
      </c>
      <c r="AH161" t="str">
        <f>VLOOKUP($B161,'[1]Plant data'!$A$1:$AB$315,16,0)</f>
        <v>NA</v>
      </c>
      <c r="AI161">
        <f>VLOOKUP($B161,'[1]Plant data'!$A$1:$AB$315,17,0)</f>
        <v>0.36819721900926922</v>
      </c>
      <c r="AJ161" t="str">
        <f>VLOOKUP($B161,'[1]Plant data'!$A$1:$AB$315,18,0)</f>
        <v>Castro &amp; Galetti 2004, Cazetta 2007, Erica&amp;Wesley, Intervales_morfo, Mikich 2002, Santana et al. 2013, Alves 2008</v>
      </c>
      <c r="AK161">
        <f>VLOOKUP($B161,'[1]Plant data'!$A$1:$AB$315,19,0)</f>
        <v>0.67774999999999996</v>
      </c>
      <c r="AL161">
        <f>VLOOKUP($B161,'[1]Plant data'!$A$1:$AB$315,20,0)</f>
        <v>0.13617499999999999</v>
      </c>
      <c r="AM161">
        <f>VLOOKUP($B161,'[1]Plant data'!$A$1:$AB$315,21,0)</f>
        <v>5.0733332999999999E-2</v>
      </c>
      <c r="AN161">
        <f>VLOOKUP($B161,'[1]Plant data'!$A$1:$AB$315,22,0)</f>
        <v>3.65E-3</v>
      </c>
      <c r="AO161">
        <f>VLOOKUP($B161,'[1]Plant data'!$A$1:$AB$315,23,0)</f>
        <v>0.182</v>
      </c>
      <c r="AP161" t="str">
        <f>VLOOKUP($B161,'[1]Plant data'!$A$1:$AB$315,24,0)</f>
        <v>NA</v>
      </c>
      <c r="AQ161">
        <f>VLOOKUP($B161,'[1]Plant data'!$A$1:$AB$315,25,0)</f>
        <v>0.69899999999999995</v>
      </c>
      <c r="AR161">
        <f>VLOOKUP($B161,'[1]Plant data'!$A$1:$AB$315,26,0)</f>
        <v>2.7E-2</v>
      </c>
      <c r="AS161" t="str">
        <f>VLOOKUP($B161,'[1]Plant data'!$A$1:$AB$315,27,0)</f>
        <v>NA</v>
      </c>
      <c r="AT161" t="str">
        <f>VLOOKUP($B161,'[1]Plant data'!$A$1:$AB$315,28,0)</f>
        <v>Cazetta 2007, Erica &amp; Wesley, unpubl., Saibadela, Santana et al. 2013</v>
      </c>
    </row>
    <row r="162" spans="1:46">
      <c r="A162" s="5" t="s">
        <v>105</v>
      </c>
      <c r="B162" s="14" t="s">
        <v>97</v>
      </c>
      <c r="C162" s="25">
        <v>4</v>
      </c>
      <c r="D162" s="25">
        <v>324</v>
      </c>
      <c r="E162" s="8">
        <f t="shared" si="14"/>
        <v>1.2345679012345678E-2</v>
      </c>
      <c r="F162" s="25">
        <v>18</v>
      </c>
      <c r="G162" s="9">
        <f t="shared" si="13"/>
        <v>4.5</v>
      </c>
      <c r="H162" s="9"/>
      <c r="I162" s="8">
        <f t="shared" si="12"/>
        <v>5.5555555555555552E-2</v>
      </c>
      <c r="J162" s="25" t="s">
        <v>98</v>
      </c>
      <c r="K162" s="25" t="s">
        <v>102</v>
      </c>
      <c r="L162" t="s">
        <v>93</v>
      </c>
      <c r="M162" t="s">
        <v>94</v>
      </c>
      <c r="N162" s="11">
        <v>164</v>
      </c>
      <c r="O162" s="11">
        <v>25.039000000000001</v>
      </c>
      <c r="P162" t="s">
        <v>48</v>
      </c>
      <c r="Q162" t="s">
        <v>25</v>
      </c>
      <c r="R162" t="s">
        <v>26</v>
      </c>
      <c r="S162" t="s">
        <v>27</v>
      </c>
      <c r="T162" t="str">
        <f>VLOOKUP(B162,'[1]Plant data'!$A$1:$AB$315,2,0)</f>
        <v>Arecaceae</v>
      </c>
      <c r="U162" t="str">
        <f>VLOOKUP($B162,'[1]Plant data'!$A$1:$AB$315,3,0)</f>
        <v>NA</v>
      </c>
      <c r="V162" t="str">
        <f>VLOOKUP($B162,'[1]Plant data'!$A$1:$AB$315,4,0)</f>
        <v>black</v>
      </c>
      <c r="W162" t="str">
        <f>VLOOKUP($B162,'[1]Plant data'!$A$1:$AB$315,5,0)</f>
        <v>YES</v>
      </c>
      <c r="X162">
        <f>VLOOKUP($B162,'[1]Plant data'!$A$1:$AB$315,6,0)</f>
        <v>13.294285714285715</v>
      </c>
      <c r="Y162">
        <f>VLOOKUP($B162,'[1]Plant data'!$A$1:$AB$315,7,0)</f>
        <v>12.980000000000002</v>
      </c>
      <c r="Z162">
        <f>VLOOKUP($B162,'[1]Plant data'!$A$1:$AB$315,8,0)</f>
        <v>11.3575</v>
      </c>
      <c r="AA162">
        <f>VLOOKUP($B162,'[1]Plant data'!$A$1:$AB$315,9,0)</f>
        <v>11.62275</v>
      </c>
      <c r="AB162">
        <f>VLOOKUP($B162,'[1]Plant data'!$A$1:$AB$315,10,0)</f>
        <v>1.4212800000000001</v>
      </c>
      <c r="AC162">
        <f>VLOOKUP($B162,'[1]Plant data'!$A$1:$AB$315,11,0)</f>
        <v>0.46</v>
      </c>
      <c r="AD162">
        <f>VLOOKUP($B162,'[1]Plant data'!$A$1:$AB$315,12,0)</f>
        <v>1.06515</v>
      </c>
      <c r="AE162">
        <f>VLOOKUP($B162,'[1]Plant data'!$A$1:$AB$315,13,0)</f>
        <v>0.32305000000000006</v>
      </c>
      <c r="AF162">
        <f>VLOOKUP($B162,'[1]Plant data'!$A$1:$AB$315,14,0)</f>
        <v>0.96343333333333325</v>
      </c>
      <c r="AG162">
        <f>VLOOKUP($B162,'[1]Plant data'!$A$1:$AB$315,15,0)</f>
        <v>1</v>
      </c>
      <c r="AH162" t="str">
        <f>VLOOKUP($B162,'[1]Plant data'!$A$1:$AB$315,16,0)</f>
        <v>NA</v>
      </c>
      <c r="AI162">
        <f>VLOOKUP($B162,'[1]Plant data'!$A$1:$AB$315,17,0)</f>
        <v>0.36819721900926922</v>
      </c>
      <c r="AJ162" t="str">
        <f>VLOOKUP($B162,'[1]Plant data'!$A$1:$AB$315,18,0)</f>
        <v>Castro &amp; Galetti 2004, Cazetta 2007, Erica&amp;Wesley, Intervales_morfo, Mikich 2002, Santana et al. 2013, Alves 2008</v>
      </c>
      <c r="AK162">
        <f>VLOOKUP($B162,'[1]Plant data'!$A$1:$AB$315,19,0)</f>
        <v>0.67774999999999996</v>
      </c>
      <c r="AL162">
        <f>VLOOKUP($B162,'[1]Plant data'!$A$1:$AB$315,20,0)</f>
        <v>0.13617499999999999</v>
      </c>
      <c r="AM162">
        <f>VLOOKUP($B162,'[1]Plant data'!$A$1:$AB$315,21,0)</f>
        <v>5.0733332999999999E-2</v>
      </c>
      <c r="AN162">
        <f>VLOOKUP($B162,'[1]Plant data'!$A$1:$AB$315,22,0)</f>
        <v>3.65E-3</v>
      </c>
      <c r="AO162">
        <f>VLOOKUP($B162,'[1]Plant data'!$A$1:$AB$315,23,0)</f>
        <v>0.182</v>
      </c>
      <c r="AP162" t="str">
        <f>VLOOKUP($B162,'[1]Plant data'!$A$1:$AB$315,24,0)</f>
        <v>NA</v>
      </c>
      <c r="AQ162">
        <f>VLOOKUP($B162,'[1]Plant data'!$A$1:$AB$315,25,0)</f>
        <v>0.69899999999999995</v>
      </c>
      <c r="AR162">
        <f>VLOOKUP($B162,'[1]Plant data'!$A$1:$AB$315,26,0)</f>
        <v>2.7E-2</v>
      </c>
      <c r="AS162" t="str">
        <f>VLOOKUP($B162,'[1]Plant data'!$A$1:$AB$315,27,0)</f>
        <v>NA</v>
      </c>
      <c r="AT162" t="str">
        <f>VLOOKUP($B162,'[1]Plant data'!$A$1:$AB$315,28,0)</f>
        <v>Cazetta 2007, Erica &amp; Wesley, unpubl., Saibadela, Santana et al. 2013</v>
      </c>
    </row>
    <row r="163" spans="1:46">
      <c r="A163" s="5" t="s">
        <v>32</v>
      </c>
      <c r="B163" s="14" t="s">
        <v>97</v>
      </c>
      <c r="C163">
        <v>2</v>
      </c>
      <c r="D163" s="25">
        <v>324</v>
      </c>
      <c r="E163" s="8">
        <f t="shared" si="14"/>
        <v>6.1728395061728392E-3</v>
      </c>
      <c r="F163" t="s">
        <v>19</v>
      </c>
      <c r="G163" s="41">
        <v>1.1400000000000001</v>
      </c>
      <c r="H163" s="41"/>
      <c r="I163" s="8">
        <f t="shared" si="12"/>
        <v>7.0370370370370378E-3</v>
      </c>
      <c r="J163" s="25" t="s">
        <v>98</v>
      </c>
      <c r="K163" t="s">
        <v>102</v>
      </c>
      <c r="L163" t="s">
        <v>22</v>
      </c>
      <c r="M163" t="s">
        <v>30</v>
      </c>
      <c r="N163" s="11">
        <v>18</v>
      </c>
      <c r="O163" s="11">
        <v>5.1684999999999999</v>
      </c>
      <c r="P163" t="s">
        <v>24</v>
      </c>
      <c r="Q163" s="13" t="s">
        <v>25</v>
      </c>
      <c r="R163" s="13" t="s">
        <v>26</v>
      </c>
      <c r="S163" s="13" t="s">
        <v>31</v>
      </c>
      <c r="T163" t="str">
        <f>VLOOKUP(B163,'[1]Plant data'!$A$1:$AB$315,2,0)</f>
        <v>Arecaceae</v>
      </c>
      <c r="U163" t="str">
        <f>VLOOKUP($B163,'[1]Plant data'!$A$1:$AB$315,3,0)</f>
        <v>NA</v>
      </c>
      <c r="V163" t="str">
        <f>VLOOKUP($B163,'[1]Plant data'!$A$1:$AB$315,4,0)</f>
        <v>black</v>
      </c>
      <c r="W163" t="str">
        <f>VLOOKUP($B163,'[1]Plant data'!$A$1:$AB$315,5,0)</f>
        <v>YES</v>
      </c>
      <c r="X163">
        <f>VLOOKUP($B163,'[1]Plant data'!$A$1:$AB$315,6,0)</f>
        <v>13.294285714285715</v>
      </c>
      <c r="Y163">
        <f>VLOOKUP($B163,'[1]Plant data'!$A$1:$AB$315,7,0)</f>
        <v>12.980000000000002</v>
      </c>
      <c r="Z163">
        <f>VLOOKUP($B163,'[1]Plant data'!$A$1:$AB$315,8,0)</f>
        <v>11.3575</v>
      </c>
      <c r="AA163">
        <f>VLOOKUP($B163,'[1]Plant data'!$A$1:$AB$315,9,0)</f>
        <v>11.62275</v>
      </c>
      <c r="AB163">
        <f>VLOOKUP($B163,'[1]Plant data'!$A$1:$AB$315,10,0)</f>
        <v>1.4212800000000001</v>
      </c>
      <c r="AC163">
        <f>VLOOKUP($B163,'[1]Plant data'!$A$1:$AB$315,11,0)</f>
        <v>0.46</v>
      </c>
      <c r="AD163">
        <f>VLOOKUP($B163,'[1]Plant data'!$A$1:$AB$315,12,0)</f>
        <v>1.06515</v>
      </c>
      <c r="AE163">
        <f>VLOOKUP($B163,'[1]Plant data'!$A$1:$AB$315,13,0)</f>
        <v>0.32305000000000006</v>
      </c>
      <c r="AF163">
        <f>VLOOKUP($B163,'[1]Plant data'!$A$1:$AB$315,14,0)</f>
        <v>0.96343333333333325</v>
      </c>
      <c r="AG163">
        <f>VLOOKUP($B163,'[1]Plant data'!$A$1:$AB$315,15,0)</f>
        <v>1</v>
      </c>
      <c r="AH163" t="str">
        <f>VLOOKUP($B163,'[1]Plant data'!$A$1:$AB$315,16,0)</f>
        <v>NA</v>
      </c>
      <c r="AI163">
        <f>VLOOKUP($B163,'[1]Plant data'!$A$1:$AB$315,17,0)</f>
        <v>0.36819721900926922</v>
      </c>
      <c r="AJ163" t="str">
        <f>VLOOKUP($B163,'[1]Plant data'!$A$1:$AB$315,18,0)</f>
        <v>Castro &amp; Galetti 2004, Cazetta 2007, Erica&amp;Wesley, Intervales_morfo, Mikich 2002, Santana et al. 2013, Alves 2008</v>
      </c>
      <c r="AK163">
        <f>VLOOKUP($B163,'[1]Plant data'!$A$1:$AB$315,19,0)</f>
        <v>0.67774999999999996</v>
      </c>
      <c r="AL163">
        <f>VLOOKUP($B163,'[1]Plant data'!$A$1:$AB$315,20,0)</f>
        <v>0.13617499999999999</v>
      </c>
      <c r="AM163">
        <f>VLOOKUP($B163,'[1]Plant data'!$A$1:$AB$315,21,0)</f>
        <v>5.0733332999999999E-2</v>
      </c>
      <c r="AN163">
        <f>VLOOKUP($B163,'[1]Plant data'!$A$1:$AB$315,22,0)</f>
        <v>3.65E-3</v>
      </c>
      <c r="AO163">
        <f>VLOOKUP($B163,'[1]Plant data'!$A$1:$AB$315,23,0)</f>
        <v>0.182</v>
      </c>
      <c r="AP163" t="str">
        <f>VLOOKUP($B163,'[1]Plant data'!$A$1:$AB$315,24,0)</f>
        <v>NA</v>
      </c>
      <c r="AQ163">
        <f>VLOOKUP($B163,'[1]Plant data'!$A$1:$AB$315,25,0)</f>
        <v>0.69899999999999995</v>
      </c>
      <c r="AR163">
        <f>VLOOKUP($B163,'[1]Plant data'!$A$1:$AB$315,26,0)</f>
        <v>2.7E-2</v>
      </c>
      <c r="AS163" t="str">
        <f>VLOOKUP($B163,'[1]Plant data'!$A$1:$AB$315,27,0)</f>
        <v>NA</v>
      </c>
      <c r="AT163" t="str">
        <f>VLOOKUP($B163,'[1]Plant data'!$A$1:$AB$315,28,0)</f>
        <v>Cazetta 2007, Erica &amp; Wesley, unpubl., Saibadela, Santana et al. 2013</v>
      </c>
    </row>
    <row r="164" spans="1:46">
      <c r="A164" s="5" t="s">
        <v>62</v>
      </c>
      <c r="B164" s="6" t="s">
        <v>97</v>
      </c>
      <c r="C164" s="25">
        <v>2</v>
      </c>
      <c r="D164" s="25">
        <v>324</v>
      </c>
      <c r="E164" s="8">
        <f t="shared" si="14"/>
        <v>6.1728395061728392E-3</v>
      </c>
      <c r="F164" s="9" t="s">
        <v>19</v>
      </c>
      <c r="G164" s="41">
        <v>1.1400000000000001</v>
      </c>
      <c r="H164" s="41"/>
      <c r="I164" s="8">
        <f t="shared" si="12"/>
        <v>7.0370370370370378E-3</v>
      </c>
      <c r="J164" s="24" t="s">
        <v>98</v>
      </c>
      <c r="K164" s="25" t="s">
        <v>99</v>
      </c>
      <c r="L164" t="s">
        <v>22</v>
      </c>
      <c r="M164" t="s">
        <v>30</v>
      </c>
      <c r="N164" s="11">
        <v>18.7</v>
      </c>
      <c r="O164" s="11">
        <v>6.1185714290000002</v>
      </c>
      <c r="P164" t="s">
        <v>24</v>
      </c>
      <c r="Q164" t="s">
        <v>25</v>
      </c>
      <c r="R164" t="s">
        <v>26</v>
      </c>
      <c r="S164" t="s">
        <v>31</v>
      </c>
      <c r="T164" t="str">
        <f>VLOOKUP(B164,'[1]Plant data'!$A$1:$AB$315,2,0)</f>
        <v>Arecaceae</v>
      </c>
      <c r="U164" t="str">
        <f>VLOOKUP($B164,'[1]Plant data'!$A$1:$AB$315,3,0)</f>
        <v>NA</v>
      </c>
      <c r="V164" t="str">
        <f>VLOOKUP($B164,'[1]Plant data'!$A$1:$AB$315,4,0)</f>
        <v>black</v>
      </c>
      <c r="W164" t="str">
        <f>VLOOKUP($B164,'[1]Plant data'!$A$1:$AB$315,5,0)</f>
        <v>YES</v>
      </c>
      <c r="X164">
        <f>VLOOKUP($B164,'[1]Plant data'!$A$1:$AB$315,6,0)</f>
        <v>13.294285714285715</v>
      </c>
      <c r="Y164">
        <f>VLOOKUP($B164,'[1]Plant data'!$A$1:$AB$315,7,0)</f>
        <v>12.980000000000002</v>
      </c>
      <c r="Z164">
        <f>VLOOKUP($B164,'[1]Plant data'!$A$1:$AB$315,8,0)</f>
        <v>11.3575</v>
      </c>
      <c r="AA164">
        <f>VLOOKUP($B164,'[1]Plant data'!$A$1:$AB$315,9,0)</f>
        <v>11.62275</v>
      </c>
      <c r="AB164">
        <f>VLOOKUP($B164,'[1]Plant data'!$A$1:$AB$315,10,0)</f>
        <v>1.4212800000000001</v>
      </c>
      <c r="AC164">
        <f>VLOOKUP($B164,'[1]Plant data'!$A$1:$AB$315,11,0)</f>
        <v>0.46</v>
      </c>
      <c r="AD164">
        <f>VLOOKUP($B164,'[1]Plant data'!$A$1:$AB$315,12,0)</f>
        <v>1.06515</v>
      </c>
      <c r="AE164">
        <f>VLOOKUP($B164,'[1]Plant data'!$A$1:$AB$315,13,0)</f>
        <v>0.32305000000000006</v>
      </c>
      <c r="AF164">
        <f>VLOOKUP($B164,'[1]Plant data'!$A$1:$AB$315,14,0)</f>
        <v>0.96343333333333325</v>
      </c>
      <c r="AG164">
        <f>VLOOKUP($B164,'[1]Plant data'!$A$1:$AB$315,15,0)</f>
        <v>1</v>
      </c>
      <c r="AH164" t="str">
        <f>VLOOKUP($B164,'[1]Plant data'!$A$1:$AB$315,16,0)</f>
        <v>NA</v>
      </c>
      <c r="AI164">
        <f>VLOOKUP($B164,'[1]Plant data'!$A$1:$AB$315,17,0)</f>
        <v>0.36819721900926922</v>
      </c>
      <c r="AJ164" t="str">
        <f>VLOOKUP($B164,'[1]Plant data'!$A$1:$AB$315,18,0)</f>
        <v>Castro &amp; Galetti 2004, Cazetta 2007, Erica&amp;Wesley, Intervales_morfo, Mikich 2002, Santana et al. 2013, Alves 2008</v>
      </c>
      <c r="AK164">
        <f>VLOOKUP($B164,'[1]Plant data'!$A$1:$AB$315,19,0)</f>
        <v>0.67774999999999996</v>
      </c>
      <c r="AL164">
        <f>VLOOKUP($B164,'[1]Plant data'!$A$1:$AB$315,20,0)</f>
        <v>0.13617499999999999</v>
      </c>
      <c r="AM164">
        <f>VLOOKUP($B164,'[1]Plant data'!$A$1:$AB$315,21,0)</f>
        <v>5.0733332999999999E-2</v>
      </c>
      <c r="AN164">
        <f>VLOOKUP($B164,'[1]Plant data'!$A$1:$AB$315,22,0)</f>
        <v>3.65E-3</v>
      </c>
      <c r="AO164">
        <f>VLOOKUP($B164,'[1]Plant data'!$A$1:$AB$315,23,0)</f>
        <v>0.182</v>
      </c>
      <c r="AP164" t="str">
        <f>VLOOKUP($B164,'[1]Plant data'!$A$1:$AB$315,24,0)</f>
        <v>NA</v>
      </c>
      <c r="AQ164">
        <f>VLOOKUP($B164,'[1]Plant data'!$A$1:$AB$315,25,0)</f>
        <v>0.69899999999999995</v>
      </c>
      <c r="AR164">
        <f>VLOOKUP($B164,'[1]Plant data'!$A$1:$AB$315,26,0)</f>
        <v>2.7E-2</v>
      </c>
      <c r="AS164" t="str">
        <f>VLOOKUP($B164,'[1]Plant data'!$A$1:$AB$315,27,0)</f>
        <v>NA</v>
      </c>
      <c r="AT164" t="str">
        <f>VLOOKUP($B164,'[1]Plant data'!$A$1:$AB$315,28,0)</f>
        <v>Cazetta 2007, Erica &amp; Wesley, unpubl., Saibadela, Santana et al. 2013</v>
      </c>
    </row>
    <row r="165" spans="1:46">
      <c r="A165" s="5" t="s">
        <v>62</v>
      </c>
      <c r="B165" s="6" t="s">
        <v>97</v>
      </c>
      <c r="C165" s="25">
        <v>2</v>
      </c>
      <c r="D165" s="25">
        <v>324</v>
      </c>
      <c r="E165" s="8">
        <f t="shared" si="14"/>
        <v>6.1728395061728392E-3</v>
      </c>
      <c r="F165" s="9" t="s">
        <v>19</v>
      </c>
      <c r="G165" s="41">
        <v>1.1400000000000001</v>
      </c>
      <c r="H165" s="41"/>
      <c r="I165" s="8">
        <f t="shared" si="12"/>
        <v>7.0370370370370378E-3</v>
      </c>
      <c r="J165" s="25" t="s">
        <v>98</v>
      </c>
      <c r="K165" s="25" t="s">
        <v>102</v>
      </c>
      <c r="L165" t="s">
        <v>22</v>
      </c>
      <c r="M165" t="s">
        <v>30</v>
      </c>
      <c r="N165" s="11">
        <v>18.7</v>
      </c>
      <c r="O165" s="11">
        <v>6.1185714290000002</v>
      </c>
      <c r="P165" t="s">
        <v>24</v>
      </c>
      <c r="Q165" t="s">
        <v>25</v>
      </c>
      <c r="R165" t="s">
        <v>26</v>
      </c>
      <c r="S165" t="s">
        <v>31</v>
      </c>
      <c r="T165" t="str">
        <f>VLOOKUP(B165,'[1]Plant data'!$A$1:$AB$315,2,0)</f>
        <v>Arecaceae</v>
      </c>
      <c r="U165" t="str">
        <f>VLOOKUP($B165,'[1]Plant data'!$A$1:$AB$315,3,0)</f>
        <v>NA</v>
      </c>
      <c r="V165" t="str">
        <f>VLOOKUP($B165,'[1]Plant data'!$A$1:$AB$315,4,0)</f>
        <v>black</v>
      </c>
      <c r="W165" t="str">
        <f>VLOOKUP($B165,'[1]Plant data'!$A$1:$AB$315,5,0)</f>
        <v>YES</v>
      </c>
      <c r="X165">
        <f>VLOOKUP($B165,'[1]Plant data'!$A$1:$AB$315,6,0)</f>
        <v>13.294285714285715</v>
      </c>
      <c r="Y165">
        <f>VLOOKUP($B165,'[1]Plant data'!$A$1:$AB$315,7,0)</f>
        <v>12.980000000000002</v>
      </c>
      <c r="Z165">
        <f>VLOOKUP($B165,'[1]Plant data'!$A$1:$AB$315,8,0)</f>
        <v>11.3575</v>
      </c>
      <c r="AA165">
        <f>VLOOKUP($B165,'[1]Plant data'!$A$1:$AB$315,9,0)</f>
        <v>11.62275</v>
      </c>
      <c r="AB165">
        <f>VLOOKUP($B165,'[1]Plant data'!$A$1:$AB$315,10,0)</f>
        <v>1.4212800000000001</v>
      </c>
      <c r="AC165">
        <f>VLOOKUP($B165,'[1]Plant data'!$A$1:$AB$315,11,0)</f>
        <v>0.46</v>
      </c>
      <c r="AD165">
        <f>VLOOKUP($B165,'[1]Plant data'!$A$1:$AB$315,12,0)</f>
        <v>1.06515</v>
      </c>
      <c r="AE165">
        <f>VLOOKUP($B165,'[1]Plant data'!$A$1:$AB$315,13,0)</f>
        <v>0.32305000000000006</v>
      </c>
      <c r="AF165">
        <f>VLOOKUP($B165,'[1]Plant data'!$A$1:$AB$315,14,0)</f>
        <v>0.96343333333333325</v>
      </c>
      <c r="AG165">
        <f>VLOOKUP($B165,'[1]Plant data'!$A$1:$AB$315,15,0)</f>
        <v>1</v>
      </c>
      <c r="AH165" t="str">
        <f>VLOOKUP($B165,'[1]Plant data'!$A$1:$AB$315,16,0)</f>
        <v>NA</v>
      </c>
      <c r="AI165">
        <f>VLOOKUP($B165,'[1]Plant data'!$A$1:$AB$315,17,0)</f>
        <v>0.36819721900926922</v>
      </c>
      <c r="AJ165" t="str">
        <f>VLOOKUP($B165,'[1]Plant data'!$A$1:$AB$315,18,0)</f>
        <v>Castro &amp; Galetti 2004, Cazetta 2007, Erica&amp;Wesley, Intervales_morfo, Mikich 2002, Santana et al. 2013, Alves 2008</v>
      </c>
      <c r="AK165">
        <f>VLOOKUP($B165,'[1]Plant data'!$A$1:$AB$315,19,0)</f>
        <v>0.67774999999999996</v>
      </c>
      <c r="AL165">
        <f>VLOOKUP($B165,'[1]Plant data'!$A$1:$AB$315,20,0)</f>
        <v>0.13617499999999999</v>
      </c>
      <c r="AM165">
        <f>VLOOKUP($B165,'[1]Plant data'!$A$1:$AB$315,21,0)</f>
        <v>5.0733332999999999E-2</v>
      </c>
      <c r="AN165">
        <f>VLOOKUP($B165,'[1]Plant data'!$A$1:$AB$315,22,0)</f>
        <v>3.65E-3</v>
      </c>
      <c r="AO165">
        <f>VLOOKUP($B165,'[1]Plant data'!$A$1:$AB$315,23,0)</f>
        <v>0.182</v>
      </c>
      <c r="AP165" t="str">
        <f>VLOOKUP($B165,'[1]Plant data'!$A$1:$AB$315,24,0)</f>
        <v>NA</v>
      </c>
      <c r="AQ165">
        <f>VLOOKUP($B165,'[1]Plant data'!$A$1:$AB$315,25,0)</f>
        <v>0.69899999999999995</v>
      </c>
      <c r="AR165">
        <f>VLOOKUP($B165,'[1]Plant data'!$A$1:$AB$315,26,0)</f>
        <v>2.7E-2</v>
      </c>
      <c r="AS165" t="str">
        <f>VLOOKUP($B165,'[1]Plant data'!$A$1:$AB$315,27,0)</f>
        <v>NA</v>
      </c>
      <c r="AT165" t="str">
        <f>VLOOKUP($B165,'[1]Plant data'!$A$1:$AB$315,28,0)</f>
        <v>Cazetta 2007, Erica &amp; Wesley, unpubl., Saibadela, Santana et al. 2013</v>
      </c>
    </row>
    <row r="166" spans="1:46">
      <c r="A166" s="5" t="s">
        <v>106</v>
      </c>
      <c r="B166" s="14" t="s">
        <v>97</v>
      </c>
      <c r="C166">
        <v>2</v>
      </c>
      <c r="D166" s="25">
        <v>324</v>
      </c>
      <c r="E166" s="8">
        <f t="shared" si="14"/>
        <v>6.1728395061728392E-3</v>
      </c>
      <c r="F166">
        <v>3</v>
      </c>
      <c r="G166" s="9">
        <f>F166/C166</f>
        <v>1.5</v>
      </c>
      <c r="H166" s="9"/>
      <c r="I166" s="8">
        <f t="shared" si="12"/>
        <v>9.2592592592592587E-3</v>
      </c>
      <c r="J166" s="24" t="s">
        <v>98</v>
      </c>
      <c r="K166" s="25" t="s">
        <v>102</v>
      </c>
      <c r="L166" t="s">
        <v>22</v>
      </c>
      <c r="M166" t="s">
        <v>75</v>
      </c>
      <c r="N166" s="11">
        <v>68.099999999999994</v>
      </c>
      <c r="O166" s="11">
        <v>16.570370369999999</v>
      </c>
      <c r="P166" t="s">
        <v>48</v>
      </c>
      <c r="Q166" t="s">
        <v>49</v>
      </c>
      <c r="R166" t="s">
        <v>26</v>
      </c>
      <c r="S166" t="s">
        <v>27</v>
      </c>
      <c r="T166" t="str">
        <f>VLOOKUP(B166,'[1]Plant data'!$A$1:$AB$315,2,0)</f>
        <v>Arecaceae</v>
      </c>
      <c r="U166" t="str">
        <f>VLOOKUP($B166,'[1]Plant data'!$A$1:$AB$315,3,0)</f>
        <v>NA</v>
      </c>
      <c r="V166" t="str">
        <f>VLOOKUP($B166,'[1]Plant data'!$A$1:$AB$315,4,0)</f>
        <v>black</v>
      </c>
      <c r="W166" t="str">
        <f>VLOOKUP($B166,'[1]Plant data'!$A$1:$AB$315,5,0)</f>
        <v>YES</v>
      </c>
      <c r="X166">
        <f>VLOOKUP($B166,'[1]Plant data'!$A$1:$AB$315,6,0)</f>
        <v>13.294285714285715</v>
      </c>
      <c r="Y166">
        <f>VLOOKUP($B166,'[1]Plant data'!$A$1:$AB$315,7,0)</f>
        <v>12.980000000000002</v>
      </c>
      <c r="Z166">
        <f>VLOOKUP($B166,'[1]Plant data'!$A$1:$AB$315,8,0)</f>
        <v>11.3575</v>
      </c>
      <c r="AA166">
        <f>VLOOKUP($B166,'[1]Plant data'!$A$1:$AB$315,9,0)</f>
        <v>11.62275</v>
      </c>
      <c r="AB166">
        <f>VLOOKUP($B166,'[1]Plant data'!$A$1:$AB$315,10,0)</f>
        <v>1.4212800000000001</v>
      </c>
      <c r="AC166">
        <f>VLOOKUP($B166,'[1]Plant data'!$A$1:$AB$315,11,0)</f>
        <v>0.46</v>
      </c>
      <c r="AD166">
        <f>VLOOKUP($B166,'[1]Plant data'!$A$1:$AB$315,12,0)</f>
        <v>1.06515</v>
      </c>
      <c r="AE166">
        <f>VLOOKUP($B166,'[1]Plant data'!$A$1:$AB$315,13,0)</f>
        <v>0.32305000000000006</v>
      </c>
      <c r="AF166">
        <f>VLOOKUP($B166,'[1]Plant data'!$A$1:$AB$315,14,0)</f>
        <v>0.96343333333333325</v>
      </c>
      <c r="AG166">
        <f>VLOOKUP($B166,'[1]Plant data'!$A$1:$AB$315,15,0)</f>
        <v>1</v>
      </c>
      <c r="AH166" t="str">
        <f>VLOOKUP($B166,'[1]Plant data'!$A$1:$AB$315,16,0)</f>
        <v>NA</v>
      </c>
      <c r="AI166">
        <f>VLOOKUP($B166,'[1]Plant data'!$A$1:$AB$315,17,0)</f>
        <v>0.36819721900926922</v>
      </c>
      <c r="AJ166" t="str">
        <f>VLOOKUP($B166,'[1]Plant data'!$A$1:$AB$315,18,0)</f>
        <v>Castro &amp; Galetti 2004, Cazetta 2007, Erica&amp;Wesley, Intervales_morfo, Mikich 2002, Santana et al. 2013, Alves 2008</v>
      </c>
      <c r="AK166">
        <f>VLOOKUP($B166,'[1]Plant data'!$A$1:$AB$315,19,0)</f>
        <v>0.67774999999999996</v>
      </c>
      <c r="AL166">
        <f>VLOOKUP($B166,'[1]Plant data'!$A$1:$AB$315,20,0)</f>
        <v>0.13617499999999999</v>
      </c>
      <c r="AM166">
        <f>VLOOKUP($B166,'[1]Plant data'!$A$1:$AB$315,21,0)</f>
        <v>5.0733332999999999E-2</v>
      </c>
      <c r="AN166">
        <f>VLOOKUP($B166,'[1]Plant data'!$A$1:$AB$315,22,0)</f>
        <v>3.65E-3</v>
      </c>
      <c r="AO166">
        <f>VLOOKUP($B166,'[1]Plant data'!$A$1:$AB$315,23,0)</f>
        <v>0.182</v>
      </c>
      <c r="AP166" t="str">
        <f>VLOOKUP($B166,'[1]Plant data'!$A$1:$AB$315,24,0)</f>
        <v>NA</v>
      </c>
      <c r="AQ166">
        <f>VLOOKUP($B166,'[1]Plant data'!$A$1:$AB$315,25,0)</f>
        <v>0.69899999999999995</v>
      </c>
      <c r="AR166">
        <f>VLOOKUP($B166,'[1]Plant data'!$A$1:$AB$315,26,0)</f>
        <v>2.7E-2</v>
      </c>
      <c r="AS166" t="str">
        <f>VLOOKUP($B166,'[1]Plant data'!$A$1:$AB$315,27,0)</f>
        <v>NA</v>
      </c>
      <c r="AT166" t="str">
        <f>VLOOKUP($B166,'[1]Plant data'!$A$1:$AB$315,28,0)</f>
        <v>Cazetta 2007, Erica &amp; Wesley, unpubl., Saibadela, Santana et al. 2013</v>
      </c>
    </row>
    <row r="167" spans="1:46">
      <c r="A167" s="5" t="s">
        <v>107</v>
      </c>
      <c r="B167" s="14" t="s">
        <v>97</v>
      </c>
      <c r="C167">
        <v>2</v>
      </c>
      <c r="D167" s="25">
        <v>324</v>
      </c>
      <c r="E167" s="8">
        <f t="shared" si="14"/>
        <v>6.1728395061728392E-3</v>
      </c>
      <c r="F167">
        <v>2</v>
      </c>
      <c r="G167" s="9">
        <f>F167/C167</f>
        <v>1</v>
      </c>
      <c r="H167" s="9"/>
      <c r="I167" s="8">
        <f t="shared" si="12"/>
        <v>6.1728395061728392E-3</v>
      </c>
      <c r="J167" t="s">
        <v>98</v>
      </c>
      <c r="K167" s="25" t="s">
        <v>103</v>
      </c>
      <c r="L167" t="s">
        <v>108</v>
      </c>
      <c r="M167" t="s">
        <v>109</v>
      </c>
      <c r="N167" s="11">
        <v>89.7</v>
      </c>
      <c r="O167" s="11">
        <v>20.489000000000001</v>
      </c>
      <c r="P167" t="s">
        <v>48</v>
      </c>
      <c r="Q167" t="s">
        <v>25</v>
      </c>
      <c r="R167" t="s">
        <v>26</v>
      </c>
      <c r="S167" t="s">
        <v>31</v>
      </c>
      <c r="T167" t="str">
        <f>VLOOKUP(B167,'[1]Plant data'!$A$1:$AB$315,2,0)</f>
        <v>Arecaceae</v>
      </c>
      <c r="U167" t="str">
        <f>VLOOKUP($B167,'[1]Plant data'!$A$1:$AB$315,3,0)</f>
        <v>NA</v>
      </c>
      <c r="V167" t="str">
        <f>VLOOKUP($B167,'[1]Plant data'!$A$1:$AB$315,4,0)</f>
        <v>black</v>
      </c>
      <c r="W167" t="str">
        <f>VLOOKUP($B167,'[1]Plant data'!$A$1:$AB$315,5,0)</f>
        <v>YES</v>
      </c>
      <c r="X167">
        <f>VLOOKUP($B167,'[1]Plant data'!$A$1:$AB$315,6,0)</f>
        <v>13.294285714285715</v>
      </c>
      <c r="Y167">
        <f>VLOOKUP($B167,'[1]Plant data'!$A$1:$AB$315,7,0)</f>
        <v>12.980000000000002</v>
      </c>
      <c r="Z167">
        <f>VLOOKUP($B167,'[1]Plant data'!$A$1:$AB$315,8,0)</f>
        <v>11.3575</v>
      </c>
      <c r="AA167">
        <f>VLOOKUP($B167,'[1]Plant data'!$A$1:$AB$315,9,0)</f>
        <v>11.62275</v>
      </c>
      <c r="AB167">
        <f>VLOOKUP($B167,'[1]Plant data'!$A$1:$AB$315,10,0)</f>
        <v>1.4212800000000001</v>
      </c>
      <c r="AC167">
        <f>VLOOKUP($B167,'[1]Plant data'!$A$1:$AB$315,11,0)</f>
        <v>0.46</v>
      </c>
      <c r="AD167">
        <f>VLOOKUP($B167,'[1]Plant data'!$A$1:$AB$315,12,0)</f>
        <v>1.06515</v>
      </c>
      <c r="AE167">
        <f>VLOOKUP($B167,'[1]Plant data'!$A$1:$AB$315,13,0)</f>
        <v>0.32305000000000006</v>
      </c>
      <c r="AF167">
        <f>VLOOKUP($B167,'[1]Plant data'!$A$1:$AB$315,14,0)</f>
        <v>0.96343333333333325</v>
      </c>
      <c r="AG167">
        <f>VLOOKUP($B167,'[1]Plant data'!$A$1:$AB$315,15,0)</f>
        <v>1</v>
      </c>
      <c r="AH167" t="str">
        <f>VLOOKUP($B167,'[1]Plant data'!$A$1:$AB$315,16,0)</f>
        <v>NA</v>
      </c>
      <c r="AI167">
        <f>VLOOKUP($B167,'[1]Plant data'!$A$1:$AB$315,17,0)</f>
        <v>0.36819721900926922</v>
      </c>
      <c r="AJ167" t="str">
        <f>VLOOKUP($B167,'[1]Plant data'!$A$1:$AB$315,18,0)</f>
        <v>Castro &amp; Galetti 2004, Cazetta 2007, Erica&amp;Wesley, Intervales_morfo, Mikich 2002, Santana et al. 2013, Alves 2008</v>
      </c>
      <c r="AK167">
        <f>VLOOKUP($B167,'[1]Plant data'!$A$1:$AB$315,19,0)</f>
        <v>0.67774999999999996</v>
      </c>
      <c r="AL167">
        <f>VLOOKUP($B167,'[1]Plant data'!$A$1:$AB$315,20,0)</f>
        <v>0.13617499999999999</v>
      </c>
      <c r="AM167">
        <f>VLOOKUP($B167,'[1]Plant data'!$A$1:$AB$315,21,0)</f>
        <v>5.0733332999999999E-2</v>
      </c>
      <c r="AN167">
        <f>VLOOKUP($B167,'[1]Plant data'!$A$1:$AB$315,22,0)</f>
        <v>3.65E-3</v>
      </c>
      <c r="AO167">
        <f>VLOOKUP($B167,'[1]Plant data'!$A$1:$AB$315,23,0)</f>
        <v>0.182</v>
      </c>
      <c r="AP167" t="str">
        <f>VLOOKUP($B167,'[1]Plant data'!$A$1:$AB$315,24,0)</f>
        <v>NA</v>
      </c>
      <c r="AQ167">
        <f>VLOOKUP($B167,'[1]Plant data'!$A$1:$AB$315,25,0)</f>
        <v>0.69899999999999995</v>
      </c>
      <c r="AR167">
        <f>VLOOKUP($B167,'[1]Plant data'!$A$1:$AB$315,26,0)</f>
        <v>2.7E-2</v>
      </c>
      <c r="AS167" t="str">
        <f>VLOOKUP($B167,'[1]Plant data'!$A$1:$AB$315,27,0)</f>
        <v>NA</v>
      </c>
      <c r="AT167" t="str">
        <f>VLOOKUP($B167,'[1]Plant data'!$A$1:$AB$315,28,0)</f>
        <v>Cazetta 2007, Erica &amp; Wesley, unpubl., Saibadela, Santana et al. 2013</v>
      </c>
    </row>
    <row r="168" spans="1:46">
      <c r="A168" s="5" t="s">
        <v>107</v>
      </c>
      <c r="B168" s="14" t="s">
        <v>97</v>
      </c>
      <c r="C168" s="7">
        <v>6</v>
      </c>
      <c r="D168" s="25">
        <v>324</v>
      </c>
      <c r="E168" s="8">
        <f t="shared" si="14"/>
        <v>1.8518518518518517E-2</v>
      </c>
      <c r="F168">
        <v>4</v>
      </c>
      <c r="G168" s="9">
        <v>1.25</v>
      </c>
      <c r="H168" s="9"/>
      <c r="I168" s="8">
        <f t="shared" si="12"/>
        <v>2.3148148148148147E-2</v>
      </c>
      <c r="J168" s="25" t="s">
        <v>98</v>
      </c>
      <c r="K168" s="25" t="s">
        <v>102</v>
      </c>
      <c r="L168" t="s">
        <v>108</v>
      </c>
      <c r="M168" t="s">
        <v>109</v>
      </c>
      <c r="N168" s="11">
        <v>89.7</v>
      </c>
      <c r="O168" s="11">
        <v>20.489000000000001</v>
      </c>
      <c r="P168" t="s">
        <v>48</v>
      </c>
      <c r="Q168" t="s">
        <v>25</v>
      </c>
      <c r="R168" t="s">
        <v>26</v>
      </c>
      <c r="S168" t="s">
        <v>31</v>
      </c>
      <c r="T168" t="str">
        <f>VLOOKUP(B168,'[1]Plant data'!$A$1:$AB$315,2,0)</f>
        <v>Arecaceae</v>
      </c>
      <c r="U168" t="str">
        <f>VLOOKUP($B168,'[1]Plant data'!$A$1:$AB$315,3,0)</f>
        <v>NA</v>
      </c>
      <c r="V168" t="str">
        <f>VLOOKUP($B168,'[1]Plant data'!$A$1:$AB$315,4,0)</f>
        <v>black</v>
      </c>
      <c r="W168" t="str">
        <f>VLOOKUP($B168,'[1]Plant data'!$A$1:$AB$315,5,0)</f>
        <v>YES</v>
      </c>
      <c r="X168">
        <f>VLOOKUP($B168,'[1]Plant data'!$A$1:$AB$315,6,0)</f>
        <v>13.294285714285715</v>
      </c>
      <c r="Y168">
        <f>VLOOKUP($B168,'[1]Plant data'!$A$1:$AB$315,7,0)</f>
        <v>12.980000000000002</v>
      </c>
      <c r="Z168">
        <f>VLOOKUP($B168,'[1]Plant data'!$A$1:$AB$315,8,0)</f>
        <v>11.3575</v>
      </c>
      <c r="AA168">
        <f>VLOOKUP($B168,'[1]Plant data'!$A$1:$AB$315,9,0)</f>
        <v>11.62275</v>
      </c>
      <c r="AB168">
        <f>VLOOKUP($B168,'[1]Plant data'!$A$1:$AB$315,10,0)</f>
        <v>1.4212800000000001</v>
      </c>
      <c r="AC168">
        <f>VLOOKUP($B168,'[1]Plant data'!$A$1:$AB$315,11,0)</f>
        <v>0.46</v>
      </c>
      <c r="AD168">
        <f>VLOOKUP($B168,'[1]Plant data'!$A$1:$AB$315,12,0)</f>
        <v>1.06515</v>
      </c>
      <c r="AE168">
        <f>VLOOKUP($B168,'[1]Plant data'!$A$1:$AB$315,13,0)</f>
        <v>0.32305000000000006</v>
      </c>
      <c r="AF168">
        <f>VLOOKUP($B168,'[1]Plant data'!$A$1:$AB$315,14,0)</f>
        <v>0.96343333333333325</v>
      </c>
      <c r="AG168">
        <f>VLOOKUP($B168,'[1]Plant data'!$A$1:$AB$315,15,0)</f>
        <v>1</v>
      </c>
      <c r="AH168" t="str">
        <f>VLOOKUP($B168,'[1]Plant data'!$A$1:$AB$315,16,0)</f>
        <v>NA</v>
      </c>
      <c r="AI168">
        <f>VLOOKUP($B168,'[1]Plant data'!$A$1:$AB$315,17,0)</f>
        <v>0.36819721900926922</v>
      </c>
      <c r="AJ168" t="str">
        <f>VLOOKUP($B168,'[1]Plant data'!$A$1:$AB$315,18,0)</f>
        <v>Castro &amp; Galetti 2004, Cazetta 2007, Erica&amp;Wesley, Intervales_morfo, Mikich 2002, Santana et al. 2013, Alves 2008</v>
      </c>
      <c r="AK168">
        <f>VLOOKUP($B168,'[1]Plant data'!$A$1:$AB$315,19,0)</f>
        <v>0.67774999999999996</v>
      </c>
      <c r="AL168">
        <f>VLOOKUP($B168,'[1]Plant data'!$A$1:$AB$315,20,0)</f>
        <v>0.13617499999999999</v>
      </c>
      <c r="AM168">
        <f>VLOOKUP($B168,'[1]Plant data'!$A$1:$AB$315,21,0)</f>
        <v>5.0733332999999999E-2</v>
      </c>
      <c r="AN168">
        <f>VLOOKUP($B168,'[1]Plant data'!$A$1:$AB$315,22,0)</f>
        <v>3.65E-3</v>
      </c>
      <c r="AO168">
        <f>VLOOKUP($B168,'[1]Plant data'!$A$1:$AB$315,23,0)</f>
        <v>0.182</v>
      </c>
      <c r="AP168" t="str">
        <f>VLOOKUP($B168,'[1]Plant data'!$A$1:$AB$315,24,0)</f>
        <v>NA</v>
      </c>
      <c r="AQ168">
        <f>VLOOKUP($B168,'[1]Plant data'!$A$1:$AB$315,25,0)</f>
        <v>0.69899999999999995</v>
      </c>
      <c r="AR168">
        <f>VLOOKUP($B168,'[1]Plant data'!$A$1:$AB$315,26,0)</f>
        <v>2.7E-2</v>
      </c>
      <c r="AS168" t="str">
        <f>VLOOKUP($B168,'[1]Plant data'!$A$1:$AB$315,27,0)</f>
        <v>NA</v>
      </c>
      <c r="AT168" t="str">
        <f>VLOOKUP($B168,'[1]Plant data'!$A$1:$AB$315,28,0)</f>
        <v>Cazetta 2007, Erica &amp; Wesley, unpubl., Saibadela, Santana et al. 2013</v>
      </c>
    </row>
    <row r="169" spans="1:46">
      <c r="A169" s="5" t="s">
        <v>107</v>
      </c>
      <c r="B169" s="14" t="s">
        <v>97</v>
      </c>
      <c r="C169" s="7">
        <v>5</v>
      </c>
      <c r="D169" s="25">
        <v>324</v>
      </c>
      <c r="E169" s="8">
        <f t="shared" si="14"/>
        <v>1.5432098765432098E-2</v>
      </c>
      <c r="F169">
        <v>11</v>
      </c>
      <c r="G169" s="9">
        <f t="shared" ref="G169:G174" si="15">F169/C169</f>
        <v>2.2000000000000002</v>
      </c>
      <c r="H169" s="9"/>
      <c r="I169" s="8">
        <f t="shared" si="12"/>
        <v>3.3950617283950615E-2</v>
      </c>
      <c r="J169" s="25" t="s">
        <v>98</v>
      </c>
      <c r="K169" s="25" t="s">
        <v>99</v>
      </c>
      <c r="L169" t="s">
        <v>108</v>
      </c>
      <c r="M169" t="s">
        <v>109</v>
      </c>
      <c r="N169" s="11">
        <v>89.7</v>
      </c>
      <c r="O169" s="11">
        <v>20.489000000000001</v>
      </c>
      <c r="P169" t="s">
        <v>48</v>
      </c>
      <c r="Q169" t="s">
        <v>25</v>
      </c>
      <c r="R169" t="s">
        <v>26</v>
      </c>
      <c r="S169" t="s">
        <v>31</v>
      </c>
      <c r="T169" t="str">
        <f>VLOOKUP(B169,'[1]Plant data'!$A$1:$AB$315,2,0)</f>
        <v>Arecaceae</v>
      </c>
      <c r="U169" t="str">
        <f>VLOOKUP($B169,'[1]Plant data'!$A$1:$AB$315,3,0)</f>
        <v>NA</v>
      </c>
      <c r="V169" t="str">
        <f>VLOOKUP($B169,'[1]Plant data'!$A$1:$AB$315,4,0)</f>
        <v>black</v>
      </c>
      <c r="W169" t="str">
        <f>VLOOKUP($B169,'[1]Plant data'!$A$1:$AB$315,5,0)</f>
        <v>YES</v>
      </c>
      <c r="X169">
        <f>VLOOKUP($B169,'[1]Plant data'!$A$1:$AB$315,6,0)</f>
        <v>13.294285714285715</v>
      </c>
      <c r="Y169">
        <f>VLOOKUP($B169,'[1]Plant data'!$A$1:$AB$315,7,0)</f>
        <v>12.980000000000002</v>
      </c>
      <c r="Z169">
        <f>VLOOKUP($B169,'[1]Plant data'!$A$1:$AB$315,8,0)</f>
        <v>11.3575</v>
      </c>
      <c r="AA169">
        <f>VLOOKUP($B169,'[1]Plant data'!$A$1:$AB$315,9,0)</f>
        <v>11.62275</v>
      </c>
      <c r="AB169">
        <f>VLOOKUP($B169,'[1]Plant data'!$A$1:$AB$315,10,0)</f>
        <v>1.4212800000000001</v>
      </c>
      <c r="AC169">
        <f>VLOOKUP($B169,'[1]Plant data'!$A$1:$AB$315,11,0)</f>
        <v>0.46</v>
      </c>
      <c r="AD169">
        <f>VLOOKUP($B169,'[1]Plant data'!$A$1:$AB$315,12,0)</f>
        <v>1.06515</v>
      </c>
      <c r="AE169">
        <f>VLOOKUP($B169,'[1]Plant data'!$A$1:$AB$315,13,0)</f>
        <v>0.32305000000000006</v>
      </c>
      <c r="AF169">
        <f>VLOOKUP($B169,'[1]Plant data'!$A$1:$AB$315,14,0)</f>
        <v>0.96343333333333325</v>
      </c>
      <c r="AG169">
        <f>VLOOKUP($B169,'[1]Plant data'!$A$1:$AB$315,15,0)</f>
        <v>1</v>
      </c>
      <c r="AH169" t="str">
        <f>VLOOKUP($B169,'[1]Plant data'!$A$1:$AB$315,16,0)</f>
        <v>NA</v>
      </c>
      <c r="AI169">
        <f>VLOOKUP($B169,'[1]Plant data'!$A$1:$AB$315,17,0)</f>
        <v>0.36819721900926922</v>
      </c>
      <c r="AJ169" t="str">
        <f>VLOOKUP($B169,'[1]Plant data'!$A$1:$AB$315,18,0)</f>
        <v>Castro &amp; Galetti 2004, Cazetta 2007, Erica&amp;Wesley, Intervales_morfo, Mikich 2002, Santana et al. 2013, Alves 2008</v>
      </c>
      <c r="AK169">
        <f>VLOOKUP($B169,'[1]Plant data'!$A$1:$AB$315,19,0)</f>
        <v>0.67774999999999996</v>
      </c>
      <c r="AL169">
        <f>VLOOKUP($B169,'[1]Plant data'!$A$1:$AB$315,20,0)</f>
        <v>0.13617499999999999</v>
      </c>
      <c r="AM169">
        <f>VLOOKUP($B169,'[1]Plant data'!$A$1:$AB$315,21,0)</f>
        <v>5.0733332999999999E-2</v>
      </c>
      <c r="AN169">
        <f>VLOOKUP($B169,'[1]Plant data'!$A$1:$AB$315,22,0)</f>
        <v>3.65E-3</v>
      </c>
      <c r="AO169">
        <f>VLOOKUP($B169,'[1]Plant data'!$A$1:$AB$315,23,0)</f>
        <v>0.182</v>
      </c>
      <c r="AP169" t="str">
        <f>VLOOKUP($B169,'[1]Plant data'!$A$1:$AB$315,24,0)</f>
        <v>NA</v>
      </c>
      <c r="AQ169">
        <f>VLOOKUP($B169,'[1]Plant data'!$A$1:$AB$315,25,0)</f>
        <v>0.69899999999999995</v>
      </c>
      <c r="AR169">
        <f>VLOOKUP($B169,'[1]Plant data'!$A$1:$AB$315,26,0)</f>
        <v>2.7E-2</v>
      </c>
      <c r="AS169" t="str">
        <f>VLOOKUP($B169,'[1]Plant data'!$A$1:$AB$315,27,0)</f>
        <v>NA</v>
      </c>
      <c r="AT169" t="str">
        <f>VLOOKUP($B169,'[1]Plant data'!$A$1:$AB$315,28,0)</f>
        <v>Cazetta 2007, Erica &amp; Wesley, unpubl., Saibadela, Santana et al. 2013</v>
      </c>
    </row>
    <row r="170" spans="1:46">
      <c r="A170" s="5" t="s">
        <v>46</v>
      </c>
      <c r="B170" s="6" t="s">
        <v>97</v>
      </c>
      <c r="C170">
        <v>2</v>
      </c>
      <c r="D170" s="25">
        <v>324</v>
      </c>
      <c r="E170" s="8">
        <f t="shared" si="14"/>
        <v>6.1728395061728392E-3</v>
      </c>
      <c r="F170">
        <v>6</v>
      </c>
      <c r="G170" s="9">
        <f t="shared" si="15"/>
        <v>3</v>
      </c>
      <c r="H170" s="9"/>
      <c r="I170" s="8">
        <f t="shared" si="12"/>
        <v>1.8518518518518517E-2</v>
      </c>
      <c r="J170" t="s">
        <v>98</v>
      </c>
      <c r="K170" s="25" t="s">
        <v>103</v>
      </c>
      <c r="L170" t="s">
        <v>22</v>
      </c>
      <c r="M170" t="s">
        <v>47</v>
      </c>
      <c r="N170" s="11">
        <v>54</v>
      </c>
      <c r="O170" s="11">
        <v>11.14875</v>
      </c>
      <c r="P170" t="s">
        <v>48</v>
      </c>
      <c r="Q170" t="s">
        <v>49</v>
      </c>
      <c r="R170" t="s">
        <v>26</v>
      </c>
      <c r="S170" t="s">
        <v>31</v>
      </c>
      <c r="T170" t="str">
        <f>VLOOKUP(B170,'[1]Plant data'!$A$1:$AB$315,2,0)</f>
        <v>Arecaceae</v>
      </c>
      <c r="U170" t="str">
        <f>VLOOKUP($B170,'[1]Plant data'!$A$1:$AB$315,3,0)</f>
        <v>NA</v>
      </c>
      <c r="V170" t="str">
        <f>VLOOKUP($B170,'[1]Plant data'!$A$1:$AB$315,4,0)</f>
        <v>black</v>
      </c>
      <c r="W170" t="str">
        <f>VLOOKUP($B170,'[1]Plant data'!$A$1:$AB$315,5,0)</f>
        <v>YES</v>
      </c>
      <c r="X170">
        <f>VLOOKUP($B170,'[1]Plant data'!$A$1:$AB$315,6,0)</f>
        <v>13.294285714285715</v>
      </c>
      <c r="Y170">
        <f>VLOOKUP($B170,'[1]Plant data'!$A$1:$AB$315,7,0)</f>
        <v>12.980000000000002</v>
      </c>
      <c r="Z170">
        <f>VLOOKUP($B170,'[1]Plant data'!$A$1:$AB$315,8,0)</f>
        <v>11.3575</v>
      </c>
      <c r="AA170">
        <f>VLOOKUP($B170,'[1]Plant data'!$A$1:$AB$315,9,0)</f>
        <v>11.62275</v>
      </c>
      <c r="AB170">
        <f>VLOOKUP($B170,'[1]Plant data'!$A$1:$AB$315,10,0)</f>
        <v>1.4212800000000001</v>
      </c>
      <c r="AC170">
        <f>VLOOKUP($B170,'[1]Plant data'!$A$1:$AB$315,11,0)</f>
        <v>0.46</v>
      </c>
      <c r="AD170">
        <f>VLOOKUP($B170,'[1]Plant data'!$A$1:$AB$315,12,0)</f>
        <v>1.06515</v>
      </c>
      <c r="AE170">
        <f>VLOOKUP($B170,'[1]Plant data'!$A$1:$AB$315,13,0)</f>
        <v>0.32305000000000006</v>
      </c>
      <c r="AF170">
        <f>VLOOKUP($B170,'[1]Plant data'!$A$1:$AB$315,14,0)</f>
        <v>0.96343333333333325</v>
      </c>
      <c r="AG170">
        <f>VLOOKUP($B170,'[1]Plant data'!$A$1:$AB$315,15,0)</f>
        <v>1</v>
      </c>
      <c r="AH170" t="str">
        <f>VLOOKUP($B170,'[1]Plant data'!$A$1:$AB$315,16,0)</f>
        <v>NA</v>
      </c>
      <c r="AI170">
        <f>VLOOKUP($B170,'[1]Plant data'!$A$1:$AB$315,17,0)</f>
        <v>0.36819721900926922</v>
      </c>
      <c r="AJ170" t="str">
        <f>VLOOKUP($B170,'[1]Plant data'!$A$1:$AB$315,18,0)</f>
        <v>Castro &amp; Galetti 2004, Cazetta 2007, Erica&amp;Wesley, Intervales_morfo, Mikich 2002, Santana et al. 2013, Alves 2008</v>
      </c>
      <c r="AK170">
        <f>VLOOKUP($B170,'[1]Plant data'!$A$1:$AB$315,19,0)</f>
        <v>0.67774999999999996</v>
      </c>
      <c r="AL170">
        <f>VLOOKUP($B170,'[1]Plant data'!$A$1:$AB$315,20,0)</f>
        <v>0.13617499999999999</v>
      </c>
      <c r="AM170">
        <f>VLOOKUP($B170,'[1]Plant data'!$A$1:$AB$315,21,0)</f>
        <v>5.0733332999999999E-2</v>
      </c>
      <c r="AN170">
        <f>VLOOKUP($B170,'[1]Plant data'!$A$1:$AB$315,22,0)</f>
        <v>3.65E-3</v>
      </c>
      <c r="AO170">
        <f>VLOOKUP($B170,'[1]Plant data'!$A$1:$AB$315,23,0)</f>
        <v>0.182</v>
      </c>
      <c r="AP170" t="str">
        <f>VLOOKUP($B170,'[1]Plant data'!$A$1:$AB$315,24,0)</f>
        <v>NA</v>
      </c>
      <c r="AQ170">
        <f>VLOOKUP($B170,'[1]Plant data'!$A$1:$AB$315,25,0)</f>
        <v>0.69899999999999995</v>
      </c>
      <c r="AR170">
        <f>VLOOKUP($B170,'[1]Plant data'!$A$1:$AB$315,26,0)</f>
        <v>2.7E-2</v>
      </c>
      <c r="AS170" t="str">
        <f>VLOOKUP($B170,'[1]Plant data'!$A$1:$AB$315,27,0)</f>
        <v>NA</v>
      </c>
      <c r="AT170" t="str">
        <f>VLOOKUP($B170,'[1]Plant data'!$A$1:$AB$315,28,0)</f>
        <v>Cazetta 2007, Erica &amp; Wesley, unpubl., Saibadela, Santana et al. 2013</v>
      </c>
    </row>
    <row r="171" spans="1:46">
      <c r="A171" s="5" t="s">
        <v>46</v>
      </c>
      <c r="B171" s="6" t="s">
        <v>97</v>
      </c>
      <c r="C171">
        <v>7</v>
      </c>
      <c r="D171" s="25">
        <v>324</v>
      </c>
      <c r="E171" s="8">
        <f t="shared" si="14"/>
        <v>2.1604938271604937E-2</v>
      </c>
      <c r="F171">
        <v>15</v>
      </c>
      <c r="G171" s="9">
        <f t="shared" si="15"/>
        <v>2.1428571428571428</v>
      </c>
      <c r="H171" s="9"/>
      <c r="I171" s="8">
        <f t="shared" si="12"/>
        <v>4.6296296296296294E-2</v>
      </c>
      <c r="J171" s="25" t="s">
        <v>98</v>
      </c>
      <c r="K171" s="25" t="s">
        <v>99</v>
      </c>
      <c r="L171" t="s">
        <v>22</v>
      </c>
      <c r="M171" t="s">
        <v>47</v>
      </c>
      <c r="N171" s="11">
        <v>54</v>
      </c>
      <c r="O171" s="11">
        <v>11.14875</v>
      </c>
      <c r="P171" t="s">
        <v>48</v>
      </c>
      <c r="Q171" t="s">
        <v>49</v>
      </c>
      <c r="R171" t="s">
        <v>26</v>
      </c>
      <c r="S171" t="s">
        <v>31</v>
      </c>
      <c r="T171" t="str">
        <f>VLOOKUP(B171,'[1]Plant data'!$A$1:$AB$315,2,0)</f>
        <v>Arecaceae</v>
      </c>
      <c r="U171" t="str">
        <f>VLOOKUP($B171,'[1]Plant data'!$A$1:$AB$315,3,0)</f>
        <v>NA</v>
      </c>
      <c r="V171" t="str">
        <f>VLOOKUP($B171,'[1]Plant data'!$A$1:$AB$315,4,0)</f>
        <v>black</v>
      </c>
      <c r="W171" t="str">
        <f>VLOOKUP($B171,'[1]Plant data'!$A$1:$AB$315,5,0)</f>
        <v>YES</v>
      </c>
      <c r="X171">
        <f>VLOOKUP($B171,'[1]Plant data'!$A$1:$AB$315,6,0)</f>
        <v>13.294285714285715</v>
      </c>
      <c r="Y171">
        <f>VLOOKUP($B171,'[1]Plant data'!$A$1:$AB$315,7,0)</f>
        <v>12.980000000000002</v>
      </c>
      <c r="Z171">
        <f>VLOOKUP($B171,'[1]Plant data'!$A$1:$AB$315,8,0)</f>
        <v>11.3575</v>
      </c>
      <c r="AA171">
        <f>VLOOKUP($B171,'[1]Plant data'!$A$1:$AB$315,9,0)</f>
        <v>11.62275</v>
      </c>
      <c r="AB171">
        <f>VLOOKUP($B171,'[1]Plant data'!$A$1:$AB$315,10,0)</f>
        <v>1.4212800000000001</v>
      </c>
      <c r="AC171">
        <f>VLOOKUP($B171,'[1]Plant data'!$A$1:$AB$315,11,0)</f>
        <v>0.46</v>
      </c>
      <c r="AD171">
        <f>VLOOKUP($B171,'[1]Plant data'!$A$1:$AB$315,12,0)</f>
        <v>1.06515</v>
      </c>
      <c r="AE171">
        <f>VLOOKUP($B171,'[1]Plant data'!$A$1:$AB$315,13,0)</f>
        <v>0.32305000000000006</v>
      </c>
      <c r="AF171">
        <f>VLOOKUP($B171,'[1]Plant data'!$A$1:$AB$315,14,0)</f>
        <v>0.96343333333333325</v>
      </c>
      <c r="AG171">
        <f>VLOOKUP($B171,'[1]Plant data'!$A$1:$AB$315,15,0)</f>
        <v>1</v>
      </c>
      <c r="AH171" t="str">
        <f>VLOOKUP($B171,'[1]Plant data'!$A$1:$AB$315,16,0)</f>
        <v>NA</v>
      </c>
      <c r="AI171">
        <f>VLOOKUP($B171,'[1]Plant data'!$A$1:$AB$315,17,0)</f>
        <v>0.36819721900926922</v>
      </c>
      <c r="AJ171" t="str">
        <f>VLOOKUP($B171,'[1]Plant data'!$A$1:$AB$315,18,0)</f>
        <v>Castro &amp; Galetti 2004, Cazetta 2007, Erica&amp;Wesley, Intervales_morfo, Mikich 2002, Santana et al. 2013, Alves 2008</v>
      </c>
      <c r="AK171">
        <f>VLOOKUP($B171,'[1]Plant data'!$A$1:$AB$315,19,0)</f>
        <v>0.67774999999999996</v>
      </c>
      <c r="AL171">
        <f>VLOOKUP($B171,'[1]Plant data'!$A$1:$AB$315,20,0)</f>
        <v>0.13617499999999999</v>
      </c>
      <c r="AM171">
        <f>VLOOKUP($B171,'[1]Plant data'!$A$1:$AB$315,21,0)</f>
        <v>5.0733332999999999E-2</v>
      </c>
      <c r="AN171">
        <f>VLOOKUP($B171,'[1]Plant data'!$A$1:$AB$315,22,0)</f>
        <v>3.65E-3</v>
      </c>
      <c r="AO171">
        <f>VLOOKUP($B171,'[1]Plant data'!$A$1:$AB$315,23,0)</f>
        <v>0.182</v>
      </c>
      <c r="AP171" t="str">
        <f>VLOOKUP($B171,'[1]Plant data'!$A$1:$AB$315,24,0)</f>
        <v>NA</v>
      </c>
      <c r="AQ171">
        <f>VLOOKUP($B171,'[1]Plant data'!$A$1:$AB$315,25,0)</f>
        <v>0.69899999999999995</v>
      </c>
      <c r="AR171">
        <f>VLOOKUP($B171,'[1]Plant data'!$A$1:$AB$315,26,0)</f>
        <v>2.7E-2</v>
      </c>
      <c r="AS171" t="str">
        <f>VLOOKUP($B171,'[1]Plant data'!$A$1:$AB$315,27,0)</f>
        <v>NA</v>
      </c>
      <c r="AT171" t="str">
        <f>VLOOKUP($B171,'[1]Plant data'!$A$1:$AB$315,28,0)</f>
        <v>Cazetta 2007, Erica &amp; Wesley, unpubl., Saibadela, Santana et al. 2013</v>
      </c>
    </row>
    <row r="172" spans="1:46">
      <c r="A172" s="5" t="s">
        <v>46</v>
      </c>
      <c r="B172" s="6" t="s">
        <v>97</v>
      </c>
      <c r="C172">
        <v>31</v>
      </c>
      <c r="D172" s="25">
        <v>324</v>
      </c>
      <c r="E172" s="8">
        <f t="shared" si="14"/>
        <v>9.5679012345679007E-2</v>
      </c>
      <c r="F172">
        <v>33</v>
      </c>
      <c r="G172" s="9">
        <f t="shared" si="15"/>
        <v>1.064516129032258</v>
      </c>
      <c r="H172" s="9"/>
      <c r="I172" s="8">
        <f t="shared" si="12"/>
        <v>0.10185185185185185</v>
      </c>
      <c r="J172" t="s">
        <v>98</v>
      </c>
      <c r="K172" t="s">
        <v>102</v>
      </c>
      <c r="L172" t="s">
        <v>22</v>
      </c>
      <c r="M172" t="s">
        <v>47</v>
      </c>
      <c r="N172" s="11">
        <v>54</v>
      </c>
      <c r="O172" s="11">
        <v>11.14875</v>
      </c>
      <c r="P172" t="s">
        <v>48</v>
      </c>
      <c r="Q172" t="s">
        <v>49</v>
      </c>
      <c r="R172" t="s">
        <v>26</v>
      </c>
      <c r="S172" t="s">
        <v>31</v>
      </c>
      <c r="T172" t="str">
        <f>VLOOKUP(B172,'[1]Plant data'!$A$1:$AB$315,2,0)</f>
        <v>Arecaceae</v>
      </c>
      <c r="U172" t="str">
        <f>VLOOKUP($B172,'[1]Plant data'!$A$1:$AB$315,3,0)</f>
        <v>NA</v>
      </c>
      <c r="V172" t="str">
        <f>VLOOKUP($B172,'[1]Plant data'!$A$1:$AB$315,4,0)</f>
        <v>black</v>
      </c>
      <c r="W172" t="str">
        <f>VLOOKUP($B172,'[1]Plant data'!$A$1:$AB$315,5,0)</f>
        <v>YES</v>
      </c>
      <c r="X172">
        <f>VLOOKUP($B172,'[1]Plant data'!$A$1:$AB$315,6,0)</f>
        <v>13.294285714285715</v>
      </c>
      <c r="Y172">
        <f>VLOOKUP($B172,'[1]Plant data'!$A$1:$AB$315,7,0)</f>
        <v>12.980000000000002</v>
      </c>
      <c r="Z172">
        <f>VLOOKUP($B172,'[1]Plant data'!$A$1:$AB$315,8,0)</f>
        <v>11.3575</v>
      </c>
      <c r="AA172">
        <f>VLOOKUP($B172,'[1]Plant data'!$A$1:$AB$315,9,0)</f>
        <v>11.62275</v>
      </c>
      <c r="AB172">
        <f>VLOOKUP($B172,'[1]Plant data'!$A$1:$AB$315,10,0)</f>
        <v>1.4212800000000001</v>
      </c>
      <c r="AC172">
        <f>VLOOKUP($B172,'[1]Plant data'!$A$1:$AB$315,11,0)</f>
        <v>0.46</v>
      </c>
      <c r="AD172">
        <f>VLOOKUP($B172,'[1]Plant data'!$A$1:$AB$315,12,0)</f>
        <v>1.06515</v>
      </c>
      <c r="AE172">
        <f>VLOOKUP($B172,'[1]Plant data'!$A$1:$AB$315,13,0)</f>
        <v>0.32305000000000006</v>
      </c>
      <c r="AF172">
        <f>VLOOKUP($B172,'[1]Plant data'!$A$1:$AB$315,14,0)</f>
        <v>0.96343333333333325</v>
      </c>
      <c r="AG172">
        <f>VLOOKUP($B172,'[1]Plant data'!$A$1:$AB$315,15,0)</f>
        <v>1</v>
      </c>
      <c r="AH172" t="str">
        <f>VLOOKUP($B172,'[1]Plant data'!$A$1:$AB$315,16,0)</f>
        <v>NA</v>
      </c>
      <c r="AI172">
        <f>VLOOKUP($B172,'[1]Plant data'!$A$1:$AB$315,17,0)</f>
        <v>0.36819721900926922</v>
      </c>
      <c r="AJ172" t="str">
        <f>VLOOKUP($B172,'[1]Plant data'!$A$1:$AB$315,18,0)</f>
        <v>Castro &amp; Galetti 2004, Cazetta 2007, Erica&amp;Wesley, Intervales_morfo, Mikich 2002, Santana et al. 2013, Alves 2008</v>
      </c>
      <c r="AK172">
        <f>VLOOKUP($B172,'[1]Plant data'!$A$1:$AB$315,19,0)</f>
        <v>0.67774999999999996</v>
      </c>
      <c r="AL172">
        <f>VLOOKUP($B172,'[1]Plant data'!$A$1:$AB$315,20,0)</f>
        <v>0.13617499999999999</v>
      </c>
      <c r="AM172">
        <f>VLOOKUP($B172,'[1]Plant data'!$A$1:$AB$315,21,0)</f>
        <v>5.0733332999999999E-2</v>
      </c>
      <c r="AN172">
        <f>VLOOKUP($B172,'[1]Plant data'!$A$1:$AB$315,22,0)</f>
        <v>3.65E-3</v>
      </c>
      <c r="AO172">
        <f>VLOOKUP($B172,'[1]Plant data'!$A$1:$AB$315,23,0)</f>
        <v>0.182</v>
      </c>
      <c r="AP172" t="str">
        <f>VLOOKUP($B172,'[1]Plant data'!$A$1:$AB$315,24,0)</f>
        <v>NA</v>
      </c>
      <c r="AQ172">
        <f>VLOOKUP($B172,'[1]Plant data'!$A$1:$AB$315,25,0)</f>
        <v>0.69899999999999995</v>
      </c>
      <c r="AR172">
        <f>VLOOKUP($B172,'[1]Plant data'!$A$1:$AB$315,26,0)</f>
        <v>2.7E-2</v>
      </c>
      <c r="AS172" t="str">
        <f>VLOOKUP($B172,'[1]Plant data'!$A$1:$AB$315,27,0)</f>
        <v>NA</v>
      </c>
      <c r="AT172" t="str">
        <f>VLOOKUP($B172,'[1]Plant data'!$A$1:$AB$315,28,0)</f>
        <v>Cazetta 2007, Erica &amp; Wesley, unpubl., Saibadela, Santana et al. 2013</v>
      </c>
    </row>
    <row r="173" spans="1:46">
      <c r="A173" s="5" t="s">
        <v>50</v>
      </c>
      <c r="B173" s="14" t="s">
        <v>97</v>
      </c>
      <c r="C173">
        <v>2</v>
      </c>
      <c r="D173" s="25">
        <v>324</v>
      </c>
      <c r="E173" s="8">
        <f t="shared" si="14"/>
        <v>6.1728395061728392E-3</v>
      </c>
      <c r="F173">
        <v>3</v>
      </c>
      <c r="G173" s="9">
        <f t="shared" si="15"/>
        <v>1.5</v>
      </c>
      <c r="H173" s="9"/>
      <c r="I173" s="8">
        <f t="shared" si="12"/>
        <v>9.2592592592592587E-3</v>
      </c>
      <c r="J173" t="s">
        <v>98</v>
      </c>
      <c r="K173" s="25" t="s">
        <v>103</v>
      </c>
      <c r="L173" t="s">
        <v>22</v>
      </c>
      <c r="M173" t="s">
        <v>47</v>
      </c>
      <c r="N173" s="11">
        <v>69.5</v>
      </c>
      <c r="O173" s="11">
        <v>13.253214290000001</v>
      </c>
      <c r="P173" t="s">
        <v>48</v>
      </c>
      <c r="Q173" t="s">
        <v>25</v>
      </c>
      <c r="R173" t="s">
        <v>26</v>
      </c>
      <c r="S173" t="s">
        <v>31</v>
      </c>
      <c r="T173" t="str">
        <f>VLOOKUP(B173,'[1]Plant data'!$A$1:$AB$315,2,0)</f>
        <v>Arecaceae</v>
      </c>
      <c r="U173" t="str">
        <f>VLOOKUP($B173,'[1]Plant data'!$A$1:$AB$315,3,0)</f>
        <v>NA</v>
      </c>
      <c r="V173" t="str">
        <f>VLOOKUP($B173,'[1]Plant data'!$A$1:$AB$315,4,0)</f>
        <v>black</v>
      </c>
      <c r="W173" t="str">
        <f>VLOOKUP($B173,'[1]Plant data'!$A$1:$AB$315,5,0)</f>
        <v>YES</v>
      </c>
      <c r="X173">
        <f>VLOOKUP($B173,'[1]Plant data'!$A$1:$AB$315,6,0)</f>
        <v>13.294285714285715</v>
      </c>
      <c r="Y173">
        <f>VLOOKUP($B173,'[1]Plant data'!$A$1:$AB$315,7,0)</f>
        <v>12.980000000000002</v>
      </c>
      <c r="Z173">
        <f>VLOOKUP($B173,'[1]Plant data'!$A$1:$AB$315,8,0)</f>
        <v>11.3575</v>
      </c>
      <c r="AA173">
        <f>VLOOKUP($B173,'[1]Plant data'!$A$1:$AB$315,9,0)</f>
        <v>11.62275</v>
      </c>
      <c r="AB173">
        <f>VLOOKUP($B173,'[1]Plant data'!$A$1:$AB$315,10,0)</f>
        <v>1.4212800000000001</v>
      </c>
      <c r="AC173">
        <f>VLOOKUP($B173,'[1]Plant data'!$A$1:$AB$315,11,0)</f>
        <v>0.46</v>
      </c>
      <c r="AD173">
        <f>VLOOKUP($B173,'[1]Plant data'!$A$1:$AB$315,12,0)</f>
        <v>1.06515</v>
      </c>
      <c r="AE173">
        <f>VLOOKUP($B173,'[1]Plant data'!$A$1:$AB$315,13,0)</f>
        <v>0.32305000000000006</v>
      </c>
      <c r="AF173">
        <f>VLOOKUP($B173,'[1]Plant data'!$A$1:$AB$315,14,0)</f>
        <v>0.96343333333333325</v>
      </c>
      <c r="AG173">
        <f>VLOOKUP($B173,'[1]Plant data'!$A$1:$AB$315,15,0)</f>
        <v>1</v>
      </c>
      <c r="AH173" t="str">
        <f>VLOOKUP($B173,'[1]Plant data'!$A$1:$AB$315,16,0)</f>
        <v>NA</v>
      </c>
      <c r="AI173">
        <f>VLOOKUP($B173,'[1]Plant data'!$A$1:$AB$315,17,0)</f>
        <v>0.36819721900926922</v>
      </c>
      <c r="AJ173" t="str">
        <f>VLOOKUP($B173,'[1]Plant data'!$A$1:$AB$315,18,0)</f>
        <v>Castro &amp; Galetti 2004, Cazetta 2007, Erica&amp;Wesley, Intervales_morfo, Mikich 2002, Santana et al. 2013, Alves 2008</v>
      </c>
      <c r="AK173">
        <f>VLOOKUP($B173,'[1]Plant data'!$A$1:$AB$315,19,0)</f>
        <v>0.67774999999999996</v>
      </c>
      <c r="AL173">
        <f>VLOOKUP($B173,'[1]Plant data'!$A$1:$AB$315,20,0)</f>
        <v>0.13617499999999999</v>
      </c>
      <c r="AM173">
        <f>VLOOKUP($B173,'[1]Plant data'!$A$1:$AB$315,21,0)</f>
        <v>5.0733332999999999E-2</v>
      </c>
      <c r="AN173">
        <f>VLOOKUP($B173,'[1]Plant data'!$A$1:$AB$315,22,0)</f>
        <v>3.65E-3</v>
      </c>
      <c r="AO173">
        <f>VLOOKUP($B173,'[1]Plant data'!$A$1:$AB$315,23,0)</f>
        <v>0.182</v>
      </c>
      <c r="AP173" t="str">
        <f>VLOOKUP($B173,'[1]Plant data'!$A$1:$AB$315,24,0)</f>
        <v>NA</v>
      </c>
      <c r="AQ173">
        <f>VLOOKUP($B173,'[1]Plant data'!$A$1:$AB$315,25,0)</f>
        <v>0.69899999999999995</v>
      </c>
      <c r="AR173">
        <f>VLOOKUP($B173,'[1]Plant data'!$A$1:$AB$315,26,0)</f>
        <v>2.7E-2</v>
      </c>
      <c r="AS173" t="str">
        <f>VLOOKUP($B173,'[1]Plant data'!$A$1:$AB$315,27,0)</f>
        <v>NA</v>
      </c>
      <c r="AT173" t="str">
        <f>VLOOKUP($B173,'[1]Plant data'!$A$1:$AB$315,28,0)</f>
        <v>Cazetta 2007, Erica &amp; Wesley, unpubl., Saibadela, Santana et al. 2013</v>
      </c>
    </row>
    <row r="174" spans="1:46">
      <c r="A174" s="5" t="s">
        <v>50</v>
      </c>
      <c r="B174" s="14" t="s">
        <v>97</v>
      </c>
      <c r="C174">
        <v>2</v>
      </c>
      <c r="D174" s="25">
        <v>324</v>
      </c>
      <c r="E174" s="8">
        <f t="shared" si="14"/>
        <v>6.1728395061728392E-3</v>
      </c>
      <c r="F174">
        <v>4</v>
      </c>
      <c r="G174" s="9">
        <f t="shared" si="15"/>
        <v>2</v>
      </c>
      <c r="H174" s="9"/>
      <c r="I174" s="8">
        <f t="shared" si="12"/>
        <v>1.2345679012345678E-2</v>
      </c>
      <c r="J174" s="25" t="s">
        <v>98</v>
      </c>
      <c r="K174" s="25" t="s">
        <v>102</v>
      </c>
      <c r="L174" t="s">
        <v>22</v>
      </c>
      <c r="M174" t="s">
        <v>47</v>
      </c>
      <c r="N174" s="11">
        <v>69.5</v>
      </c>
      <c r="O174" s="11">
        <v>13.253214290000001</v>
      </c>
      <c r="P174" t="s">
        <v>48</v>
      </c>
      <c r="Q174" t="s">
        <v>25</v>
      </c>
      <c r="R174" t="s">
        <v>26</v>
      </c>
      <c r="S174" t="s">
        <v>31</v>
      </c>
      <c r="T174" t="str">
        <f>VLOOKUP(B174,'[1]Plant data'!$A$1:$AB$315,2,0)</f>
        <v>Arecaceae</v>
      </c>
      <c r="U174" t="str">
        <f>VLOOKUP($B174,'[1]Plant data'!$A$1:$AB$315,3,0)</f>
        <v>NA</v>
      </c>
      <c r="V174" t="str">
        <f>VLOOKUP($B174,'[1]Plant data'!$A$1:$AB$315,4,0)</f>
        <v>black</v>
      </c>
      <c r="W174" t="str">
        <f>VLOOKUP($B174,'[1]Plant data'!$A$1:$AB$315,5,0)</f>
        <v>YES</v>
      </c>
      <c r="X174">
        <f>VLOOKUP($B174,'[1]Plant data'!$A$1:$AB$315,6,0)</f>
        <v>13.294285714285715</v>
      </c>
      <c r="Y174">
        <f>VLOOKUP($B174,'[1]Plant data'!$A$1:$AB$315,7,0)</f>
        <v>12.980000000000002</v>
      </c>
      <c r="Z174">
        <f>VLOOKUP($B174,'[1]Plant data'!$A$1:$AB$315,8,0)</f>
        <v>11.3575</v>
      </c>
      <c r="AA174">
        <f>VLOOKUP($B174,'[1]Plant data'!$A$1:$AB$315,9,0)</f>
        <v>11.62275</v>
      </c>
      <c r="AB174">
        <f>VLOOKUP($B174,'[1]Plant data'!$A$1:$AB$315,10,0)</f>
        <v>1.4212800000000001</v>
      </c>
      <c r="AC174">
        <f>VLOOKUP($B174,'[1]Plant data'!$A$1:$AB$315,11,0)</f>
        <v>0.46</v>
      </c>
      <c r="AD174">
        <f>VLOOKUP($B174,'[1]Plant data'!$A$1:$AB$315,12,0)</f>
        <v>1.06515</v>
      </c>
      <c r="AE174">
        <f>VLOOKUP($B174,'[1]Plant data'!$A$1:$AB$315,13,0)</f>
        <v>0.32305000000000006</v>
      </c>
      <c r="AF174">
        <f>VLOOKUP($B174,'[1]Plant data'!$A$1:$AB$315,14,0)</f>
        <v>0.96343333333333325</v>
      </c>
      <c r="AG174">
        <f>VLOOKUP($B174,'[1]Plant data'!$A$1:$AB$315,15,0)</f>
        <v>1</v>
      </c>
      <c r="AH174" t="str">
        <f>VLOOKUP($B174,'[1]Plant data'!$A$1:$AB$315,16,0)</f>
        <v>NA</v>
      </c>
      <c r="AI174">
        <f>VLOOKUP($B174,'[1]Plant data'!$A$1:$AB$315,17,0)</f>
        <v>0.36819721900926922</v>
      </c>
      <c r="AJ174" t="str">
        <f>VLOOKUP($B174,'[1]Plant data'!$A$1:$AB$315,18,0)</f>
        <v>Castro &amp; Galetti 2004, Cazetta 2007, Erica&amp;Wesley, Intervales_morfo, Mikich 2002, Santana et al. 2013, Alves 2008</v>
      </c>
      <c r="AK174">
        <f>VLOOKUP($B174,'[1]Plant data'!$A$1:$AB$315,19,0)</f>
        <v>0.67774999999999996</v>
      </c>
      <c r="AL174">
        <f>VLOOKUP($B174,'[1]Plant data'!$A$1:$AB$315,20,0)</f>
        <v>0.13617499999999999</v>
      </c>
      <c r="AM174">
        <f>VLOOKUP($B174,'[1]Plant data'!$A$1:$AB$315,21,0)</f>
        <v>5.0733332999999999E-2</v>
      </c>
      <c r="AN174">
        <f>VLOOKUP($B174,'[1]Plant data'!$A$1:$AB$315,22,0)</f>
        <v>3.65E-3</v>
      </c>
      <c r="AO174">
        <f>VLOOKUP($B174,'[1]Plant data'!$A$1:$AB$315,23,0)</f>
        <v>0.182</v>
      </c>
      <c r="AP174" t="str">
        <f>VLOOKUP($B174,'[1]Plant data'!$A$1:$AB$315,24,0)</f>
        <v>NA</v>
      </c>
      <c r="AQ174">
        <f>VLOOKUP($B174,'[1]Plant data'!$A$1:$AB$315,25,0)</f>
        <v>0.69899999999999995</v>
      </c>
      <c r="AR174">
        <f>VLOOKUP($B174,'[1]Plant data'!$A$1:$AB$315,26,0)</f>
        <v>2.7E-2</v>
      </c>
      <c r="AS174" t="str">
        <f>VLOOKUP($B174,'[1]Plant data'!$A$1:$AB$315,27,0)</f>
        <v>NA</v>
      </c>
      <c r="AT174" t="str">
        <f>VLOOKUP($B174,'[1]Plant data'!$A$1:$AB$315,28,0)</f>
        <v>Cazetta 2007, Erica &amp; Wesley, unpubl., Saibadela, Santana et al. 2013</v>
      </c>
    </row>
    <row r="175" spans="1:46">
      <c r="A175" s="5" t="s">
        <v>110</v>
      </c>
      <c r="B175" s="14" t="s">
        <v>97</v>
      </c>
      <c r="C175">
        <v>7</v>
      </c>
      <c r="D175" t="s">
        <v>19</v>
      </c>
      <c r="E175" s="8" t="s">
        <v>19</v>
      </c>
      <c r="F175" s="8" t="s">
        <v>19</v>
      </c>
      <c r="G175" s="41">
        <v>41.982380952381</v>
      </c>
      <c r="H175" s="41"/>
      <c r="I175" s="8" t="s">
        <v>19</v>
      </c>
      <c r="J175" t="s">
        <v>112</v>
      </c>
      <c r="K175" t="s">
        <v>113</v>
      </c>
      <c r="L175" t="s">
        <v>100</v>
      </c>
      <c r="M175" t="s">
        <v>101</v>
      </c>
      <c r="N175" s="11">
        <v>1250</v>
      </c>
      <c r="O175" s="11">
        <v>19.114999999999998</v>
      </c>
      <c r="P175" t="s">
        <v>48</v>
      </c>
      <c r="Q175" t="s">
        <v>95</v>
      </c>
      <c r="R175" t="s">
        <v>114</v>
      </c>
      <c r="S175" t="s">
        <v>27</v>
      </c>
      <c r="T175" t="str">
        <f>VLOOKUP(B175,'[1]Plant data'!$A$1:$AB$315,2,0)</f>
        <v>Arecaceae</v>
      </c>
      <c r="U175" t="str">
        <f>VLOOKUP($B175,'[1]Plant data'!$A$1:$AB$315,3,0)</f>
        <v>NA</v>
      </c>
      <c r="V175" t="str">
        <f>VLOOKUP($B175,'[1]Plant data'!$A$1:$AB$315,4,0)</f>
        <v>black</v>
      </c>
      <c r="W175" t="str">
        <f>VLOOKUP($B175,'[1]Plant data'!$A$1:$AB$315,5,0)</f>
        <v>YES</v>
      </c>
      <c r="X175">
        <f>VLOOKUP($B175,'[1]Plant data'!$A$1:$AB$315,6,0)</f>
        <v>13.294285714285715</v>
      </c>
      <c r="Y175">
        <f>VLOOKUP($B175,'[1]Plant data'!$A$1:$AB$315,7,0)</f>
        <v>12.980000000000002</v>
      </c>
      <c r="Z175">
        <f>VLOOKUP($B175,'[1]Plant data'!$A$1:$AB$315,8,0)</f>
        <v>11.3575</v>
      </c>
      <c r="AA175">
        <f>VLOOKUP($B175,'[1]Plant data'!$A$1:$AB$315,9,0)</f>
        <v>11.62275</v>
      </c>
      <c r="AB175">
        <f>VLOOKUP($B175,'[1]Plant data'!$A$1:$AB$315,10,0)</f>
        <v>1.4212800000000001</v>
      </c>
      <c r="AC175">
        <f>VLOOKUP($B175,'[1]Plant data'!$A$1:$AB$315,11,0)</f>
        <v>0.46</v>
      </c>
      <c r="AD175">
        <f>VLOOKUP($B175,'[1]Plant data'!$A$1:$AB$315,12,0)</f>
        <v>1.06515</v>
      </c>
      <c r="AE175">
        <f>VLOOKUP($B175,'[1]Plant data'!$A$1:$AB$315,13,0)</f>
        <v>0.32305000000000006</v>
      </c>
      <c r="AF175">
        <f>VLOOKUP($B175,'[1]Plant data'!$A$1:$AB$315,14,0)</f>
        <v>0.96343333333333325</v>
      </c>
      <c r="AG175">
        <f>VLOOKUP($B175,'[1]Plant data'!$A$1:$AB$315,15,0)</f>
        <v>1</v>
      </c>
      <c r="AH175" t="str">
        <f>VLOOKUP($B175,'[1]Plant data'!$A$1:$AB$315,16,0)</f>
        <v>NA</v>
      </c>
      <c r="AI175">
        <f>VLOOKUP($B175,'[1]Plant data'!$A$1:$AB$315,17,0)</f>
        <v>0.36819721900926922</v>
      </c>
      <c r="AJ175" t="str">
        <f>VLOOKUP($B175,'[1]Plant data'!$A$1:$AB$315,18,0)</f>
        <v>Castro &amp; Galetti 2004, Cazetta 2007, Erica&amp;Wesley, Intervales_morfo, Mikich 2002, Santana et al. 2013, Alves 2008</v>
      </c>
      <c r="AK175">
        <f>VLOOKUP($B175,'[1]Plant data'!$A$1:$AB$315,19,0)</f>
        <v>0.67774999999999996</v>
      </c>
      <c r="AL175">
        <f>VLOOKUP($B175,'[1]Plant data'!$A$1:$AB$315,20,0)</f>
        <v>0.13617499999999999</v>
      </c>
      <c r="AM175">
        <f>VLOOKUP($B175,'[1]Plant data'!$A$1:$AB$315,21,0)</f>
        <v>5.0733332999999999E-2</v>
      </c>
      <c r="AN175">
        <f>VLOOKUP($B175,'[1]Plant data'!$A$1:$AB$315,22,0)</f>
        <v>3.65E-3</v>
      </c>
      <c r="AO175">
        <f>VLOOKUP($B175,'[1]Plant data'!$A$1:$AB$315,23,0)</f>
        <v>0.182</v>
      </c>
      <c r="AP175" t="str">
        <f>VLOOKUP($B175,'[1]Plant data'!$A$1:$AB$315,24,0)</f>
        <v>NA</v>
      </c>
      <c r="AQ175">
        <f>VLOOKUP($B175,'[1]Plant data'!$A$1:$AB$315,25,0)</f>
        <v>0.69899999999999995</v>
      </c>
      <c r="AR175">
        <f>VLOOKUP($B175,'[1]Plant data'!$A$1:$AB$315,26,0)</f>
        <v>2.7E-2</v>
      </c>
      <c r="AS175" t="str">
        <f>VLOOKUP($B175,'[1]Plant data'!$A$1:$AB$315,27,0)</f>
        <v>NA</v>
      </c>
      <c r="AT175" t="str">
        <f>VLOOKUP($B175,'[1]Plant data'!$A$1:$AB$315,28,0)</f>
        <v>Cazetta 2007, Erica &amp; Wesley, unpubl., Saibadela, Santana et al. 2013</v>
      </c>
    </row>
    <row r="176" spans="1:46">
      <c r="A176" s="5" t="s">
        <v>96</v>
      </c>
      <c r="B176" s="15" t="s">
        <v>97</v>
      </c>
      <c r="C176" s="7">
        <v>2</v>
      </c>
      <c r="D176" s="7" t="s">
        <v>19</v>
      </c>
      <c r="E176" s="8" t="s">
        <v>19</v>
      </c>
      <c r="F176" s="8" t="s">
        <v>19</v>
      </c>
      <c r="G176" s="41">
        <v>8.9700000000000006</v>
      </c>
      <c r="H176" s="41"/>
      <c r="I176" s="8" t="s">
        <v>19</v>
      </c>
      <c r="J176" s="25" t="s">
        <v>112</v>
      </c>
      <c r="K176" t="s">
        <v>113</v>
      </c>
      <c r="L176" t="s">
        <v>100</v>
      </c>
      <c r="M176" t="s">
        <v>101</v>
      </c>
      <c r="N176" s="11">
        <v>1770</v>
      </c>
      <c r="O176" s="11">
        <v>22.349</v>
      </c>
      <c r="P176" t="s">
        <v>48</v>
      </c>
      <c r="Q176" t="s">
        <v>25</v>
      </c>
      <c r="R176" t="s">
        <v>26</v>
      </c>
      <c r="S176" t="s">
        <v>27</v>
      </c>
      <c r="T176" t="str">
        <f>VLOOKUP(B176,'[1]Plant data'!$A$1:$AB$315,2,0)</f>
        <v>Arecaceae</v>
      </c>
      <c r="U176" t="str">
        <f>VLOOKUP($B176,'[1]Plant data'!$A$1:$AB$315,3,0)</f>
        <v>NA</v>
      </c>
      <c r="V176" t="str">
        <f>VLOOKUP($B176,'[1]Plant data'!$A$1:$AB$315,4,0)</f>
        <v>black</v>
      </c>
      <c r="W176" t="str">
        <f>VLOOKUP($B176,'[1]Plant data'!$A$1:$AB$315,5,0)</f>
        <v>YES</v>
      </c>
      <c r="X176">
        <f>VLOOKUP($B176,'[1]Plant data'!$A$1:$AB$315,6,0)</f>
        <v>13.294285714285715</v>
      </c>
      <c r="Y176">
        <f>VLOOKUP($B176,'[1]Plant data'!$A$1:$AB$315,7,0)</f>
        <v>12.980000000000002</v>
      </c>
      <c r="Z176">
        <f>VLOOKUP($B176,'[1]Plant data'!$A$1:$AB$315,8,0)</f>
        <v>11.3575</v>
      </c>
      <c r="AA176">
        <f>VLOOKUP($B176,'[1]Plant data'!$A$1:$AB$315,9,0)</f>
        <v>11.62275</v>
      </c>
      <c r="AB176">
        <f>VLOOKUP($B176,'[1]Plant data'!$A$1:$AB$315,10,0)</f>
        <v>1.4212800000000001</v>
      </c>
      <c r="AC176">
        <f>VLOOKUP($B176,'[1]Plant data'!$A$1:$AB$315,11,0)</f>
        <v>0.46</v>
      </c>
      <c r="AD176">
        <f>VLOOKUP($B176,'[1]Plant data'!$A$1:$AB$315,12,0)</f>
        <v>1.06515</v>
      </c>
      <c r="AE176">
        <f>VLOOKUP($B176,'[1]Plant data'!$A$1:$AB$315,13,0)</f>
        <v>0.32305000000000006</v>
      </c>
      <c r="AF176">
        <f>VLOOKUP($B176,'[1]Plant data'!$A$1:$AB$315,14,0)</f>
        <v>0.96343333333333325</v>
      </c>
      <c r="AG176">
        <f>VLOOKUP($B176,'[1]Plant data'!$A$1:$AB$315,15,0)</f>
        <v>1</v>
      </c>
      <c r="AH176" t="str">
        <f>VLOOKUP($B176,'[1]Plant data'!$A$1:$AB$315,16,0)</f>
        <v>NA</v>
      </c>
      <c r="AI176">
        <f>VLOOKUP($B176,'[1]Plant data'!$A$1:$AB$315,17,0)</f>
        <v>0.36819721900926922</v>
      </c>
      <c r="AJ176" t="str">
        <f>VLOOKUP($B176,'[1]Plant data'!$A$1:$AB$315,18,0)</f>
        <v>Castro &amp; Galetti 2004, Cazetta 2007, Erica&amp;Wesley, Intervales_morfo, Mikich 2002, Santana et al. 2013, Alves 2008</v>
      </c>
      <c r="AK176">
        <f>VLOOKUP($B176,'[1]Plant data'!$A$1:$AB$315,19,0)</f>
        <v>0.67774999999999996</v>
      </c>
      <c r="AL176">
        <f>VLOOKUP($B176,'[1]Plant data'!$A$1:$AB$315,20,0)</f>
        <v>0.13617499999999999</v>
      </c>
      <c r="AM176">
        <f>VLOOKUP($B176,'[1]Plant data'!$A$1:$AB$315,21,0)</f>
        <v>5.0733332999999999E-2</v>
      </c>
      <c r="AN176">
        <f>VLOOKUP($B176,'[1]Plant data'!$A$1:$AB$315,22,0)</f>
        <v>3.65E-3</v>
      </c>
      <c r="AO176">
        <f>VLOOKUP($B176,'[1]Plant data'!$A$1:$AB$315,23,0)</f>
        <v>0.182</v>
      </c>
      <c r="AP176" t="str">
        <f>VLOOKUP($B176,'[1]Plant data'!$A$1:$AB$315,24,0)</f>
        <v>NA</v>
      </c>
      <c r="AQ176">
        <f>VLOOKUP($B176,'[1]Plant data'!$A$1:$AB$315,25,0)</f>
        <v>0.69899999999999995</v>
      </c>
      <c r="AR176">
        <f>VLOOKUP($B176,'[1]Plant data'!$A$1:$AB$315,26,0)</f>
        <v>2.7E-2</v>
      </c>
      <c r="AS176" t="str">
        <f>VLOOKUP($B176,'[1]Plant data'!$A$1:$AB$315,27,0)</f>
        <v>NA</v>
      </c>
      <c r="AT176" t="str">
        <f>VLOOKUP($B176,'[1]Plant data'!$A$1:$AB$315,28,0)</f>
        <v>Cazetta 2007, Erica &amp; Wesley, unpubl., Saibadela, Santana et al. 2013</v>
      </c>
    </row>
    <row r="177" spans="1:46">
      <c r="A177" s="5" t="s">
        <v>74</v>
      </c>
      <c r="B177" s="14" t="s">
        <v>97</v>
      </c>
      <c r="C177">
        <v>3</v>
      </c>
      <c r="D177">
        <v>190</v>
      </c>
      <c r="E177" s="8">
        <f t="shared" ref="E177:E186" si="16">C177/190</f>
        <v>1.5789473684210527E-2</v>
      </c>
      <c r="F177">
        <v>7</v>
      </c>
      <c r="G177" s="9">
        <f t="shared" ref="G177:G186" si="17">F177/C177</f>
        <v>2.3333333333333335</v>
      </c>
      <c r="H177" s="9"/>
      <c r="I177" s="8">
        <f t="shared" ref="I177:I203" si="18">E177*G177</f>
        <v>3.6842105263157898E-2</v>
      </c>
      <c r="J177" t="s">
        <v>137</v>
      </c>
      <c r="K177" s="25" t="s">
        <v>102</v>
      </c>
      <c r="L177" t="s">
        <v>22</v>
      </c>
      <c r="M177" t="s">
        <v>75</v>
      </c>
      <c r="N177" s="11">
        <v>200</v>
      </c>
      <c r="O177" s="11">
        <v>23.614285710000001</v>
      </c>
      <c r="P177" t="s">
        <v>48</v>
      </c>
      <c r="Q177" t="s">
        <v>25</v>
      </c>
      <c r="R177" t="s">
        <v>76</v>
      </c>
      <c r="S177" t="s">
        <v>27</v>
      </c>
      <c r="T177" t="str">
        <f>VLOOKUP(B177,'[1]Plant data'!$A$1:$AB$315,2,0)</f>
        <v>Arecaceae</v>
      </c>
      <c r="U177" t="str">
        <f>VLOOKUP($B177,'[1]Plant data'!$A$1:$AB$315,3,0)</f>
        <v>NA</v>
      </c>
      <c r="V177" t="str">
        <f>VLOOKUP($B177,'[1]Plant data'!$A$1:$AB$315,4,0)</f>
        <v>black</v>
      </c>
      <c r="W177" t="str">
        <f>VLOOKUP($B177,'[1]Plant data'!$A$1:$AB$315,5,0)</f>
        <v>YES</v>
      </c>
      <c r="X177">
        <f>VLOOKUP($B177,'[1]Plant data'!$A$1:$AB$315,6,0)</f>
        <v>13.294285714285715</v>
      </c>
      <c r="Y177">
        <f>VLOOKUP($B177,'[1]Plant data'!$A$1:$AB$315,7,0)</f>
        <v>12.980000000000002</v>
      </c>
      <c r="Z177">
        <f>VLOOKUP($B177,'[1]Plant data'!$A$1:$AB$315,8,0)</f>
        <v>11.3575</v>
      </c>
      <c r="AA177">
        <f>VLOOKUP($B177,'[1]Plant data'!$A$1:$AB$315,9,0)</f>
        <v>11.62275</v>
      </c>
      <c r="AB177">
        <f>VLOOKUP($B177,'[1]Plant data'!$A$1:$AB$315,10,0)</f>
        <v>1.4212800000000001</v>
      </c>
      <c r="AC177">
        <f>VLOOKUP($B177,'[1]Plant data'!$A$1:$AB$315,11,0)</f>
        <v>0.46</v>
      </c>
      <c r="AD177">
        <f>VLOOKUP($B177,'[1]Plant data'!$A$1:$AB$315,12,0)</f>
        <v>1.06515</v>
      </c>
      <c r="AE177">
        <f>VLOOKUP($B177,'[1]Plant data'!$A$1:$AB$315,13,0)</f>
        <v>0.32305000000000006</v>
      </c>
      <c r="AF177">
        <f>VLOOKUP($B177,'[1]Plant data'!$A$1:$AB$315,14,0)</f>
        <v>0.96343333333333325</v>
      </c>
      <c r="AG177">
        <f>VLOOKUP($B177,'[1]Plant data'!$A$1:$AB$315,15,0)</f>
        <v>1</v>
      </c>
      <c r="AH177" t="str">
        <f>VLOOKUP($B177,'[1]Plant data'!$A$1:$AB$315,16,0)</f>
        <v>NA</v>
      </c>
      <c r="AI177">
        <f>VLOOKUP($B177,'[1]Plant data'!$A$1:$AB$315,17,0)</f>
        <v>0.36819721900926922</v>
      </c>
      <c r="AJ177" t="str">
        <f>VLOOKUP($B177,'[1]Plant data'!$A$1:$AB$315,18,0)</f>
        <v>Castro &amp; Galetti 2004, Cazetta 2007, Erica&amp;Wesley, Intervales_morfo, Mikich 2002, Santana et al. 2013, Alves 2008</v>
      </c>
      <c r="AK177">
        <f>VLOOKUP($B177,'[1]Plant data'!$A$1:$AB$315,19,0)</f>
        <v>0.67774999999999996</v>
      </c>
      <c r="AL177">
        <f>VLOOKUP($B177,'[1]Plant data'!$A$1:$AB$315,20,0)</f>
        <v>0.13617499999999999</v>
      </c>
      <c r="AM177">
        <f>VLOOKUP($B177,'[1]Plant data'!$A$1:$AB$315,21,0)</f>
        <v>5.0733332999999999E-2</v>
      </c>
      <c r="AN177">
        <f>VLOOKUP($B177,'[1]Plant data'!$A$1:$AB$315,22,0)</f>
        <v>3.65E-3</v>
      </c>
      <c r="AO177">
        <f>VLOOKUP($B177,'[1]Plant data'!$A$1:$AB$315,23,0)</f>
        <v>0.182</v>
      </c>
      <c r="AP177" t="str">
        <f>VLOOKUP($B177,'[1]Plant data'!$A$1:$AB$315,24,0)</f>
        <v>NA</v>
      </c>
      <c r="AQ177">
        <f>VLOOKUP($B177,'[1]Plant data'!$A$1:$AB$315,25,0)</f>
        <v>0.69899999999999995</v>
      </c>
      <c r="AR177">
        <f>VLOOKUP($B177,'[1]Plant data'!$A$1:$AB$315,26,0)</f>
        <v>2.7E-2</v>
      </c>
      <c r="AS177" t="str">
        <f>VLOOKUP($B177,'[1]Plant data'!$A$1:$AB$315,27,0)</f>
        <v>NA</v>
      </c>
      <c r="AT177" t="str">
        <f>VLOOKUP($B177,'[1]Plant data'!$A$1:$AB$315,28,0)</f>
        <v>Cazetta 2007, Erica &amp; Wesley, unpubl., Saibadela, Santana et al. 2013</v>
      </c>
    </row>
    <row r="178" spans="1:46">
      <c r="A178" s="5" t="s">
        <v>74</v>
      </c>
      <c r="B178" s="14" t="s">
        <v>97</v>
      </c>
      <c r="C178">
        <v>8</v>
      </c>
      <c r="D178">
        <v>190</v>
      </c>
      <c r="E178" s="8">
        <f t="shared" si="16"/>
        <v>4.2105263157894736E-2</v>
      </c>
      <c r="F178">
        <v>30</v>
      </c>
      <c r="G178" s="9">
        <f t="shared" si="17"/>
        <v>3.75</v>
      </c>
      <c r="H178" s="9"/>
      <c r="I178" s="8">
        <f t="shared" si="18"/>
        <v>0.15789473684210525</v>
      </c>
      <c r="J178" t="s">
        <v>137</v>
      </c>
      <c r="K178" t="s">
        <v>103</v>
      </c>
      <c r="L178" t="s">
        <v>22</v>
      </c>
      <c r="M178" t="s">
        <v>75</v>
      </c>
      <c r="N178" s="11">
        <v>200</v>
      </c>
      <c r="O178" s="11">
        <v>23.614285710000001</v>
      </c>
      <c r="P178" t="s">
        <v>48</v>
      </c>
      <c r="Q178" t="s">
        <v>25</v>
      </c>
      <c r="R178" t="s">
        <v>76</v>
      </c>
      <c r="S178" t="s">
        <v>27</v>
      </c>
      <c r="T178" t="str">
        <f>VLOOKUP(B178,'[1]Plant data'!$A$1:$AB$315,2,0)</f>
        <v>Arecaceae</v>
      </c>
      <c r="U178" t="str">
        <f>VLOOKUP($B178,'[1]Plant data'!$A$1:$AB$315,3,0)</f>
        <v>NA</v>
      </c>
      <c r="V178" t="str">
        <f>VLOOKUP($B178,'[1]Plant data'!$A$1:$AB$315,4,0)</f>
        <v>black</v>
      </c>
      <c r="W178" t="str">
        <f>VLOOKUP($B178,'[1]Plant data'!$A$1:$AB$315,5,0)</f>
        <v>YES</v>
      </c>
      <c r="X178">
        <f>VLOOKUP($B178,'[1]Plant data'!$A$1:$AB$315,6,0)</f>
        <v>13.294285714285715</v>
      </c>
      <c r="Y178">
        <f>VLOOKUP($B178,'[1]Plant data'!$A$1:$AB$315,7,0)</f>
        <v>12.980000000000002</v>
      </c>
      <c r="Z178">
        <f>VLOOKUP($B178,'[1]Plant data'!$A$1:$AB$315,8,0)</f>
        <v>11.3575</v>
      </c>
      <c r="AA178">
        <f>VLOOKUP($B178,'[1]Plant data'!$A$1:$AB$315,9,0)</f>
        <v>11.62275</v>
      </c>
      <c r="AB178">
        <f>VLOOKUP($B178,'[1]Plant data'!$A$1:$AB$315,10,0)</f>
        <v>1.4212800000000001</v>
      </c>
      <c r="AC178">
        <f>VLOOKUP($B178,'[1]Plant data'!$A$1:$AB$315,11,0)</f>
        <v>0.46</v>
      </c>
      <c r="AD178">
        <f>VLOOKUP($B178,'[1]Plant data'!$A$1:$AB$315,12,0)</f>
        <v>1.06515</v>
      </c>
      <c r="AE178">
        <f>VLOOKUP($B178,'[1]Plant data'!$A$1:$AB$315,13,0)</f>
        <v>0.32305000000000006</v>
      </c>
      <c r="AF178">
        <f>VLOOKUP($B178,'[1]Plant data'!$A$1:$AB$315,14,0)</f>
        <v>0.96343333333333325</v>
      </c>
      <c r="AG178">
        <f>VLOOKUP($B178,'[1]Plant data'!$A$1:$AB$315,15,0)</f>
        <v>1</v>
      </c>
      <c r="AH178" t="str">
        <f>VLOOKUP($B178,'[1]Plant data'!$A$1:$AB$315,16,0)</f>
        <v>NA</v>
      </c>
      <c r="AI178">
        <f>VLOOKUP($B178,'[1]Plant data'!$A$1:$AB$315,17,0)</f>
        <v>0.36819721900926922</v>
      </c>
      <c r="AJ178" t="str">
        <f>VLOOKUP($B178,'[1]Plant data'!$A$1:$AB$315,18,0)</f>
        <v>Castro &amp; Galetti 2004, Cazetta 2007, Erica&amp;Wesley, Intervales_morfo, Mikich 2002, Santana et al. 2013, Alves 2008</v>
      </c>
      <c r="AK178">
        <f>VLOOKUP($B178,'[1]Plant data'!$A$1:$AB$315,19,0)</f>
        <v>0.67774999999999996</v>
      </c>
      <c r="AL178">
        <f>VLOOKUP($B178,'[1]Plant data'!$A$1:$AB$315,20,0)</f>
        <v>0.13617499999999999</v>
      </c>
      <c r="AM178">
        <f>VLOOKUP($B178,'[1]Plant data'!$A$1:$AB$315,21,0)</f>
        <v>5.0733332999999999E-2</v>
      </c>
      <c r="AN178">
        <f>VLOOKUP($B178,'[1]Plant data'!$A$1:$AB$315,22,0)</f>
        <v>3.65E-3</v>
      </c>
      <c r="AO178">
        <f>VLOOKUP($B178,'[1]Plant data'!$A$1:$AB$315,23,0)</f>
        <v>0.182</v>
      </c>
      <c r="AP178" t="str">
        <f>VLOOKUP($B178,'[1]Plant data'!$A$1:$AB$315,24,0)</f>
        <v>NA</v>
      </c>
      <c r="AQ178">
        <f>VLOOKUP($B178,'[1]Plant data'!$A$1:$AB$315,25,0)</f>
        <v>0.69899999999999995</v>
      </c>
      <c r="AR178">
        <f>VLOOKUP($B178,'[1]Plant data'!$A$1:$AB$315,26,0)</f>
        <v>2.7E-2</v>
      </c>
      <c r="AS178" t="str">
        <f>VLOOKUP($B178,'[1]Plant data'!$A$1:$AB$315,27,0)</f>
        <v>NA</v>
      </c>
      <c r="AT178" t="str">
        <f>VLOOKUP($B178,'[1]Plant data'!$A$1:$AB$315,28,0)</f>
        <v>Cazetta 2007, Erica &amp; Wesley, unpubl., Saibadela, Santana et al. 2013</v>
      </c>
    </row>
    <row r="179" spans="1:46">
      <c r="A179" s="5" t="s">
        <v>104</v>
      </c>
      <c r="B179" s="14" t="s">
        <v>97</v>
      </c>
      <c r="C179" s="25">
        <v>3</v>
      </c>
      <c r="D179" s="25">
        <v>190</v>
      </c>
      <c r="E179" s="8">
        <f t="shared" si="16"/>
        <v>1.5789473684210527E-2</v>
      </c>
      <c r="F179" s="25">
        <v>16</v>
      </c>
      <c r="G179" s="9">
        <f t="shared" si="17"/>
        <v>5.333333333333333</v>
      </c>
      <c r="H179" s="9"/>
      <c r="I179" s="8">
        <f t="shared" si="18"/>
        <v>8.4210526315789472E-2</v>
      </c>
      <c r="J179" t="s">
        <v>137</v>
      </c>
      <c r="K179" t="s">
        <v>99</v>
      </c>
      <c r="L179" t="s">
        <v>93</v>
      </c>
      <c r="M179" t="s">
        <v>94</v>
      </c>
      <c r="N179" s="11">
        <v>343.5</v>
      </c>
      <c r="O179" s="11">
        <v>30.107272729999998</v>
      </c>
      <c r="P179" t="s">
        <v>48</v>
      </c>
      <c r="Q179" t="s">
        <v>25</v>
      </c>
      <c r="R179" t="s">
        <v>76</v>
      </c>
      <c r="S179" t="s">
        <v>27</v>
      </c>
      <c r="T179" t="str">
        <f>VLOOKUP(B179,'[1]Plant data'!$A$1:$AB$315,2,0)</f>
        <v>Arecaceae</v>
      </c>
      <c r="U179" t="str">
        <f>VLOOKUP($B179,'[1]Plant data'!$A$1:$AB$315,3,0)</f>
        <v>NA</v>
      </c>
      <c r="V179" t="str">
        <f>VLOOKUP($B179,'[1]Plant data'!$A$1:$AB$315,4,0)</f>
        <v>black</v>
      </c>
      <c r="W179" t="str">
        <f>VLOOKUP($B179,'[1]Plant data'!$A$1:$AB$315,5,0)</f>
        <v>YES</v>
      </c>
      <c r="X179">
        <f>VLOOKUP($B179,'[1]Plant data'!$A$1:$AB$315,6,0)</f>
        <v>13.294285714285715</v>
      </c>
      <c r="Y179">
        <f>VLOOKUP($B179,'[1]Plant data'!$A$1:$AB$315,7,0)</f>
        <v>12.980000000000002</v>
      </c>
      <c r="Z179">
        <f>VLOOKUP($B179,'[1]Plant data'!$A$1:$AB$315,8,0)</f>
        <v>11.3575</v>
      </c>
      <c r="AA179">
        <f>VLOOKUP($B179,'[1]Plant data'!$A$1:$AB$315,9,0)</f>
        <v>11.62275</v>
      </c>
      <c r="AB179">
        <f>VLOOKUP($B179,'[1]Plant data'!$A$1:$AB$315,10,0)</f>
        <v>1.4212800000000001</v>
      </c>
      <c r="AC179">
        <f>VLOOKUP($B179,'[1]Plant data'!$A$1:$AB$315,11,0)</f>
        <v>0.46</v>
      </c>
      <c r="AD179">
        <f>VLOOKUP($B179,'[1]Plant data'!$A$1:$AB$315,12,0)</f>
        <v>1.06515</v>
      </c>
      <c r="AE179">
        <f>VLOOKUP($B179,'[1]Plant data'!$A$1:$AB$315,13,0)</f>
        <v>0.32305000000000006</v>
      </c>
      <c r="AF179">
        <f>VLOOKUP($B179,'[1]Plant data'!$A$1:$AB$315,14,0)</f>
        <v>0.96343333333333325</v>
      </c>
      <c r="AG179">
        <f>VLOOKUP($B179,'[1]Plant data'!$A$1:$AB$315,15,0)</f>
        <v>1</v>
      </c>
      <c r="AH179" t="str">
        <f>VLOOKUP($B179,'[1]Plant data'!$A$1:$AB$315,16,0)</f>
        <v>NA</v>
      </c>
      <c r="AI179">
        <f>VLOOKUP($B179,'[1]Plant data'!$A$1:$AB$315,17,0)</f>
        <v>0.36819721900926922</v>
      </c>
      <c r="AJ179" t="str">
        <f>VLOOKUP($B179,'[1]Plant data'!$A$1:$AB$315,18,0)</f>
        <v>Castro &amp; Galetti 2004, Cazetta 2007, Erica&amp;Wesley, Intervales_morfo, Mikich 2002, Santana et al. 2013, Alves 2008</v>
      </c>
      <c r="AK179">
        <f>VLOOKUP($B179,'[1]Plant data'!$A$1:$AB$315,19,0)</f>
        <v>0.67774999999999996</v>
      </c>
      <c r="AL179">
        <f>VLOOKUP($B179,'[1]Plant data'!$A$1:$AB$315,20,0)</f>
        <v>0.13617499999999999</v>
      </c>
      <c r="AM179">
        <f>VLOOKUP($B179,'[1]Plant data'!$A$1:$AB$315,21,0)</f>
        <v>5.0733332999999999E-2</v>
      </c>
      <c r="AN179">
        <f>VLOOKUP($B179,'[1]Plant data'!$A$1:$AB$315,22,0)</f>
        <v>3.65E-3</v>
      </c>
      <c r="AO179">
        <f>VLOOKUP($B179,'[1]Plant data'!$A$1:$AB$315,23,0)</f>
        <v>0.182</v>
      </c>
      <c r="AP179" t="str">
        <f>VLOOKUP($B179,'[1]Plant data'!$A$1:$AB$315,24,0)</f>
        <v>NA</v>
      </c>
      <c r="AQ179">
        <f>VLOOKUP($B179,'[1]Plant data'!$A$1:$AB$315,25,0)</f>
        <v>0.69899999999999995</v>
      </c>
      <c r="AR179">
        <f>VLOOKUP($B179,'[1]Plant data'!$A$1:$AB$315,26,0)</f>
        <v>2.7E-2</v>
      </c>
      <c r="AS179" t="str">
        <f>VLOOKUP($B179,'[1]Plant data'!$A$1:$AB$315,27,0)</f>
        <v>NA</v>
      </c>
      <c r="AT179" t="str">
        <f>VLOOKUP($B179,'[1]Plant data'!$A$1:$AB$315,28,0)</f>
        <v>Cazetta 2007, Erica &amp; Wesley, unpubl., Saibadela, Santana et al. 2013</v>
      </c>
    </row>
    <row r="180" spans="1:46">
      <c r="A180" s="5" t="s">
        <v>104</v>
      </c>
      <c r="B180" s="14" t="s">
        <v>97</v>
      </c>
      <c r="C180" s="25">
        <v>6</v>
      </c>
      <c r="D180" s="25">
        <v>190</v>
      </c>
      <c r="E180" s="8">
        <f t="shared" si="16"/>
        <v>3.1578947368421054E-2</v>
      </c>
      <c r="F180" s="25">
        <v>21</v>
      </c>
      <c r="G180" s="9">
        <f t="shared" si="17"/>
        <v>3.5</v>
      </c>
      <c r="H180" s="9"/>
      <c r="I180" s="8">
        <f t="shared" si="18"/>
        <v>0.11052631578947369</v>
      </c>
      <c r="J180" t="s">
        <v>137</v>
      </c>
      <c r="K180" s="25" t="s">
        <v>102</v>
      </c>
      <c r="L180" t="s">
        <v>93</v>
      </c>
      <c r="M180" t="s">
        <v>94</v>
      </c>
      <c r="N180" s="11">
        <v>343.5</v>
      </c>
      <c r="O180" s="11">
        <v>30.107272729999998</v>
      </c>
      <c r="P180" t="s">
        <v>48</v>
      </c>
      <c r="Q180" t="s">
        <v>25</v>
      </c>
      <c r="R180" t="s">
        <v>76</v>
      </c>
      <c r="S180" t="s">
        <v>27</v>
      </c>
      <c r="T180" t="str">
        <f>VLOOKUP(B180,'[1]Plant data'!$A$1:$AB$315,2,0)</f>
        <v>Arecaceae</v>
      </c>
      <c r="U180" t="str">
        <f>VLOOKUP($B180,'[1]Plant data'!$A$1:$AB$315,3,0)</f>
        <v>NA</v>
      </c>
      <c r="V180" t="str">
        <f>VLOOKUP($B180,'[1]Plant data'!$A$1:$AB$315,4,0)</f>
        <v>black</v>
      </c>
      <c r="W180" t="str">
        <f>VLOOKUP($B180,'[1]Plant data'!$A$1:$AB$315,5,0)</f>
        <v>YES</v>
      </c>
      <c r="X180">
        <f>VLOOKUP($B180,'[1]Plant data'!$A$1:$AB$315,6,0)</f>
        <v>13.294285714285715</v>
      </c>
      <c r="Y180">
        <f>VLOOKUP($B180,'[1]Plant data'!$A$1:$AB$315,7,0)</f>
        <v>12.980000000000002</v>
      </c>
      <c r="Z180">
        <f>VLOOKUP($B180,'[1]Plant data'!$A$1:$AB$315,8,0)</f>
        <v>11.3575</v>
      </c>
      <c r="AA180">
        <f>VLOOKUP($B180,'[1]Plant data'!$A$1:$AB$315,9,0)</f>
        <v>11.62275</v>
      </c>
      <c r="AB180">
        <f>VLOOKUP($B180,'[1]Plant data'!$A$1:$AB$315,10,0)</f>
        <v>1.4212800000000001</v>
      </c>
      <c r="AC180">
        <f>VLOOKUP($B180,'[1]Plant data'!$A$1:$AB$315,11,0)</f>
        <v>0.46</v>
      </c>
      <c r="AD180">
        <f>VLOOKUP($B180,'[1]Plant data'!$A$1:$AB$315,12,0)</f>
        <v>1.06515</v>
      </c>
      <c r="AE180">
        <f>VLOOKUP($B180,'[1]Plant data'!$A$1:$AB$315,13,0)</f>
        <v>0.32305000000000006</v>
      </c>
      <c r="AF180">
        <f>VLOOKUP($B180,'[1]Plant data'!$A$1:$AB$315,14,0)</f>
        <v>0.96343333333333325</v>
      </c>
      <c r="AG180">
        <f>VLOOKUP($B180,'[1]Plant data'!$A$1:$AB$315,15,0)</f>
        <v>1</v>
      </c>
      <c r="AH180" t="str">
        <f>VLOOKUP($B180,'[1]Plant data'!$A$1:$AB$315,16,0)</f>
        <v>NA</v>
      </c>
      <c r="AI180">
        <f>VLOOKUP($B180,'[1]Plant data'!$A$1:$AB$315,17,0)</f>
        <v>0.36819721900926922</v>
      </c>
      <c r="AJ180" t="str">
        <f>VLOOKUP($B180,'[1]Plant data'!$A$1:$AB$315,18,0)</f>
        <v>Castro &amp; Galetti 2004, Cazetta 2007, Erica&amp;Wesley, Intervales_morfo, Mikich 2002, Santana et al. 2013, Alves 2008</v>
      </c>
      <c r="AK180">
        <f>VLOOKUP($B180,'[1]Plant data'!$A$1:$AB$315,19,0)</f>
        <v>0.67774999999999996</v>
      </c>
      <c r="AL180">
        <f>VLOOKUP($B180,'[1]Plant data'!$A$1:$AB$315,20,0)</f>
        <v>0.13617499999999999</v>
      </c>
      <c r="AM180">
        <f>VLOOKUP($B180,'[1]Plant data'!$A$1:$AB$315,21,0)</f>
        <v>5.0733332999999999E-2</v>
      </c>
      <c r="AN180">
        <f>VLOOKUP($B180,'[1]Plant data'!$A$1:$AB$315,22,0)</f>
        <v>3.65E-3</v>
      </c>
      <c r="AO180">
        <f>VLOOKUP($B180,'[1]Plant data'!$A$1:$AB$315,23,0)</f>
        <v>0.182</v>
      </c>
      <c r="AP180" t="str">
        <f>VLOOKUP($B180,'[1]Plant data'!$A$1:$AB$315,24,0)</f>
        <v>NA</v>
      </c>
      <c r="AQ180">
        <f>VLOOKUP($B180,'[1]Plant data'!$A$1:$AB$315,25,0)</f>
        <v>0.69899999999999995</v>
      </c>
      <c r="AR180">
        <f>VLOOKUP($B180,'[1]Plant data'!$A$1:$AB$315,26,0)</f>
        <v>2.7E-2</v>
      </c>
      <c r="AS180" t="str">
        <f>VLOOKUP($B180,'[1]Plant data'!$A$1:$AB$315,27,0)</f>
        <v>NA</v>
      </c>
      <c r="AT180" t="str">
        <f>VLOOKUP($B180,'[1]Plant data'!$A$1:$AB$315,28,0)</f>
        <v>Cazetta 2007, Erica &amp; Wesley, unpubl., Saibadela, Santana et al. 2013</v>
      </c>
    </row>
    <row r="181" spans="1:46">
      <c r="A181" s="5" t="s">
        <v>105</v>
      </c>
      <c r="B181" s="14" t="s">
        <v>97</v>
      </c>
      <c r="C181" s="25">
        <v>2</v>
      </c>
      <c r="D181" s="25">
        <v>190</v>
      </c>
      <c r="E181" s="8">
        <f t="shared" si="16"/>
        <v>1.0526315789473684E-2</v>
      </c>
      <c r="F181" s="25">
        <v>27</v>
      </c>
      <c r="G181" s="9">
        <f t="shared" si="17"/>
        <v>13.5</v>
      </c>
      <c r="H181" s="9"/>
      <c r="I181" s="8">
        <f t="shared" si="18"/>
        <v>0.14210526315789473</v>
      </c>
      <c r="J181" t="s">
        <v>137</v>
      </c>
      <c r="K181" t="s">
        <v>99</v>
      </c>
      <c r="L181" t="s">
        <v>93</v>
      </c>
      <c r="M181" t="s">
        <v>94</v>
      </c>
      <c r="N181" s="11">
        <v>164</v>
      </c>
      <c r="O181" s="11">
        <v>25.039000000000001</v>
      </c>
      <c r="P181" t="s">
        <v>48</v>
      </c>
      <c r="Q181" t="s">
        <v>25</v>
      </c>
      <c r="R181" t="s">
        <v>26</v>
      </c>
      <c r="S181" t="s">
        <v>27</v>
      </c>
      <c r="T181" t="str">
        <f>VLOOKUP(B181,'[1]Plant data'!$A$1:$AB$315,2,0)</f>
        <v>Arecaceae</v>
      </c>
      <c r="U181" t="str">
        <f>VLOOKUP($B181,'[1]Plant data'!$A$1:$AB$315,3,0)</f>
        <v>NA</v>
      </c>
      <c r="V181" t="str">
        <f>VLOOKUP($B181,'[1]Plant data'!$A$1:$AB$315,4,0)</f>
        <v>black</v>
      </c>
      <c r="W181" t="str">
        <f>VLOOKUP($B181,'[1]Plant data'!$A$1:$AB$315,5,0)</f>
        <v>YES</v>
      </c>
      <c r="X181">
        <f>VLOOKUP($B181,'[1]Plant data'!$A$1:$AB$315,6,0)</f>
        <v>13.294285714285715</v>
      </c>
      <c r="Y181">
        <f>VLOOKUP($B181,'[1]Plant data'!$A$1:$AB$315,7,0)</f>
        <v>12.980000000000002</v>
      </c>
      <c r="Z181">
        <f>VLOOKUP($B181,'[1]Plant data'!$A$1:$AB$315,8,0)</f>
        <v>11.3575</v>
      </c>
      <c r="AA181">
        <f>VLOOKUP($B181,'[1]Plant data'!$A$1:$AB$315,9,0)</f>
        <v>11.62275</v>
      </c>
      <c r="AB181">
        <f>VLOOKUP($B181,'[1]Plant data'!$A$1:$AB$315,10,0)</f>
        <v>1.4212800000000001</v>
      </c>
      <c r="AC181">
        <f>VLOOKUP($B181,'[1]Plant data'!$A$1:$AB$315,11,0)</f>
        <v>0.46</v>
      </c>
      <c r="AD181">
        <f>VLOOKUP($B181,'[1]Plant data'!$A$1:$AB$315,12,0)</f>
        <v>1.06515</v>
      </c>
      <c r="AE181">
        <f>VLOOKUP($B181,'[1]Plant data'!$A$1:$AB$315,13,0)</f>
        <v>0.32305000000000006</v>
      </c>
      <c r="AF181">
        <f>VLOOKUP($B181,'[1]Plant data'!$A$1:$AB$315,14,0)</f>
        <v>0.96343333333333325</v>
      </c>
      <c r="AG181">
        <f>VLOOKUP($B181,'[1]Plant data'!$A$1:$AB$315,15,0)</f>
        <v>1</v>
      </c>
      <c r="AH181" t="str">
        <f>VLOOKUP($B181,'[1]Plant data'!$A$1:$AB$315,16,0)</f>
        <v>NA</v>
      </c>
      <c r="AI181">
        <f>VLOOKUP($B181,'[1]Plant data'!$A$1:$AB$315,17,0)</f>
        <v>0.36819721900926922</v>
      </c>
      <c r="AJ181" t="str">
        <f>VLOOKUP($B181,'[1]Plant data'!$A$1:$AB$315,18,0)</f>
        <v>Castro &amp; Galetti 2004, Cazetta 2007, Erica&amp;Wesley, Intervales_morfo, Mikich 2002, Santana et al. 2013, Alves 2008</v>
      </c>
      <c r="AK181">
        <f>VLOOKUP($B181,'[1]Plant data'!$A$1:$AB$315,19,0)</f>
        <v>0.67774999999999996</v>
      </c>
      <c r="AL181">
        <f>VLOOKUP($B181,'[1]Plant data'!$A$1:$AB$315,20,0)</f>
        <v>0.13617499999999999</v>
      </c>
      <c r="AM181">
        <f>VLOOKUP($B181,'[1]Plant data'!$A$1:$AB$315,21,0)</f>
        <v>5.0733332999999999E-2</v>
      </c>
      <c r="AN181">
        <f>VLOOKUP($B181,'[1]Plant data'!$A$1:$AB$315,22,0)</f>
        <v>3.65E-3</v>
      </c>
      <c r="AO181">
        <f>VLOOKUP($B181,'[1]Plant data'!$A$1:$AB$315,23,0)</f>
        <v>0.182</v>
      </c>
      <c r="AP181" t="str">
        <f>VLOOKUP($B181,'[1]Plant data'!$A$1:$AB$315,24,0)</f>
        <v>NA</v>
      </c>
      <c r="AQ181">
        <f>VLOOKUP($B181,'[1]Plant data'!$A$1:$AB$315,25,0)</f>
        <v>0.69899999999999995</v>
      </c>
      <c r="AR181">
        <f>VLOOKUP($B181,'[1]Plant data'!$A$1:$AB$315,26,0)</f>
        <v>2.7E-2</v>
      </c>
      <c r="AS181" t="str">
        <f>VLOOKUP($B181,'[1]Plant data'!$A$1:$AB$315,27,0)</f>
        <v>NA</v>
      </c>
      <c r="AT181" t="str">
        <f>VLOOKUP($B181,'[1]Plant data'!$A$1:$AB$315,28,0)</f>
        <v>Cazetta 2007, Erica &amp; Wesley, unpubl., Saibadela, Santana et al. 2013</v>
      </c>
    </row>
    <row r="182" spans="1:46">
      <c r="A182" s="5" t="s">
        <v>107</v>
      </c>
      <c r="B182" s="14" t="s">
        <v>97</v>
      </c>
      <c r="C182">
        <v>2</v>
      </c>
      <c r="D182" s="25">
        <v>190</v>
      </c>
      <c r="E182" s="8">
        <f t="shared" si="16"/>
        <v>1.0526315789473684E-2</v>
      </c>
      <c r="F182">
        <v>2</v>
      </c>
      <c r="G182" s="9">
        <f t="shared" si="17"/>
        <v>1</v>
      </c>
      <c r="H182" s="9"/>
      <c r="I182" s="8">
        <f t="shared" si="18"/>
        <v>1.0526315789473684E-2</v>
      </c>
      <c r="J182" t="s">
        <v>137</v>
      </c>
      <c r="K182" s="25" t="s">
        <v>103</v>
      </c>
      <c r="L182" t="s">
        <v>108</v>
      </c>
      <c r="M182" t="s">
        <v>109</v>
      </c>
      <c r="N182" s="11">
        <v>89.7</v>
      </c>
      <c r="O182" s="11">
        <v>20.489000000000001</v>
      </c>
      <c r="P182" t="s">
        <v>48</v>
      </c>
      <c r="Q182" t="s">
        <v>25</v>
      </c>
      <c r="R182" t="s">
        <v>26</v>
      </c>
      <c r="S182" t="s">
        <v>31</v>
      </c>
      <c r="T182" t="str">
        <f>VLOOKUP(B182,'[1]Plant data'!$A$1:$AB$315,2,0)</f>
        <v>Arecaceae</v>
      </c>
      <c r="U182" t="str">
        <f>VLOOKUP($B182,'[1]Plant data'!$A$1:$AB$315,3,0)</f>
        <v>NA</v>
      </c>
      <c r="V182" t="str">
        <f>VLOOKUP($B182,'[1]Plant data'!$A$1:$AB$315,4,0)</f>
        <v>black</v>
      </c>
      <c r="W182" t="str">
        <f>VLOOKUP($B182,'[1]Plant data'!$A$1:$AB$315,5,0)</f>
        <v>YES</v>
      </c>
      <c r="X182">
        <f>VLOOKUP($B182,'[1]Plant data'!$A$1:$AB$315,6,0)</f>
        <v>13.294285714285715</v>
      </c>
      <c r="Y182">
        <f>VLOOKUP($B182,'[1]Plant data'!$A$1:$AB$315,7,0)</f>
        <v>12.980000000000002</v>
      </c>
      <c r="Z182">
        <f>VLOOKUP($B182,'[1]Plant data'!$A$1:$AB$315,8,0)</f>
        <v>11.3575</v>
      </c>
      <c r="AA182">
        <f>VLOOKUP($B182,'[1]Plant data'!$A$1:$AB$315,9,0)</f>
        <v>11.62275</v>
      </c>
      <c r="AB182">
        <f>VLOOKUP($B182,'[1]Plant data'!$A$1:$AB$315,10,0)</f>
        <v>1.4212800000000001</v>
      </c>
      <c r="AC182">
        <f>VLOOKUP($B182,'[1]Plant data'!$A$1:$AB$315,11,0)</f>
        <v>0.46</v>
      </c>
      <c r="AD182">
        <f>VLOOKUP($B182,'[1]Plant data'!$A$1:$AB$315,12,0)</f>
        <v>1.06515</v>
      </c>
      <c r="AE182">
        <f>VLOOKUP($B182,'[1]Plant data'!$A$1:$AB$315,13,0)</f>
        <v>0.32305000000000006</v>
      </c>
      <c r="AF182">
        <f>VLOOKUP($B182,'[1]Plant data'!$A$1:$AB$315,14,0)</f>
        <v>0.96343333333333325</v>
      </c>
      <c r="AG182">
        <f>VLOOKUP($B182,'[1]Plant data'!$A$1:$AB$315,15,0)</f>
        <v>1</v>
      </c>
      <c r="AH182" t="str">
        <f>VLOOKUP($B182,'[1]Plant data'!$A$1:$AB$315,16,0)</f>
        <v>NA</v>
      </c>
      <c r="AI182">
        <f>VLOOKUP($B182,'[1]Plant data'!$A$1:$AB$315,17,0)</f>
        <v>0.36819721900926922</v>
      </c>
      <c r="AJ182" t="str">
        <f>VLOOKUP($B182,'[1]Plant data'!$A$1:$AB$315,18,0)</f>
        <v>Castro &amp; Galetti 2004, Cazetta 2007, Erica&amp;Wesley, Intervales_morfo, Mikich 2002, Santana et al. 2013, Alves 2008</v>
      </c>
      <c r="AK182">
        <f>VLOOKUP($B182,'[1]Plant data'!$A$1:$AB$315,19,0)</f>
        <v>0.67774999999999996</v>
      </c>
      <c r="AL182">
        <f>VLOOKUP($B182,'[1]Plant data'!$A$1:$AB$315,20,0)</f>
        <v>0.13617499999999999</v>
      </c>
      <c r="AM182">
        <f>VLOOKUP($B182,'[1]Plant data'!$A$1:$AB$315,21,0)</f>
        <v>5.0733332999999999E-2</v>
      </c>
      <c r="AN182">
        <f>VLOOKUP($B182,'[1]Plant data'!$A$1:$AB$315,22,0)</f>
        <v>3.65E-3</v>
      </c>
      <c r="AO182">
        <f>VLOOKUP($B182,'[1]Plant data'!$A$1:$AB$315,23,0)</f>
        <v>0.182</v>
      </c>
      <c r="AP182" t="str">
        <f>VLOOKUP($B182,'[1]Plant data'!$A$1:$AB$315,24,0)</f>
        <v>NA</v>
      </c>
      <c r="AQ182">
        <f>VLOOKUP($B182,'[1]Plant data'!$A$1:$AB$315,25,0)</f>
        <v>0.69899999999999995</v>
      </c>
      <c r="AR182">
        <f>VLOOKUP($B182,'[1]Plant data'!$A$1:$AB$315,26,0)</f>
        <v>2.7E-2</v>
      </c>
      <c r="AS182" t="str">
        <f>VLOOKUP($B182,'[1]Plant data'!$A$1:$AB$315,27,0)</f>
        <v>NA</v>
      </c>
      <c r="AT182" t="str">
        <f>VLOOKUP($B182,'[1]Plant data'!$A$1:$AB$315,28,0)</f>
        <v>Cazetta 2007, Erica &amp; Wesley, unpubl., Saibadela, Santana et al. 2013</v>
      </c>
    </row>
    <row r="183" spans="1:46">
      <c r="A183" s="5" t="s">
        <v>46</v>
      </c>
      <c r="B183" s="6" t="s">
        <v>97</v>
      </c>
      <c r="C183">
        <v>1</v>
      </c>
      <c r="D183" s="25">
        <v>190</v>
      </c>
      <c r="E183" s="8">
        <f t="shared" si="16"/>
        <v>5.263157894736842E-3</v>
      </c>
      <c r="F183">
        <v>4</v>
      </c>
      <c r="G183" s="9">
        <f t="shared" si="17"/>
        <v>4</v>
      </c>
      <c r="H183" s="9"/>
      <c r="I183" s="8">
        <f t="shared" si="18"/>
        <v>2.1052631578947368E-2</v>
      </c>
      <c r="J183" t="s">
        <v>137</v>
      </c>
      <c r="K183" t="s">
        <v>103</v>
      </c>
      <c r="L183" t="s">
        <v>22</v>
      </c>
      <c r="M183" t="s">
        <v>47</v>
      </c>
      <c r="N183" s="11">
        <v>54</v>
      </c>
      <c r="O183" s="11">
        <v>11.14875</v>
      </c>
      <c r="P183" t="s">
        <v>48</v>
      </c>
      <c r="Q183" t="s">
        <v>49</v>
      </c>
      <c r="R183" t="s">
        <v>26</v>
      </c>
      <c r="S183" t="s">
        <v>31</v>
      </c>
      <c r="T183" t="str">
        <f>VLOOKUP(B183,'[1]Plant data'!$A$1:$AB$315,2,0)</f>
        <v>Arecaceae</v>
      </c>
      <c r="U183" t="str">
        <f>VLOOKUP($B183,'[1]Plant data'!$A$1:$AB$315,3,0)</f>
        <v>NA</v>
      </c>
      <c r="V183" t="str">
        <f>VLOOKUP($B183,'[1]Plant data'!$A$1:$AB$315,4,0)</f>
        <v>black</v>
      </c>
      <c r="W183" t="str">
        <f>VLOOKUP($B183,'[1]Plant data'!$A$1:$AB$315,5,0)</f>
        <v>YES</v>
      </c>
      <c r="X183">
        <f>VLOOKUP($B183,'[1]Plant data'!$A$1:$AB$315,6,0)</f>
        <v>13.294285714285715</v>
      </c>
      <c r="Y183">
        <f>VLOOKUP($B183,'[1]Plant data'!$A$1:$AB$315,7,0)</f>
        <v>12.980000000000002</v>
      </c>
      <c r="Z183">
        <f>VLOOKUP($B183,'[1]Plant data'!$A$1:$AB$315,8,0)</f>
        <v>11.3575</v>
      </c>
      <c r="AA183">
        <f>VLOOKUP($B183,'[1]Plant data'!$A$1:$AB$315,9,0)</f>
        <v>11.62275</v>
      </c>
      <c r="AB183">
        <f>VLOOKUP($B183,'[1]Plant data'!$A$1:$AB$315,10,0)</f>
        <v>1.4212800000000001</v>
      </c>
      <c r="AC183">
        <f>VLOOKUP($B183,'[1]Plant data'!$A$1:$AB$315,11,0)</f>
        <v>0.46</v>
      </c>
      <c r="AD183">
        <f>VLOOKUP($B183,'[1]Plant data'!$A$1:$AB$315,12,0)</f>
        <v>1.06515</v>
      </c>
      <c r="AE183">
        <f>VLOOKUP($B183,'[1]Plant data'!$A$1:$AB$315,13,0)</f>
        <v>0.32305000000000006</v>
      </c>
      <c r="AF183">
        <f>VLOOKUP($B183,'[1]Plant data'!$A$1:$AB$315,14,0)</f>
        <v>0.96343333333333325</v>
      </c>
      <c r="AG183">
        <f>VLOOKUP($B183,'[1]Plant data'!$A$1:$AB$315,15,0)</f>
        <v>1</v>
      </c>
      <c r="AH183" t="str">
        <f>VLOOKUP($B183,'[1]Plant data'!$A$1:$AB$315,16,0)</f>
        <v>NA</v>
      </c>
      <c r="AI183">
        <f>VLOOKUP($B183,'[1]Plant data'!$A$1:$AB$315,17,0)</f>
        <v>0.36819721900926922</v>
      </c>
      <c r="AJ183" t="str">
        <f>VLOOKUP($B183,'[1]Plant data'!$A$1:$AB$315,18,0)</f>
        <v>Castro &amp; Galetti 2004, Cazetta 2007, Erica&amp;Wesley, Intervales_morfo, Mikich 2002, Santana et al. 2013, Alves 2008</v>
      </c>
      <c r="AK183">
        <f>VLOOKUP($B183,'[1]Plant data'!$A$1:$AB$315,19,0)</f>
        <v>0.67774999999999996</v>
      </c>
      <c r="AL183">
        <f>VLOOKUP($B183,'[1]Plant data'!$A$1:$AB$315,20,0)</f>
        <v>0.13617499999999999</v>
      </c>
      <c r="AM183">
        <f>VLOOKUP($B183,'[1]Plant data'!$A$1:$AB$315,21,0)</f>
        <v>5.0733332999999999E-2</v>
      </c>
      <c r="AN183">
        <f>VLOOKUP($B183,'[1]Plant data'!$A$1:$AB$315,22,0)</f>
        <v>3.65E-3</v>
      </c>
      <c r="AO183">
        <f>VLOOKUP($B183,'[1]Plant data'!$A$1:$AB$315,23,0)</f>
        <v>0.182</v>
      </c>
      <c r="AP183" t="str">
        <f>VLOOKUP($B183,'[1]Plant data'!$A$1:$AB$315,24,0)</f>
        <v>NA</v>
      </c>
      <c r="AQ183">
        <f>VLOOKUP($B183,'[1]Plant data'!$A$1:$AB$315,25,0)</f>
        <v>0.69899999999999995</v>
      </c>
      <c r="AR183">
        <f>VLOOKUP($B183,'[1]Plant data'!$A$1:$AB$315,26,0)</f>
        <v>2.7E-2</v>
      </c>
      <c r="AS183" t="str">
        <f>VLOOKUP($B183,'[1]Plant data'!$A$1:$AB$315,27,0)</f>
        <v>NA</v>
      </c>
      <c r="AT183" t="str">
        <f>VLOOKUP($B183,'[1]Plant data'!$A$1:$AB$315,28,0)</f>
        <v>Cazetta 2007, Erica &amp; Wesley, unpubl., Saibadela, Santana et al. 2013</v>
      </c>
    </row>
    <row r="184" spans="1:46">
      <c r="A184" s="5" t="s">
        <v>46</v>
      </c>
      <c r="B184" s="6" t="s">
        <v>97</v>
      </c>
      <c r="C184">
        <v>8</v>
      </c>
      <c r="D184" s="25">
        <v>190</v>
      </c>
      <c r="E184" s="8">
        <f t="shared" si="16"/>
        <v>4.2105263157894736E-2</v>
      </c>
      <c r="F184">
        <v>14</v>
      </c>
      <c r="G184" s="9">
        <f t="shared" si="17"/>
        <v>1.75</v>
      </c>
      <c r="H184" s="9"/>
      <c r="I184" s="8">
        <f t="shared" si="18"/>
        <v>7.3684210526315783E-2</v>
      </c>
      <c r="J184" t="s">
        <v>137</v>
      </c>
      <c r="K184" t="s">
        <v>102</v>
      </c>
      <c r="L184" t="s">
        <v>22</v>
      </c>
      <c r="M184" t="s">
        <v>47</v>
      </c>
      <c r="N184" s="11">
        <v>54</v>
      </c>
      <c r="O184" s="11">
        <v>11.14875</v>
      </c>
      <c r="P184" t="s">
        <v>48</v>
      </c>
      <c r="Q184" t="s">
        <v>49</v>
      </c>
      <c r="R184" t="s">
        <v>26</v>
      </c>
      <c r="S184" t="s">
        <v>31</v>
      </c>
      <c r="T184" t="str">
        <f>VLOOKUP(B184,'[1]Plant data'!$A$1:$AB$315,2,0)</f>
        <v>Arecaceae</v>
      </c>
      <c r="U184" t="str">
        <f>VLOOKUP($B184,'[1]Plant data'!$A$1:$AB$315,3,0)</f>
        <v>NA</v>
      </c>
      <c r="V184" t="str">
        <f>VLOOKUP($B184,'[1]Plant data'!$A$1:$AB$315,4,0)</f>
        <v>black</v>
      </c>
      <c r="W184" t="str">
        <f>VLOOKUP($B184,'[1]Plant data'!$A$1:$AB$315,5,0)</f>
        <v>YES</v>
      </c>
      <c r="X184">
        <f>VLOOKUP($B184,'[1]Plant data'!$A$1:$AB$315,6,0)</f>
        <v>13.294285714285715</v>
      </c>
      <c r="Y184">
        <f>VLOOKUP($B184,'[1]Plant data'!$A$1:$AB$315,7,0)</f>
        <v>12.980000000000002</v>
      </c>
      <c r="Z184">
        <f>VLOOKUP($B184,'[1]Plant data'!$A$1:$AB$315,8,0)</f>
        <v>11.3575</v>
      </c>
      <c r="AA184">
        <f>VLOOKUP($B184,'[1]Plant data'!$A$1:$AB$315,9,0)</f>
        <v>11.62275</v>
      </c>
      <c r="AB184">
        <f>VLOOKUP($B184,'[1]Plant data'!$A$1:$AB$315,10,0)</f>
        <v>1.4212800000000001</v>
      </c>
      <c r="AC184">
        <f>VLOOKUP($B184,'[1]Plant data'!$A$1:$AB$315,11,0)</f>
        <v>0.46</v>
      </c>
      <c r="AD184">
        <f>VLOOKUP($B184,'[1]Plant data'!$A$1:$AB$315,12,0)</f>
        <v>1.06515</v>
      </c>
      <c r="AE184">
        <f>VLOOKUP($B184,'[1]Plant data'!$A$1:$AB$315,13,0)</f>
        <v>0.32305000000000006</v>
      </c>
      <c r="AF184">
        <f>VLOOKUP($B184,'[1]Plant data'!$A$1:$AB$315,14,0)</f>
        <v>0.96343333333333325</v>
      </c>
      <c r="AG184">
        <f>VLOOKUP($B184,'[1]Plant data'!$A$1:$AB$315,15,0)</f>
        <v>1</v>
      </c>
      <c r="AH184" t="str">
        <f>VLOOKUP($B184,'[1]Plant data'!$A$1:$AB$315,16,0)</f>
        <v>NA</v>
      </c>
      <c r="AI184">
        <f>VLOOKUP($B184,'[1]Plant data'!$A$1:$AB$315,17,0)</f>
        <v>0.36819721900926922</v>
      </c>
      <c r="AJ184" t="str">
        <f>VLOOKUP($B184,'[1]Plant data'!$A$1:$AB$315,18,0)</f>
        <v>Castro &amp; Galetti 2004, Cazetta 2007, Erica&amp;Wesley, Intervales_morfo, Mikich 2002, Santana et al. 2013, Alves 2008</v>
      </c>
      <c r="AK184">
        <f>VLOOKUP($B184,'[1]Plant data'!$A$1:$AB$315,19,0)</f>
        <v>0.67774999999999996</v>
      </c>
      <c r="AL184">
        <f>VLOOKUP($B184,'[1]Plant data'!$A$1:$AB$315,20,0)</f>
        <v>0.13617499999999999</v>
      </c>
      <c r="AM184">
        <f>VLOOKUP($B184,'[1]Plant data'!$A$1:$AB$315,21,0)</f>
        <v>5.0733332999999999E-2</v>
      </c>
      <c r="AN184">
        <f>VLOOKUP($B184,'[1]Plant data'!$A$1:$AB$315,22,0)</f>
        <v>3.65E-3</v>
      </c>
      <c r="AO184">
        <f>VLOOKUP($B184,'[1]Plant data'!$A$1:$AB$315,23,0)</f>
        <v>0.182</v>
      </c>
      <c r="AP184" t="str">
        <f>VLOOKUP($B184,'[1]Plant data'!$A$1:$AB$315,24,0)</f>
        <v>NA</v>
      </c>
      <c r="AQ184">
        <f>VLOOKUP($B184,'[1]Plant data'!$A$1:$AB$315,25,0)</f>
        <v>0.69899999999999995</v>
      </c>
      <c r="AR184">
        <f>VLOOKUP($B184,'[1]Plant data'!$A$1:$AB$315,26,0)</f>
        <v>2.7E-2</v>
      </c>
      <c r="AS184" t="str">
        <f>VLOOKUP($B184,'[1]Plant data'!$A$1:$AB$315,27,0)</f>
        <v>NA</v>
      </c>
      <c r="AT184" t="str">
        <f>VLOOKUP($B184,'[1]Plant data'!$A$1:$AB$315,28,0)</f>
        <v>Cazetta 2007, Erica &amp; Wesley, unpubl., Saibadela, Santana et al. 2013</v>
      </c>
    </row>
    <row r="185" spans="1:46">
      <c r="A185" s="5" t="s">
        <v>46</v>
      </c>
      <c r="B185" s="6" t="s">
        <v>97</v>
      </c>
      <c r="C185">
        <v>8</v>
      </c>
      <c r="D185" s="25">
        <v>190</v>
      </c>
      <c r="E185" s="8">
        <f t="shared" si="16"/>
        <v>4.2105263157894736E-2</v>
      </c>
      <c r="F185">
        <v>16</v>
      </c>
      <c r="G185" s="9">
        <f t="shared" si="17"/>
        <v>2</v>
      </c>
      <c r="H185" s="9"/>
      <c r="I185" s="8">
        <f t="shared" si="18"/>
        <v>8.4210526315789472E-2</v>
      </c>
      <c r="J185" s="10" t="s">
        <v>137</v>
      </c>
      <c r="K185" t="s">
        <v>99</v>
      </c>
      <c r="L185" t="s">
        <v>22</v>
      </c>
      <c r="M185" t="s">
        <v>47</v>
      </c>
      <c r="N185" s="11">
        <v>54</v>
      </c>
      <c r="O185" s="11">
        <v>11.14875</v>
      </c>
      <c r="P185" t="s">
        <v>48</v>
      </c>
      <c r="Q185" t="s">
        <v>49</v>
      </c>
      <c r="R185" t="s">
        <v>26</v>
      </c>
      <c r="S185" t="s">
        <v>31</v>
      </c>
      <c r="T185" t="str">
        <f>VLOOKUP(B185,'[1]Plant data'!$A$1:$AB$315,2,0)</f>
        <v>Arecaceae</v>
      </c>
      <c r="U185" t="str">
        <f>VLOOKUP($B185,'[1]Plant data'!$A$1:$AB$315,3,0)</f>
        <v>NA</v>
      </c>
      <c r="V185" t="str">
        <f>VLOOKUP($B185,'[1]Plant data'!$A$1:$AB$315,4,0)</f>
        <v>black</v>
      </c>
      <c r="W185" t="str">
        <f>VLOOKUP($B185,'[1]Plant data'!$A$1:$AB$315,5,0)</f>
        <v>YES</v>
      </c>
      <c r="X185">
        <f>VLOOKUP($B185,'[1]Plant data'!$A$1:$AB$315,6,0)</f>
        <v>13.294285714285715</v>
      </c>
      <c r="Y185">
        <f>VLOOKUP($B185,'[1]Plant data'!$A$1:$AB$315,7,0)</f>
        <v>12.980000000000002</v>
      </c>
      <c r="Z185">
        <f>VLOOKUP($B185,'[1]Plant data'!$A$1:$AB$315,8,0)</f>
        <v>11.3575</v>
      </c>
      <c r="AA185">
        <f>VLOOKUP($B185,'[1]Plant data'!$A$1:$AB$315,9,0)</f>
        <v>11.62275</v>
      </c>
      <c r="AB185">
        <f>VLOOKUP($B185,'[1]Plant data'!$A$1:$AB$315,10,0)</f>
        <v>1.4212800000000001</v>
      </c>
      <c r="AC185">
        <f>VLOOKUP($B185,'[1]Plant data'!$A$1:$AB$315,11,0)</f>
        <v>0.46</v>
      </c>
      <c r="AD185">
        <f>VLOOKUP($B185,'[1]Plant data'!$A$1:$AB$315,12,0)</f>
        <v>1.06515</v>
      </c>
      <c r="AE185">
        <f>VLOOKUP($B185,'[1]Plant data'!$A$1:$AB$315,13,0)</f>
        <v>0.32305000000000006</v>
      </c>
      <c r="AF185">
        <f>VLOOKUP($B185,'[1]Plant data'!$A$1:$AB$315,14,0)</f>
        <v>0.96343333333333325</v>
      </c>
      <c r="AG185">
        <f>VLOOKUP($B185,'[1]Plant data'!$A$1:$AB$315,15,0)</f>
        <v>1</v>
      </c>
      <c r="AH185" t="str">
        <f>VLOOKUP($B185,'[1]Plant data'!$A$1:$AB$315,16,0)</f>
        <v>NA</v>
      </c>
      <c r="AI185">
        <f>VLOOKUP($B185,'[1]Plant data'!$A$1:$AB$315,17,0)</f>
        <v>0.36819721900926922</v>
      </c>
      <c r="AJ185" t="str">
        <f>VLOOKUP($B185,'[1]Plant data'!$A$1:$AB$315,18,0)</f>
        <v>Castro &amp; Galetti 2004, Cazetta 2007, Erica&amp;Wesley, Intervales_morfo, Mikich 2002, Santana et al. 2013, Alves 2008</v>
      </c>
      <c r="AK185">
        <f>VLOOKUP($B185,'[1]Plant data'!$A$1:$AB$315,19,0)</f>
        <v>0.67774999999999996</v>
      </c>
      <c r="AL185">
        <f>VLOOKUP($B185,'[1]Plant data'!$A$1:$AB$315,20,0)</f>
        <v>0.13617499999999999</v>
      </c>
      <c r="AM185">
        <f>VLOOKUP($B185,'[1]Plant data'!$A$1:$AB$315,21,0)</f>
        <v>5.0733332999999999E-2</v>
      </c>
      <c r="AN185">
        <f>VLOOKUP($B185,'[1]Plant data'!$A$1:$AB$315,22,0)</f>
        <v>3.65E-3</v>
      </c>
      <c r="AO185">
        <f>VLOOKUP($B185,'[1]Plant data'!$A$1:$AB$315,23,0)</f>
        <v>0.182</v>
      </c>
      <c r="AP185" t="str">
        <f>VLOOKUP($B185,'[1]Plant data'!$A$1:$AB$315,24,0)</f>
        <v>NA</v>
      </c>
      <c r="AQ185">
        <f>VLOOKUP($B185,'[1]Plant data'!$A$1:$AB$315,25,0)</f>
        <v>0.69899999999999995</v>
      </c>
      <c r="AR185">
        <f>VLOOKUP($B185,'[1]Plant data'!$A$1:$AB$315,26,0)</f>
        <v>2.7E-2</v>
      </c>
      <c r="AS185" t="str">
        <f>VLOOKUP($B185,'[1]Plant data'!$A$1:$AB$315,27,0)</f>
        <v>NA</v>
      </c>
      <c r="AT185" t="str">
        <f>VLOOKUP($B185,'[1]Plant data'!$A$1:$AB$315,28,0)</f>
        <v>Cazetta 2007, Erica &amp; Wesley, unpubl., Saibadela, Santana et al. 2013</v>
      </c>
    </row>
    <row r="186" spans="1:46">
      <c r="A186" s="5" t="s">
        <v>50</v>
      </c>
      <c r="B186" s="14" t="s">
        <v>97</v>
      </c>
      <c r="C186">
        <v>3</v>
      </c>
      <c r="D186" s="25">
        <v>190</v>
      </c>
      <c r="E186" s="8">
        <f t="shared" si="16"/>
        <v>1.5789473684210527E-2</v>
      </c>
      <c r="F186">
        <v>2</v>
      </c>
      <c r="G186" s="9">
        <f t="shared" si="17"/>
        <v>0.66666666666666663</v>
      </c>
      <c r="H186" s="9"/>
      <c r="I186" s="8">
        <f t="shared" si="18"/>
        <v>1.0526315789473684E-2</v>
      </c>
      <c r="J186" s="10" t="s">
        <v>137</v>
      </c>
      <c r="K186" t="s">
        <v>103</v>
      </c>
      <c r="L186" t="s">
        <v>22</v>
      </c>
      <c r="M186" t="s">
        <v>47</v>
      </c>
      <c r="N186" s="11">
        <v>69.5</v>
      </c>
      <c r="O186" s="11">
        <v>13.253214290000001</v>
      </c>
      <c r="P186" t="s">
        <v>48</v>
      </c>
      <c r="Q186" t="s">
        <v>25</v>
      </c>
      <c r="R186" t="s">
        <v>26</v>
      </c>
      <c r="S186" t="s">
        <v>31</v>
      </c>
      <c r="T186" t="str">
        <f>VLOOKUP(B186,'[1]Plant data'!$A$1:$AB$315,2,0)</f>
        <v>Arecaceae</v>
      </c>
      <c r="U186" t="str">
        <f>VLOOKUP($B186,'[1]Plant data'!$A$1:$AB$315,3,0)</f>
        <v>NA</v>
      </c>
      <c r="V186" t="str">
        <f>VLOOKUP($B186,'[1]Plant data'!$A$1:$AB$315,4,0)</f>
        <v>black</v>
      </c>
      <c r="W186" t="str">
        <f>VLOOKUP($B186,'[1]Plant data'!$A$1:$AB$315,5,0)</f>
        <v>YES</v>
      </c>
      <c r="X186">
        <f>VLOOKUP($B186,'[1]Plant data'!$A$1:$AB$315,6,0)</f>
        <v>13.294285714285715</v>
      </c>
      <c r="Y186">
        <f>VLOOKUP($B186,'[1]Plant data'!$A$1:$AB$315,7,0)</f>
        <v>12.980000000000002</v>
      </c>
      <c r="Z186">
        <f>VLOOKUP($B186,'[1]Plant data'!$A$1:$AB$315,8,0)</f>
        <v>11.3575</v>
      </c>
      <c r="AA186">
        <f>VLOOKUP($B186,'[1]Plant data'!$A$1:$AB$315,9,0)</f>
        <v>11.62275</v>
      </c>
      <c r="AB186">
        <f>VLOOKUP($B186,'[1]Plant data'!$A$1:$AB$315,10,0)</f>
        <v>1.4212800000000001</v>
      </c>
      <c r="AC186">
        <f>VLOOKUP($B186,'[1]Plant data'!$A$1:$AB$315,11,0)</f>
        <v>0.46</v>
      </c>
      <c r="AD186">
        <f>VLOOKUP($B186,'[1]Plant data'!$A$1:$AB$315,12,0)</f>
        <v>1.06515</v>
      </c>
      <c r="AE186">
        <f>VLOOKUP($B186,'[1]Plant data'!$A$1:$AB$315,13,0)</f>
        <v>0.32305000000000006</v>
      </c>
      <c r="AF186">
        <f>VLOOKUP($B186,'[1]Plant data'!$A$1:$AB$315,14,0)</f>
        <v>0.96343333333333325</v>
      </c>
      <c r="AG186">
        <f>VLOOKUP($B186,'[1]Plant data'!$A$1:$AB$315,15,0)</f>
        <v>1</v>
      </c>
      <c r="AH186" t="str">
        <f>VLOOKUP($B186,'[1]Plant data'!$A$1:$AB$315,16,0)</f>
        <v>NA</v>
      </c>
      <c r="AI186">
        <f>VLOOKUP($B186,'[1]Plant data'!$A$1:$AB$315,17,0)</f>
        <v>0.36819721900926922</v>
      </c>
      <c r="AJ186" t="str">
        <f>VLOOKUP($B186,'[1]Plant data'!$A$1:$AB$315,18,0)</f>
        <v>Castro &amp; Galetti 2004, Cazetta 2007, Erica&amp;Wesley, Intervales_morfo, Mikich 2002, Santana et al. 2013, Alves 2008</v>
      </c>
      <c r="AK186">
        <f>VLOOKUP($B186,'[1]Plant data'!$A$1:$AB$315,19,0)</f>
        <v>0.67774999999999996</v>
      </c>
      <c r="AL186">
        <f>VLOOKUP($B186,'[1]Plant data'!$A$1:$AB$315,20,0)</f>
        <v>0.13617499999999999</v>
      </c>
      <c r="AM186">
        <f>VLOOKUP($B186,'[1]Plant data'!$A$1:$AB$315,21,0)</f>
        <v>5.0733332999999999E-2</v>
      </c>
      <c r="AN186">
        <f>VLOOKUP($B186,'[1]Plant data'!$A$1:$AB$315,22,0)</f>
        <v>3.65E-3</v>
      </c>
      <c r="AO186">
        <f>VLOOKUP($B186,'[1]Plant data'!$A$1:$AB$315,23,0)</f>
        <v>0.182</v>
      </c>
      <c r="AP186" t="str">
        <f>VLOOKUP($B186,'[1]Plant data'!$A$1:$AB$315,24,0)</f>
        <v>NA</v>
      </c>
      <c r="AQ186">
        <f>VLOOKUP($B186,'[1]Plant data'!$A$1:$AB$315,25,0)</f>
        <v>0.69899999999999995</v>
      </c>
      <c r="AR186">
        <f>VLOOKUP($B186,'[1]Plant data'!$A$1:$AB$315,26,0)</f>
        <v>2.7E-2</v>
      </c>
      <c r="AS186" t="str">
        <f>VLOOKUP($B186,'[1]Plant data'!$A$1:$AB$315,27,0)</f>
        <v>NA</v>
      </c>
      <c r="AT186" t="str">
        <f>VLOOKUP($B186,'[1]Plant data'!$A$1:$AB$315,28,0)</f>
        <v>Cazetta 2007, Erica &amp; Wesley, unpubl., Saibadela, Santana et al. 2013</v>
      </c>
    </row>
    <row r="187" spans="1:46">
      <c r="A187" s="5" t="s">
        <v>110</v>
      </c>
      <c r="B187" s="14" t="s">
        <v>97</v>
      </c>
      <c r="C187" t="s">
        <v>19</v>
      </c>
      <c r="D187" t="s">
        <v>19</v>
      </c>
      <c r="E187" s="8">
        <f>0.18/10</f>
        <v>1.7999999999999999E-2</v>
      </c>
      <c r="F187" t="s">
        <v>19</v>
      </c>
      <c r="G187">
        <v>30.09</v>
      </c>
      <c r="I187" s="8">
        <f t="shared" si="18"/>
        <v>0.54161999999999999</v>
      </c>
      <c r="J187" t="s">
        <v>143</v>
      </c>
      <c r="K187" t="s">
        <v>19</v>
      </c>
      <c r="L187" t="s">
        <v>100</v>
      </c>
      <c r="M187" t="s">
        <v>101</v>
      </c>
      <c r="N187" s="11">
        <v>1250</v>
      </c>
      <c r="O187" s="11">
        <v>19.114999999999998</v>
      </c>
      <c r="P187" t="s">
        <v>48</v>
      </c>
      <c r="Q187" t="s">
        <v>95</v>
      </c>
      <c r="R187" t="s">
        <v>114</v>
      </c>
      <c r="S187" t="s">
        <v>27</v>
      </c>
      <c r="T187" t="str">
        <f>VLOOKUP(B187,'[1]Plant data'!$A$1:$AB$315,2,0)</f>
        <v>Arecaceae</v>
      </c>
      <c r="U187" t="str">
        <f>VLOOKUP($B187,'[1]Plant data'!$A$1:$AB$315,3,0)</f>
        <v>NA</v>
      </c>
      <c r="V187" t="str">
        <f>VLOOKUP($B187,'[1]Plant data'!$A$1:$AB$315,4,0)</f>
        <v>black</v>
      </c>
      <c r="W187" t="str">
        <f>VLOOKUP($B187,'[1]Plant data'!$A$1:$AB$315,5,0)</f>
        <v>YES</v>
      </c>
      <c r="X187">
        <f>VLOOKUP($B187,'[1]Plant data'!$A$1:$AB$315,6,0)</f>
        <v>13.294285714285715</v>
      </c>
      <c r="Y187">
        <f>VLOOKUP($B187,'[1]Plant data'!$A$1:$AB$315,7,0)</f>
        <v>12.980000000000002</v>
      </c>
      <c r="Z187">
        <f>VLOOKUP($B187,'[1]Plant data'!$A$1:$AB$315,8,0)</f>
        <v>11.3575</v>
      </c>
      <c r="AA187">
        <f>VLOOKUP($B187,'[1]Plant data'!$A$1:$AB$315,9,0)</f>
        <v>11.62275</v>
      </c>
      <c r="AB187">
        <f>VLOOKUP($B187,'[1]Plant data'!$A$1:$AB$315,10,0)</f>
        <v>1.4212800000000001</v>
      </c>
      <c r="AC187">
        <f>VLOOKUP($B187,'[1]Plant data'!$A$1:$AB$315,11,0)</f>
        <v>0.46</v>
      </c>
      <c r="AD187">
        <f>VLOOKUP($B187,'[1]Plant data'!$A$1:$AB$315,12,0)</f>
        <v>1.06515</v>
      </c>
      <c r="AE187">
        <f>VLOOKUP($B187,'[1]Plant data'!$A$1:$AB$315,13,0)</f>
        <v>0.32305000000000006</v>
      </c>
      <c r="AF187">
        <f>VLOOKUP($B187,'[1]Plant data'!$A$1:$AB$315,14,0)</f>
        <v>0.96343333333333325</v>
      </c>
      <c r="AG187">
        <f>VLOOKUP($B187,'[1]Plant data'!$A$1:$AB$315,15,0)</f>
        <v>1</v>
      </c>
      <c r="AH187" t="str">
        <f>VLOOKUP($B187,'[1]Plant data'!$A$1:$AB$315,16,0)</f>
        <v>NA</v>
      </c>
      <c r="AI187">
        <f>VLOOKUP($B187,'[1]Plant data'!$A$1:$AB$315,17,0)</f>
        <v>0.36819721900926922</v>
      </c>
      <c r="AJ187" t="str">
        <f>VLOOKUP($B187,'[1]Plant data'!$A$1:$AB$315,18,0)</f>
        <v>Castro &amp; Galetti 2004, Cazetta 2007, Erica&amp;Wesley, Intervales_morfo, Mikich 2002, Santana et al. 2013, Alves 2008</v>
      </c>
      <c r="AK187">
        <f>VLOOKUP($B187,'[1]Plant data'!$A$1:$AB$315,19,0)</f>
        <v>0.67774999999999996</v>
      </c>
      <c r="AL187">
        <f>VLOOKUP($B187,'[1]Plant data'!$A$1:$AB$315,20,0)</f>
        <v>0.13617499999999999</v>
      </c>
      <c r="AM187">
        <f>VLOOKUP($B187,'[1]Plant data'!$A$1:$AB$315,21,0)</f>
        <v>5.0733332999999999E-2</v>
      </c>
      <c r="AN187">
        <f>VLOOKUP($B187,'[1]Plant data'!$A$1:$AB$315,22,0)</f>
        <v>3.65E-3</v>
      </c>
      <c r="AO187">
        <f>VLOOKUP($B187,'[1]Plant data'!$A$1:$AB$315,23,0)</f>
        <v>0.182</v>
      </c>
      <c r="AP187" t="str">
        <f>VLOOKUP($B187,'[1]Plant data'!$A$1:$AB$315,24,0)</f>
        <v>NA</v>
      </c>
      <c r="AQ187">
        <f>VLOOKUP($B187,'[1]Plant data'!$A$1:$AB$315,25,0)</f>
        <v>0.69899999999999995</v>
      </c>
      <c r="AR187">
        <f>VLOOKUP($B187,'[1]Plant data'!$A$1:$AB$315,26,0)</f>
        <v>2.7E-2</v>
      </c>
      <c r="AS187" t="str">
        <f>VLOOKUP($B187,'[1]Plant data'!$A$1:$AB$315,27,0)</f>
        <v>NA</v>
      </c>
      <c r="AT187" t="str">
        <f>VLOOKUP($B187,'[1]Plant data'!$A$1:$AB$315,28,0)</f>
        <v>Cazetta 2007, Erica &amp; Wesley, unpubl., Saibadela, Santana et al. 2013</v>
      </c>
    </row>
    <row r="188" spans="1:46">
      <c r="A188" s="5" t="s">
        <v>144</v>
      </c>
      <c r="B188" s="15" t="s">
        <v>97</v>
      </c>
      <c r="C188" t="s">
        <v>19</v>
      </c>
      <c r="D188" t="s">
        <v>19</v>
      </c>
      <c r="E188" s="8">
        <f>0.45/10</f>
        <v>4.4999999999999998E-2</v>
      </c>
      <c r="F188" s="27" t="s">
        <v>19</v>
      </c>
      <c r="G188" s="9">
        <v>3.6</v>
      </c>
      <c r="H188" s="9"/>
      <c r="I188" s="8">
        <f t="shared" si="18"/>
        <v>0.16200000000000001</v>
      </c>
      <c r="J188" t="s">
        <v>143</v>
      </c>
      <c r="K188" t="s">
        <v>19</v>
      </c>
      <c r="L188" t="s">
        <v>93</v>
      </c>
      <c r="M188" t="s">
        <v>94</v>
      </c>
      <c r="N188" s="11">
        <v>146</v>
      </c>
      <c r="O188" s="11">
        <v>23.6</v>
      </c>
      <c r="P188" t="s">
        <v>48</v>
      </c>
      <c r="Q188" t="s">
        <v>25</v>
      </c>
      <c r="R188" t="s">
        <v>145</v>
      </c>
      <c r="S188" t="s">
        <v>27</v>
      </c>
      <c r="T188" t="str">
        <f>VLOOKUP(B188,'[1]Plant data'!$A$1:$AB$315,2,0)</f>
        <v>Arecaceae</v>
      </c>
      <c r="U188" t="str">
        <f>VLOOKUP($B188,'[1]Plant data'!$A$1:$AB$315,3,0)</f>
        <v>NA</v>
      </c>
      <c r="V188" t="str">
        <f>VLOOKUP($B188,'[1]Plant data'!$A$1:$AB$315,4,0)</f>
        <v>black</v>
      </c>
      <c r="W188" t="str">
        <f>VLOOKUP($B188,'[1]Plant data'!$A$1:$AB$315,5,0)</f>
        <v>YES</v>
      </c>
      <c r="X188">
        <f>VLOOKUP($B188,'[1]Plant data'!$A$1:$AB$315,6,0)</f>
        <v>13.294285714285715</v>
      </c>
      <c r="Y188">
        <f>VLOOKUP($B188,'[1]Plant data'!$A$1:$AB$315,7,0)</f>
        <v>12.980000000000002</v>
      </c>
      <c r="Z188">
        <f>VLOOKUP($B188,'[1]Plant data'!$A$1:$AB$315,8,0)</f>
        <v>11.3575</v>
      </c>
      <c r="AA188">
        <f>VLOOKUP($B188,'[1]Plant data'!$A$1:$AB$315,9,0)</f>
        <v>11.62275</v>
      </c>
      <c r="AB188">
        <f>VLOOKUP($B188,'[1]Plant data'!$A$1:$AB$315,10,0)</f>
        <v>1.4212800000000001</v>
      </c>
      <c r="AC188">
        <f>VLOOKUP($B188,'[1]Plant data'!$A$1:$AB$315,11,0)</f>
        <v>0.46</v>
      </c>
      <c r="AD188">
        <f>VLOOKUP($B188,'[1]Plant data'!$A$1:$AB$315,12,0)</f>
        <v>1.06515</v>
      </c>
      <c r="AE188">
        <f>VLOOKUP($B188,'[1]Plant data'!$A$1:$AB$315,13,0)</f>
        <v>0.32305000000000006</v>
      </c>
      <c r="AF188">
        <f>VLOOKUP($B188,'[1]Plant data'!$A$1:$AB$315,14,0)</f>
        <v>0.96343333333333325</v>
      </c>
      <c r="AG188">
        <f>VLOOKUP($B188,'[1]Plant data'!$A$1:$AB$315,15,0)</f>
        <v>1</v>
      </c>
      <c r="AH188" t="str">
        <f>VLOOKUP($B188,'[1]Plant data'!$A$1:$AB$315,16,0)</f>
        <v>NA</v>
      </c>
      <c r="AI188">
        <f>VLOOKUP($B188,'[1]Plant data'!$A$1:$AB$315,17,0)</f>
        <v>0.36819721900926922</v>
      </c>
      <c r="AJ188" t="str">
        <f>VLOOKUP($B188,'[1]Plant data'!$A$1:$AB$315,18,0)</f>
        <v>Castro &amp; Galetti 2004, Cazetta 2007, Erica&amp;Wesley, Intervales_morfo, Mikich 2002, Santana et al. 2013, Alves 2008</v>
      </c>
      <c r="AK188">
        <f>VLOOKUP($B188,'[1]Plant data'!$A$1:$AB$315,19,0)</f>
        <v>0.67774999999999996</v>
      </c>
      <c r="AL188">
        <f>VLOOKUP($B188,'[1]Plant data'!$A$1:$AB$315,20,0)</f>
        <v>0.13617499999999999</v>
      </c>
      <c r="AM188">
        <f>VLOOKUP($B188,'[1]Plant data'!$A$1:$AB$315,21,0)</f>
        <v>5.0733332999999999E-2</v>
      </c>
      <c r="AN188">
        <f>VLOOKUP($B188,'[1]Plant data'!$A$1:$AB$315,22,0)</f>
        <v>3.65E-3</v>
      </c>
      <c r="AO188">
        <f>VLOOKUP($B188,'[1]Plant data'!$A$1:$AB$315,23,0)</f>
        <v>0.182</v>
      </c>
      <c r="AP188" t="str">
        <f>VLOOKUP($B188,'[1]Plant data'!$A$1:$AB$315,24,0)</f>
        <v>NA</v>
      </c>
      <c r="AQ188">
        <f>VLOOKUP($B188,'[1]Plant data'!$A$1:$AB$315,25,0)</f>
        <v>0.69899999999999995</v>
      </c>
      <c r="AR188">
        <f>VLOOKUP($B188,'[1]Plant data'!$A$1:$AB$315,26,0)</f>
        <v>2.7E-2</v>
      </c>
      <c r="AS188" t="str">
        <f>VLOOKUP($B188,'[1]Plant data'!$A$1:$AB$315,27,0)</f>
        <v>NA</v>
      </c>
      <c r="AT188" t="str">
        <f>VLOOKUP($B188,'[1]Plant data'!$A$1:$AB$315,28,0)</f>
        <v>Cazetta 2007, Erica &amp; Wesley, unpubl., Saibadela, Santana et al. 2013</v>
      </c>
    </row>
    <row r="189" spans="1:46">
      <c r="A189" s="5" t="s">
        <v>96</v>
      </c>
      <c r="B189" s="15" t="s">
        <v>97</v>
      </c>
      <c r="C189" s="7" t="s">
        <v>19</v>
      </c>
      <c r="D189" s="7" t="s">
        <v>19</v>
      </c>
      <c r="E189" s="8">
        <f>0.12/10</f>
        <v>1.2E-2</v>
      </c>
      <c r="F189" s="8" t="s">
        <v>19</v>
      </c>
      <c r="G189" s="9">
        <v>8.91</v>
      </c>
      <c r="H189" s="9"/>
      <c r="I189" s="8">
        <f t="shared" si="18"/>
        <v>0.10692</v>
      </c>
      <c r="J189" t="s">
        <v>143</v>
      </c>
      <c r="K189" t="s">
        <v>19</v>
      </c>
      <c r="L189" t="s">
        <v>100</v>
      </c>
      <c r="M189" t="s">
        <v>101</v>
      </c>
      <c r="N189" s="11">
        <v>1770</v>
      </c>
      <c r="O189" s="11">
        <v>22.349</v>
      </c>
      <c r="P189" t="s">
        <v>48</v>
      </c>
      <c r="Q189" t="s">
        <v>25</v>
      </c>
      <c r="R189" t="s">
        <v>26</v>
      </c>
      <c r="S189" t="s">
        <v>27</v>
      </c>
      <c r="T189" t="str">
        <f>VLOOKUP(B189,'[1]Plant data'!$A$1:$AB$315,2,0)</f>
        <v>Arecaceae</v>
      </c>
      <c r="U189" t="str">
        <f>VLOOKUP($B189,'[1]Plant data'!$A$1:$AB$315,3,0)</f>
        <v>NA</v>
      </c>
      <c r="V189" t="str">
        <f>VLOOKUP($B189,'[1]Plant data'!$A$1:$AB$315,4,0)</f>
        <v>black</v>
      </c>
      <c r="W189" t="str">
        <f>VLOOKUP($B189,'[1]Plant data'!$A$1:$AB$315,5,0)</f>
        <v>YES</v>
      </c>
      <c r="X189">
        <f>VLOOKUP($B189,'[1]Plant data'!$A$1:$AB$315,6,0)</f>
        <v>13.294285714285715</v>
      </c>
      <c r="Y189">
        <f>VLOOKUP($B189,'[1]Plant data'!$A$1:$AB$315,7,0)</f>
        <v>12.980000000000002</v>
      </c>
      <c r="Z189">
        <f>VLOOKUP($B189,'[1]Plant data'!$A$1:$AB$315,8,0)</f>
        <v>11.3575</v>
      </c>
      <c r="AA189">
        <f>VLOOKUP($B189,'[1]Plant data'!$A$1:$AB$315,9,0)</f>
        <v>11.62275</v>
      </c>
      <c r="AB189">
        <f>VLOOKUP($B189,'[1]Plant data'!$A$1:$AB$315,10,0)</f>
        <v>1.4212800000000001</v>
      </c>
      <c r="AC189">
        <f>VLOOKUP($B189,'[1]Plant data'!$A$1:$AB$315,11,0)</f>
        <v>0.46</v>
      </c>
      <c r="AD189">
        <f>VLOOKUP($B189,'[1]Plant data'!$A$1:$AB$315,12,0)</f>
        <v>1.06515</v>
      </c>
      <c r="AE189">
        <f>VLOOKUP($B189,'[1]Plant data'!$A$1:$AB$315,13,0)</f>
        <v>0.32305000000000006</v>
      </c>
      <c r="AF189">
        <f>VLOOKUP($B189,'[1]Plant data'!$A$1:$AB$315,14,0)</f>
        <v>0.96343333333333325</v>
      </c>
      <c r="AG189">
        <f>VLOOKUP($B189,'[1]Plant data'!$A$1:$AB$315,15,0)</f>
        <v>1</v>
      </c>
      <c r="AH189" t="str">
        <f>VLOOKUP($B189,'[1]Plant data'!$A$1:$AB$315,16,0)</f>
        <v>NA</v>
      </c>
      <c r="AI189">
        <f>VLOOKUP($B189,'[1]Plant data'!$A$1:$AB$315,17,0)</f>
        <v>0.36819721900926922</v>
      </c>
      <c r="AJ189" t="str">
        <f>VLOOKUP($B189,'[1]Plant data'!$A$1:$AB$315,18,0)</f>
        <v>Castro &amp; Galetti 2004, Cazetta 2007, Erica&amp;Wesley, Intervales_morfo, Mikich 2002, Santana et al. 2013, Alves 2008</v>
      </c>
      <c r="AK189">
        <f>VLOOKUP($B189,'[1]Plant data'!$A$1:$AB$315,19,0)</f>
        <v>0.67774999999999996</v>
      </c>
      <c r="AL189">
        <f>VLOOKUP($B189,'[1]Plant data'!$A$1:$AB$315,20,0)</f>
        <v>0.13617499999999999</v>
      </c>
      <c r="AM189">
        <f>VLOOKUP($B189,'[1]Plant data'!$A$1:$AB$315,21,0)</f>
        <v>5.0733332999999999E-2</v>
      </c>
      <c r="AN189">
        <f>VLOOKUP($B189,'[1]Plant data'!$A$1:$AB$315,22,0)</f>
        <v>3.65E-3</v>
      </c>
      <c r="AO189">
        <f>VLOOKUP($B189,'[1]Plant data'!$A$1:$AB$315,23,0)</f>
        <v>0.182</v>
      </c>
      <c r="AP189" t="str">
        <f>VLOOKUP($B189,'[1]Plant data'!$A$1:$AB$315,24,0)</f>
        <v>NA</v>
      </c>
      <c r="AQ189">
        <f>VLOOKUP($B189,'[1]Plant data'!$A$1:$AB$315,25,0)</f>
        <v>0.69899999999999995</v>
      </c>
      <c r="AR189">
        <f>VLOOKUP($B189,'[1]Plant data'!$A$1:$AB$315,26,0)</f>
        <v>2.7E-2</v>
      </c>
      <c r="AS189" t="str">
        <f>VLOOKUP($B189,'[1]Plant data'!$A$1:$AB$315,27,0)</f>
        <v>NA</v>
      </c>
      <c r="AT189" t="str">
        <f>VLOOKUP($B189,'[1]Plant data'!$A$1:$AB$315,28,0)</f>
        <v>Cazetta 2007, Erica &amp; Wesley, unpubl., Saibadela, Santana et al. 2013</v>
      </c>
    </row>
    <row r="190" spans="1:46">
      <c r="A190" s="5" t="s">
        <v>74</v>
      </c>
      <c r="B190" s="14" t="s">
        <v>97</v>
      </c>
      <c r="C190" t="s">
        <v>19</v>
      </c>
      <c r="D190" t="s">
        <v>19</v>
      </c>
      <c r="E190" s="8">
        <f>0.42/10</f>
        <v>4.1999999999999996E-2</v>
      </c>
      <c r="F190" s="27" t="s">
        <v>19</v>
      </c>
      <c r="G190" s="9">
        <v>5.54</v>
      </c>
      <c r="H190" s="9"/>
      <c r="I190" s="8">
        <f t="shared" si="18"/>
        <v>0.23267999999999997</v>
      </c>
      <c r="J190" s="10" t="s">
        <v>143</v>
      </c>
      <c r="K190" t="s">
        <v>19</v>
      </c>
      <c r="L190" t="s">
        <v>22</v>
      </c>
      <c r="M190" t="s">
        <v>75</v>
      </c>
      <c r="N190" s="11">
        <v>200</v>
      </c>
      <c r="O190" s="11">
        <v>23.614285710000001</v>
      </c>
      <c r="P190" t="s">
        <v>48</v>
      </c>
      <c r="Q190" t="s">
        <v>25</v>
      </c>
      <c r="R190" t="s">
        <v>76</v>
      </c>
      <c r="S190" t="s">
        <v>27</v>
      </c>
      <c r="T190" t="str">
        <f>VLOOKUP(B190,'[1]Plant data'!$A$1:$AB$315,2,0)</f>
        <v>Arecaceae</v>
      </c>
      <c r="U190" t="str">
        <f>VLOOKUP($B190,'[1]Plant data'!$A$1:$AB$315,3,0)</f>
        <v>NA</v>
      </c>
      <c r="V190" t="str">
        <f>VLOOKUP($B190,'[1]Plant data'!$A$1:$AB$315,4,0)</f>
        <v>black</v>
      </c>
      <c r="W190" t="str">
        <f>VLOOKUP($B190,'[1]Plant data'!$A$1:$AB$315,5,0)</f>
        <v>YES</v>
      </c>
      <c r="X190">
        <f>VLOOKUP($B190,'[1]Plant data'!$A$1:$AB$315,6,0)</f>
        <v>13.294285714285715</v>
      </c>
      <c r="Y190">
        <f>VLOOKUP($B190,'[1]Plant data'!$A$1:$AB$315,7,0)</f>
        <v>12.980000000000002</v>
      </c>
      <c r="Z190">
        <f>VLOOKUP($B190,'[1]Plant data'!$A$1:$AB$315,8,0)</f>
        <v>11.3575</v>
      </c>
      <c r="AA190">
        <f>VLOOKUP($B190,'[1]Plant data'!$A$1:$AB$315,9,0)</f>
        <v>11.62275</v>
      </c>
      <c r="AB190">
        <f>VLOOKUP($B190,'[1]Plant data'!$A$1:$AB$315,10,0)</f>
        <v>1.4212800000000001</v>
      </c>
      <c r="AC190">
        <f>VLOOKUP($B190,'[1]Plant data'!$A$1:$AB$315,11,0)</f>
        <v>0.46</v>
      </c>
      <c r="AD190">
        <f>VLOOKUP($B190,'[1]Plant data'!$A$1:$AB$315,12,0)</f>
        <v>1.06515</v>
      </c>
      <c r="AE190">
        <f>VLOOKUP($B190,'[1]Plant data'!$A$1:$AB$315,13,0)</f>
        <v>0.32305000000000006</v>
      </c>
      <c r="AF190">
        <f>VLOOKUP($B190,'[1]Plant data'!$A$1:$AB$315,14,0)</f>
        <v>0.96343333333333325</v>
      </c>
      <c r="AG190">
        <f>VLOOKUP($B190,'[1]Plant data'!$A$1:$AB$315,15,0)</f>
        <v>1</v>
      </c>
      <c r="AH190" t="str">
        <f>VLOOKUP($B190,'[1]Plant data'!$A$1:$AB$315,16,0)</f>
        <v>NA</v>
      </c>
      <c r="AI190">
        <f>VLOOKUP($B190,'[1]Plant data'!$A$1:$AB$315,17,0)</f>
        <v>0.36819721900926922</v>
      </c>
      <c r="AJ190" t="str">
        <f>VLOOKUP($B190,'[1]Plant data'!$A$1:$AB$315,18,0)</f>
        <v>Castro &amp; Galetti 2004, Cazetta 2007, Erica&amp;Wesley, Intervales_morfo, Mikich 2002, Santana et al. 2013, Alves 2008</v>
      </c>
      <c r="AK190">
        <f>VLOOKUP($B190,'[1]Plant data'!$A$1:$AB$315,19,0)</f>
        <v>0.67774999999999996</v>
      </c>
      <c r="AL190">
        <f>VLOOKUP($B190,'[1]Plant data'!$A$1:$AB$315,20,0)</f>
        <v>0.13617499999999999</v>
      </c>
      <c r="AM190">
        <f>VLOOKUP($B190,'[1]Plant data'!$A$1:$AB$315,21,0)</f>
        <v>5.0733332999999999E-2</v>
      </c>
      <c r="AN190">
        <f>VLOOKUP($B190,'[1]Plant data'!$A$1:$AB$315,22,0)</f>
        <v>3.65E-3</v>
      </c>
      <c r="AO190">
        <f>VLOOKUP($B190,'[1]Plant data'!$A$1:$AB$315,23,0)</f>
        <v>0.182</v>
      </c>
      <c r="AP190" t="str">
        <f>VLOOKUP($B190,'[1]Plant data'!$A$1:$AB$315,24,0)</f>
        <v>NA</v>
      </c>
      <c r="AQ190">
        <f>VLOOKUP($B190,'[1]Plant data'!$A$1:$AB$315,25,0)</f>
        <v>0.69899999999999995</v>
      </c>
      <c r="AR190">
        <f>VLOOKUP($B190,'[1]Plant data'!$A$1:$AB$315,26,0)</f>
        <v>2.7E-2</v>
      </c>
      <c r="AS190" t="str">
        <f>VLOOKUP($B190,'[1]Plant data'!$A$1:$AB$315,27,0)</f>
        <v>NA</v>
      </c>
      <c r="AT190" t="str">
        <f>VLOOKUP($B190,'[1]Plant data'!$A$1:$AB$315,28,0)</f>
        <v>Cazetta 2007, Erica &amp; Wesley, unpubl., Saibadela, Santana et al. 2013</v>
      </c>
    </row>
    <row r="191" spans="1:46">
      <c r="A191" s="5" t="s">
        <v>90</v>
      </c>
      <c r="B191" s="6" t="s">
        <v>97</v>
      </c>
      <c r="C191" t="s">
        <v>19</v>
      </c>
      <c r="D191" t="s">
        <v>19</v>
      </c>
      <c r="E191" s="8">
        <f>0.14/10</f>
        <v>1.4000000000000002E-2</v>
      </c>
      <c r="F191" t="s">
        <v>19</v>
      </c>
      <c r="G191" s="9">
        <v>4.4400000000000004</v>
      </c>
      <c r="H191" s="9"/>
      <c r="I191" s="8">
        <f t="shared" si="18"/>
        <v>6.2160000000000014E-2</v>
      </c>
      <c r="J191" t="s">
        <v>143</v>
      </c>
      <c r="K191" t="s">
        <v>19</v>
      </c>
      <c r="L191" t="s">
        <v>93</v>
      </c>
      <c r="M191" t="s">
        <v>94</v>
      </c>
      <c r="N191" s="11">
        <v>331</v>
      </c>
      <c r="O191" s="11">
        <v>30.7</v>
      </c>
      <c r="P191" t="s">
        <v>48</v>
      </c>
      <c r="Q191" t="s">
        <v>95</v>
      </c>
      <c r="R191" t="s">
        <v>26</v>
      </c>
      <c r="S191" t="s">
        <v>27</v>
      </c>
      <c r="T191" t="str">
        <f>VLOOKUP(B191,'[1]Plant data'!$A$1:$AB$315,2,0)</f>
        <v>Arecaceae</v>
      </c>
      <c r="U191" t="str">
        <f>VLOOKUP($B191,'[1]Plant data'!$A$1:$AB$315,3,0)</f>
        <v>NA</v>
      </c>
      <c r="V191" t="str">
        <f>VLOOKUP($B191,'[1]Plant data'!$A$1:$AB$315,4,0)</f>
        <v>black</v>
      </c>
      <c r="W191" t="str">
        <f>VLOOKUP($B191,'[1]Plant data'!$A$1:$AB$315,5,0)</f>
        <v>YES</v>
      </c>
      <c r="X191">
        <f>VLOOKUP($B191,'[1]Plant data'!$A$1:$AB$315,6,0)</f>
        <v>13.294285714285715</v>
      </c>
      <c r="Y191">
        <f>VLOOKUP($B191,'[1]Plant data'!$A$1:$AB$315,7,0)</f>
        <v>12.980000000000002</v>
      </c>
      <c r="Z191">
        <f>VLOOKUP($B191,'[1]Plant data'!$A$1:$AB$315,8,0)</f>
        <v>11.3575</v>
      </c>
      <c r="AA191">
        <f>VLOOKUP($B191,'[1]Plant data'!$A$1:$AB$315,9,0)</f>
        <v>11.62275</v>
      </c>
      <c r="AB191">
        <f>VLOOKUP($B191,'[1]Plant data'!$A$1:$AB$315,10,0)</f>
        <v>1.4212800000000001</v>
      </c>
      <c r="AC191">
        <f>VLOOKUP($B191,'[1]Plant data'!$A$1:$AB$315,11,0)</f>
        <v>0.46</v>
      </c>
      <c r="AD191">
        <f>VLOOKUP($B191,'[1]Plant data'!$A$1:$AB$315,12,0)</f>
        <v>1.06515</v>
      </c>
      <c r="AE191">
        <f>VLOOKUP($B191,'[1]Plant data'!$A$1:$AB$315,13,0)</f>
        <v>0.32305000000000006</v>
      </c>
      <c r="AF191">
        <f>VLOOKUP($B191,'[1]Plant data'!$A$1:$AB$315,14,0)</f>
        <v>0.96343333333333325</v>
      </c>
      <c r="AG191">
        <f>VLOOKUP($B191,'[1]Plant data'!$A$1:$AB$315,15,0)</f>
        <v>1</v>
      </c>
      <c r="AH191" t="str">
        <f>VLOOKUP($B191,'[1]Plant data'!$A$1:$AB$315,16,0)</f>
        <v>NA</v>
      </c>
      <c r="AI191">
        <f>VLOOKUP($B191,'[1]Plant data'!$A$1:$AB$315,17,0)</f>
        <v>0.36819721900926922</v>
      </c>
      <c r="AJ191" t="str">
        <f>VLOOKUP($B191,'[1]Plant data'!$A$1:$AB$315,18,0)</f>
        <v>Castro &amp; Galetti 2004, Cazetta 2007, Erica&amp;Wesley, Intervales_morfo, Mikich 2002, Santana et al. 2013, Alves 2008</v>
      </c>
      <c r="AK191">
        <f>VLOOKUP($B191,'[1]Plant data'!$A$1:$AB$315,19,0)</f>
        <v>0.67774999999999996</v>
      </c>
      <c r="AL191">
        <f>VLOOKUP($B191,'[1]Plant data'!$A$1:$AB$315,20,0)</f>
        <v>0.13617499999999999</v>
      </c>
      <c r="AM191">
        <f>VLOOKUP($B191,'[1]Plant data'!$A$1:$AB$315,21,0)</f>
        <v>5.0733332999999999E-2</v>
      </c>
      <c r="AN191">
        <f>VLOOKUP($B191,'[1]Plant data'!$A$1:$AB$315,22,0)</f>
        <v>3.65E-3</v>
      </c>
      <c r="AO191">
        <f>VLOOKUP($B191,'[1]Plant data'!$A$1:$AB$315,23,0)</f>
        <v>0.182</v>
      </c>
      <c r="AP191" t="str">
        <f>VLOOKUP($B191,'[1]Plant data'!$A$1:$AB$315,24,0)</f>
        <v>NA</v>
      </c>
      <c r="AQ191">
        <f>VLOOKUP($B191,'[1]Plant data'!$A$1:$AB$315,25,0)</f>
        <v>0.69899999999999995</v>
      </c>
      <c r="AR191">
        <f>VLOOKUP($B191,'[1]Plant data'!$A$1:$AB$315,26,0)</f>
        <v>2.7E-2</v>
      </c>
      <c r="AS191" t="str">
        <f>VLOOKUP($B191,'[1]Plant data'!$A$1:$AB$315,27,0)</f>
        <v>NA</v>
      </c>
      <c r="AT191" t="str">
        <f>VLOOKUP($B191,'[1]Plant data'!$A$1:$AB$315,28,0)</f>
        <v>Cazetta 2007, Erica &amp; Wesley, unpubl., Saibadela, Santana et al. 2013</v>
      </c>
    </row>
    <row r="192" spans="1:46">
      <c r="A192" s="5" t="s">
        <v>104</v>
      </c>
      <c r="B192" s="14" t="s">
        <v>97</v>
      </c>
      <c r="C192" s="25" t="s">
        <v>19</v>
      </c>
      <c r="D192" s="25" t="s">
        <v>19</v>
      </c>
      <c r="E192" s="8">
        <f>0.34/10</f>
        <v>3.4000000000000002E-2</v>
      </c>
      <c r="F192" s="25" t="s">
        <v>19</v>
      </c>
      <c r="G192" s="27">
        <v>6.95</v>
      </c>
      <c r="H192" s="27"/>
      <c r="I192" s="8">
        <f t="shared" si="18"/>
        <v>0.23630000000000001</v>
      </c>
      <c r="J192" t="s">
        <v>143</v>
      </c>
      <c r="K192" t="s">
        <v>19</v>
      </c>
      <c r="L192" t="s">
        <v>93</v>
      </c>
      <c r="M192" t="s">
        <v>94</v>
      </c>
      <c r="N192" s="11">
        <v>343.5</v>
      </c>
      <c r="O192" s="11">
        <v>30.107272729999998</v>
      </c>
      <c r="P192" t="s">
        <v>48</v>
      </c>
      <c r="Q192" t="s">
        <v>25</v>
      </c>
      <c r="R192" t="s">
        <v>76</v>
      </c>
      <c r="S192" t="s">
        <v>27</v>
      </c>
      <c r="T192" t="str">
        <f>VLOOKUP(B192,'[1]Plant data'!$A$1:$AB$315,2,0)</f>
        <v>Arecaceae</v>
      </c>
      <c r="U192" t="str">
        <f>VLOOKUP($B192,'[1]Plant data'!$A$1:$AB$315,3,0)</f>
        <v>NA</v>
      </c>
      <c r="V192" t="str">
        <f>VLOOKUP($B192,'[1]Plant data'!$A$1:$AB$315,4,0)</f>
        <v>black</v>
      </c>
      <c r="W192" t="str">
        <f>VLOOKUP($B192,'[1]Plant data'!$A$1:$AB$315,5,0)</f>
        <v>YES</v>
      </c>
      <c r="X192">
        <f>VLOOKUP($B192,'[1]Plant data'!$A$1:$AB$315,6,0)</f>
        <v>13.294285714285715</v>
      </c>
      <c r="Y192">
        <f>VLOOKUP($B192,'[1]Plant data'!$A$1:$AB$315,7,0)</f>
        <v>12.980000000000002</v>
      </c>
      <c r="Z192">
        <f>VLOOKUP($B192,'[1]Plant data'!$A$1:$AB$315,8,0)</f>
        <v>11.3575</v>
      </c>
      <c r="AA192">
        <f>VLOOKUP($B192,'[1]Plant data'!$A$1:$AB$315,9,0)</f>
        <v>11.62275</v>
      </c>
      <c r="AB192">
        <f>VLOOKUP($B192,'[1]Plant data'!$A$1:$AB$315,10,0)</f>
        <v>1.4212800000000001</v>
      </c>
      <c r="AC192">
        <f>VLOOKUP($B192,'[1]Plant data'!$A$1:$AB$315,11,0)</f>
        <v>0.46</v>
      </c>
      <c r="AD192">
        <f>VLOOKUP($B192,'[1]Plant data'!$A$1:$AB$315,12,0)</f>
        <v>1.06515</v>
      </c>
      <c r="AE192">
        <f>VLOOKUP($B192,'[1]Plant data'!$A$1:$AB$315,13,0)</f>
        <v>0.32305000000000006</v>
      </c>
      <c r="AF192">
        <f>VLOOKUP($B192,'[1]Plant data'!$A$1:$AB$315,14,0)</f>
        <v>0.96343333333333325</v>
      </c>
      <c r="AG192">
        <f>VLOOKUP($B192,'[1]Plant data'!$A$1:$AB$315,15,0)</f>
        <v>1</v>
      </c>
      <c r="AH192" t="str">
        <f>VLOOKUP($B192,'[1]Plant data'!$A$1:$AB$315,16,0)</f>
        <v>NA</v>
      </c>
      <c r="AI192">
        <f>VLOOKUP($B192,'[1]Plant data'!$A$1:$AB$315,17,0)</f>
        <v>0.36819721900926922</v>
      </c>
      <c r="AJ192" t="str">
        <f>VLOOKUP($B192,'[1]Plant data'!$A$1:$AB$315,18,0)</f>
        <v>Castro &amp; Galetti 2004, Cazetta 2007, Erica&amp;Wesley, Intervales_morfo, Mikich 2002, Santana et al. 2013, Alves 2008</v>
      </c>
      <c r="AK192">
        <f>VLOOKUP($B192,'[1]Plant data'!$A$1:$AB$315,19,0)</f>
        <v>0.67774999999999996</v>
      </c>
      <c r="AL192">
        <f>VLOOKUP($B192,'[1]Plant data'!$A$1:$AB$315,20,0)</f>
        <v>0.13617499999999999</v>
      </c>
      <c r="AM192">
        <f>VLOOKUP($B192,'[1]Plant data'!$A$1:$AB$315,21,0)</f>
        <v>5.0733332999999999E-2</v>
      </c>
      <c r="AN192">
        <f>VLOOKUP($B192,'[1]Plant data'!$A$1:$AB$315,22,0)</f>
        <v>3.65E-3</v>
      </c>
      <c r="AO192">
        <f>VLOOKUP($B192,'[1]Plant data'!$A$1:$AB$315,23,0)</f>
        <v>0.182</v>
      </c>
      <c r="AP192" t="str">
        <f>VLOOKUP($B192,'[1]Plant data'!$A$1:$AB$315,24,0)</f>
        <v>NA</v>
      </c>
      <c r="AQ192">
        <f>VLOOKUP($B192,'[1]Plant data'!$A$1:$AB$315,25,0)</f>
        <v>0.69899999999999995</v>
      </c>
      <c r="AR192">
        <f>VLOOKUP($B192,'[1]Plant data'!$A$1:$AB$315,26,0)</f>
        <v>2.7E-2</v>
      </c>
      <c r="AS192" t="str">
        <f>VLOOKUP($B192,'[1]Plant data'!$A$1:$AB$315,27,0)</f>
        <v>NA</v>
      </c>
      <c r="AT192" t="str">
        <f>VLOOKUP($B192,'[1]Plant data'!$A$1:$AB$315,28,0)</f>
        <v>Cazetta 2007, Erica &amp; Wesley, unpubl., Saibadela, Santana et al. 2013</v>
      </c>
    </row>
    <row r="193" spans="1:46">
      <c r="A193" s="5" t="s">
        <v>105</v>
      </c>
      <c r="B193" s="14" t="s">
        <v>97</v>
      </c>
      <c r="C193" t="s">
        <v>19</v>
      </c>
      <c r="D193" s="25" t="s">
        <v>19</v>
      </c>
      <c r="E193" s="8">
        <f>0.51/10</f>
        <v>5.1000000000000004E-2</v>
      </c>
      <c r="F193" s="27" t="s">
        <v>19</v>
      </c>
      <c r="G193" s="9">
        <v>6.28</v>
      </c>
      <c r="H193" s="9"/>
      <c r="I193" s="8">
        <f t="shared" si="18"/>
        <v>0.32028000000000001</v>
      </c>
      <c r="J193" s="10" t="s">
        <v>143</v>
      </c>
      <c r="K193" t="s">
        <v>19</v>
      </c>
      <c r="L193" t="s">
        <v>93</v>
      </c>
      <c r="M193" t="s">
        <v>94</v>
      </c>
      <c r="N193" s="11">
        <v>164</v>
      </c>
      <c r="O193" s="11">
        <v>25.039000000000001</v>
      </c>
      <c r="P193" t="s">
        <v>48</v>
      </c>
      <c r="Q193" t="s">
        <v>25</v>
      </c>
      <c r="R193" t="s">
        <v>26</v>
      </c>
      <c r="S193" t="s">
        <v>27</v>
      </c>
      <c r="T193" t="str">
        <f>VLOOKUP(B193,'[1]Plant data'!$A$1:$AB$315,2,0)</f>
        <v>Arecaceae</v>
      </c>
      <c r="U193" t="str">
        <f>VLOOKUP($B193,'[1]Plant data'!$A$1:$AB$315,3,0)</f>
        <v>NA</v>
      </c>
      <c r="V193" t="str">
        <f>VLOOKUP($B193,'[1]Plant data'!$A$1:$AB$315,4,0)</f>
        <v>black</v>
      </c>
      <c r="W193" t="str">
        <f>VLOOKUP($B193,'[1]Plant data'!$A$1:$AB$315,5,0)</f>
        <v>YES</v>
      </c>
      <c r="X193">
        <f>VLOOKUP($B193,'[1]Plant data'!$A$1:$AB$315,6,0)</f>
        <v>13.294285714285715</v>
      </c>
      <c r="Y193">
        <f>VLOOKUP($B193,'[1]Plant data'!$A$1:$AB$315,7,0)</f>
        <v>12.980000000000002</v>
      </c>
      <c r="Z193">
        <f>VLOOKUP($B193,'[1]Plant data'!$A$1:$AB$315,8,0)</f>
        <v>11.3575</v>
      </c>
      <c r="AA193">
        <f>VLOOKUP($B193,'[1]Plant data'!$A$1:$AB$315,9,0)</f>
        <v>11.62275</v>
      </c>
      <c r="AB193">
        <f>VLOOKUP($B193,'[1]Plant data'!$A$1:$AB$315,10,0)</f>
        <v>1.4212800000000001</v>
      </c>
      <c r="AC193">
        <f>VLOOKUP($B193,'[1]Plant data'!$A$1:$AB$315,11,0)</f>
        <v>0.46</v>
      </c>
      <c r="AD193">
        <f>VLOOKUP($B193,'[1]Plant data'!$A$1:$AB$315,12,0)</f>
        <v>1.06515</v>
      </c>
      <c r="AE193">
        <f>VLOOKUP($B193,'[1]Plant data'!$A$1:$AB$315,13,0)</f>
        <v>0.32305000000000006</v>
      </c>
      <c r="AF193">
        <f>VLOOKUP($B193,'[1]Plant data'!$A$1:$AB$315,14,0)</f>
        <v>0.96343333333333325</v>
      </c>
      <c r="AG193">
        <f>VLOOKUP($B193,'[1]Plant data'!$A$1:$AB$315,15,0)</f>
        <v>1</v>
      </c>
      <c r="AH193" t="str">
        <f>VLOOKUP($B193,'[1]Plant data'!$A$1:$AB$315,16,0)</f>
        <v>NA</v>
      </c>
      <c r="AI193">
        <f>VLOOKUP($B193,'[1]Plant data'!$A$1:$AB$315,17,0)</f>
        <v>0.36819721900926922</v>
      </c>
      <c r="AJ193" t="str">
        <f>VLOOKUP($B193,'[1]Plant data'!$A$1:$AB$315,18,0)</f>
        <v>Castro &amp; Galetti 2004, Cazetta 2007, Erica&amp;Wesley, Intervales_morfo, Mikich 2002, Santana et al. 2013, Alves 2008</v>
      </c>
      <c r="AK193">
        <f>VLOOKUP($B193,'[1]Plant data'!$A$1:$AB$315,19,0)</f>
        <v>0.67774999999999996</v>
      </c>
      <c r="AL193">
        <f>VLOOKUP($B193,'[1]Plant data'!$A$1:$AB$315,20,0)</f>
        <v>0.13617499999999999</v>
      </c>
      <c r="AM193">
        <f>VLOOKUP($B193,'[1]Plant data'!$A$1:$AB$315,21,0)</f>
        <v>5.0733332999999999E-2</v>
      </c>
      <c r="AN193">
        <f>VLOOKUP($B193,'[1]Plant data'!$A$1:$AB$315,22,0)</f>
        <v>3.65E-3</v>
      </c>
      <c r="AO193">
        <f>VLOOKUP($B193,'[1]Plant data'!$A$1:$AB$315,23,0)</f>
        <v>0.182</v>
      </c>
      <c r="AP193" t="str">
        <f>VLOOKUP($B193,'[1]Plant data'!$A$1:$AB$315,24,0)</f>
        <v>NA</v>
      </c>
      <c r="AQ193">
        <f>VLOOKUP($B193,'[1]Plant data'!$A$1:$AB$315,25,0)</f>
        <v>0.69899999999999995</v>
      </c>
      <c r="AR193">
        <f>VLOOKUP($B193,'[1]Plant data'!$A$1:$AB$315,26,0)</f>
        <v>2.7E-2</v>
      </c>
      <c r="AS193" t="str">
        <f>VLOOKUP($B193,'[1]Plant data'!$A$1:$AB$315,27,0)</f>
        <v>NA</v>
      </c>
      <c r="AT193" t="str">
        <f>VLOOKUP($B193,'[1]Plant data'!$A$1:$AB$315,28,0)</f>
        <v>Cazetta 2007, Erica &amp; Wesley, unpubl., Saibadela, Santana et al. 2013</v>
      </c>
    </row>
    <row r="194" spans="1:46">
      <c r="A194" s="5" t="s">
        <v>62</v>
      </c>
      <c r="B194" s="6" t="s">
        <v>97</v>
      </c>
      <c r="C194" s="25" t="s">
        <v>19</v>
      </c>
      <c r="D194" s="25" t="s">
        <v>19</v>
      </c>
      <c r="E194" s="8">
        <v>1.6E-2</v>
      </c>
      <c r="F194" s="9" t="s">
        <v>19</v>
      </c>
      <c r="G194" s="9">
        <v>1.08</v>
      </c>
      <c r="H194" s="9"/>
      <c r="I194" s="8">
        <f t="shared" si="18"/>
        <v>1.728E-2</v>
      </c>
      <c r="J194" t="s">
        <v>143</v>
      </c>
      <c r="K194" s="25" t="s">
        <v>19</v>
      </c>
      <c r="L194" t="s">
        <v>22</v>
      </c>
      <c r="M194" t="s">
        <v>30</v>
      </c>
      <c r="N194" s="11">
        <v>18.7</v>
      </c>
      <c r="O194" s="11">
        <v>6.1185714290000002</v>
      </c>
      <c r="P194" t="s">
        <v>24</v>
      </c>
      <c r="Q194" t="s">
        <v>25</v>
      </c>
      <c r="R194" t="s">
        <v>26</v>
      </c>
      <c r="S194" t="s">
        <v>31</v>
      </c>
      <c r="T194" t="str">
        <f>VLOOKUP(B194,'[1]Plant data'!$A$1:$AB$315,2,0)</f>
        <v>Arecaceae</v>
      </c>
      <c r="U194" t="str">
        <f>VLOOKUP($B194,'[1]Plant data'!$A$1:$AB$315,3,0)</f>
        <v>NA</v>
      </c>
      <c r="V194" t="str">
        <f>VLOOKUP($B194,'[1]Plant data'!$A$1:$AB$315,4,0)</f>
        <v>black</v>
      </c>
      <c r="W194" t="str">
        <f>VLOOKUP($B194,'[1]Plant data'!$A$1:$AB$315,5,0)</f>
        <v>YES</v>
      </c>
      <c r="X194">
        <f>VLOOKUP($B194,'[1]Plant data'!$A$1:$AB$315,6,0)</f>
        <v>13.294285714285715</v>
      </c>
      <c r="Y194">
        <f>VLOOKUP($B194,'[1]Plant data'!$A$1:$AB$315,7,0)</f>
        <v>12.980000000000002</v>
      </c>
      <c r="Z194">
        <f>VLOOKUP($B194,'[1]Plant data'!$A$1:$AB$315,8,0)</f>
        <v>11.3575</v>
      </c>
      <c r="AA194">
        <f>VLOOKUP($B194,'[1]Plant data'!$A$1:$AB$315,9,0)</f>
        <v>11.62275</v>
      </c>
      <c r="AB194">
        <f>VLOOKUP($B194,'[1]Plant data'!$A$1:$AB$315,10,0)</f>
        <v>1.4212800000000001</v>
      </c>
      <c r="AC194">
        <f>VLOOKUP($B194,'[1]Plant data'!$A$1:$AB$315,11,0)</f>
        <v>0.46</v>
      </c>
      <c r="AD194">
        <f>VLOOKUP($B194,'[1]Plant data'!$A$1:$AB$315,12,0)</f>
        <v>1.06515</v>
      </c>
      <c r="AE194">
        <f>VLOOKUP($B194,'[1]Plant data'!$A$1:$AB$315,13,0)</f>
        <v>0.32305000000000006</v>
      </c>
      <c r="AF194">
        <f>VLOOKUP($B194,'[1]Plant data'!$A$1:$AB$315,14,0)</f>
        <v>0.96343333333333325</v>
      </c>
      <c r="AG194">
        <f>VLOOKUP($B194,'[1]Plant data'!$A$1:$AB$315,15,0)</f>
        <v>1</v>
      </c>
      <c r="AH194" t="str">
        <f>VLOOKUP($B194,'[1]Plant data'!$A$1:$AB$315,16,0)</f>
        <v>NA</v>
      </c>
      <c r="AI194">
        <f>VLOOKUP($B194,'[1]Plant data'!$A$1:$AB$315,17,0)</f>
        <v>0.36819721900926922</v>
      </c>
      <c r="AJ194" t="str">
        <f>VLOOKUP($B194,'[1]Plant data'!$A$1:$AB$315,18,0)</f>
        <v>Castro &amp; Galetti 2004, Cazetta 2007, Erica&amp;Wesley, Intervales_morfo, Mikich 2002, Santana et al. 2013, Alves 2008</v>
      </c>
      <c r="AK194">
        <f>VLOOKUP($B194,'[1]Plant data'!$A$1:$AB$315,19,0)</f>
        <v>0.67774999999999996</v>
      </c>
      <c r="AL194">
        <f>VLOOKUP($B194,'[1]Plant data'!$A$1:$AB$315,20,0)</f>
        <v>0.13617499999999999</v>
      </c>
      <c r="AM194">
        <f>VLOOKUP($B194,'[1]Plant data'!$A$1:$AB$315,21,0)</f>
        <v>5.0733332999999999E-2</v>
      </c>
      <c r="AN194">
        <f>VLOOKUP($B194,'[1]Plant data'!$A$1:$AB$315,22,0)</f>
        <v>3.65E-3</v>
      </c>
      <c r="AO194">
        <f>VLOOKUP($B194,'[1]Plant data'!$A$1:$AB$315,23,0)</f>
        <v>0.182</v>
      </c>
      <c r="AP194" t="str">
        <f>VLOOKUP($B194,'[1]Plant data'!$A$1:$AB$315,24,0)</f>
        <v>NA</v>
      </c>
      <c r="AQ194">
        <f>VLOOKUP($B194,'[1]Plant data'!$A$1:$AB$315,25,0)</f>
        <v>0.69899999999999995</v>
      </c>
      <c r="AR194">
        <f>VLOOKUP($B194,'[1]Plant data'!$A$1:$AB$315,26,0)</f>
        <v>2.7E-2</v>
      </c>
      <c r="AS194" t="str">
        <f>VLOOKUP($B194,'[1]Plant data'!$A$1:$AB$315,27,0)</f>
        <v>NA</v>
      </c>
      <c r="AT194" t="str">
        <f>VLOOKUP($B194,'[1]Plant data'!$A$1:$AB$315,28,0)</f>
        <v>Cazetta 2007, Erica &amp; Wesley, unpubl., Saibadela, Santana et al. 2013</v>
      </c>
    </row>
    <row r="195" spans="1:46">
      <c r="A195" s="5" t="s">
        <v>106</v>
      </c>
      <c r="B195" s="14" t="s">
        <v>97</v>
      </c>
      <c r="C195" t="s">
        <v>19</v>
      </c>
      <c r="D195" s="25" t="s">
        <v>19</v>
      </c>
      <c r="E195" s="8">
        <v>4.0000000000000001E-3</v>
      </c>
      <c r="F195" t="s">
        <v>19</v>
      </c>
      <c r="G195" s="9">
        <v>2.25</v>
      </c>
      <c r="H195" s="9"/>
      <c r="I195" s="8">
        <f t="shared" si="18"/>
        <v>9.0000000000000011E-3</v>
      </c>
      <c r="J195" t="s">
        <v>143</v>
      </c>
      <c r="K195" s="25" t="s">
        <v>19</v>
      </c>
      <c r="L195" t="s">
        <v>22</v>
      </c>
      <c r="M195" t="s">
        <v>75</v>
      </c>
      <c r="N195" s="11">
        <v>68.099999999999994</v>
      </c>
      <c r="O195" s="11">
        <v>16.570370369999999</v>
      </c>
      <c r="P195" t="s">
        <v>48</v>
      </c>
      <c r="Q195" t="s">
        <v>49</v>
      </c>
      <c r="R195" t="s">
        <v>26</v>
      </c>
      <c r="S195" t="s">
        <v>27</v>
      </c>
      <c r="T195" t="str">
        <f>VLOOKUP(B195,'[1]Plant data'!$A$1:$AB$315,2,0)</f>
        <v>Arecaceae</v>
      </c>
      <c r="U195" t="str">
        <f>VLOOKUP($B195,'[1]Plant data'!$A$1:$AB$315,3,0)</f>
        <v>NA</v>
      </c>
      <c r="V195" t="str">
        <f>VLOOKUP($B195,'[1]Plant data'!$A$1:$AB$315,4,0)</f>
        <v>black</v>
      </c>
      <c r="W195" t="str">
        <f>VLOOKUP($B195,'[1]Plant data'!$A$1:$AB$315,5,0)</f>
        <v>YES</v>
      </c>
      <c r="X195">
        <f>VLOOKUP($B195,'[1]Plant data'!$A$1:$AB$315,6,0)</f>
        <v>13.294285714285715</v>
      </c>
      <c r="Y195">
        <f>VLOOKUP($B195,'[1]Plant data'!$A$1:$AB$315,7,0)</f>
        <v>12.980000000000002</v>
      </c>
      <c r="Z195">
        <f>VLOOKUP($B195,'[1]Plant data'!$A$1:$AB$315,8,0)</f>
        <v>11.3575</v>
      </c>
      <c r="AA195">
        <f>VLOOKUP($B195,'[1]Plant data'!$A$1:$AB$315,9,0)</f>
        <v>11.62275</v>
      </c>
      <c r="AB195">
        <f>VLOOKUP($B195,'[1]Plant data'!$A$1:$AB$315,10,0)</f>
        <v>1.4212800000000001</v>
      </c>
      <c r="AC195">
        <f>VLOOKUP($B195,'[1]Plant data'!$A$1:$AB$315,11,0)</f>
        <v>0.46</v>
      </c>
      <c r="AD195">
        <f>VLOOKUP($B195,'[1]Plant data'!$A$1:$AB$315,12,0)</f>
        <v>1.06515</v>
      </c>
      <c r="AE195">
        <f>VLOOKUP($B195,'[1]Plant data'!$A$1:$AB$315,13,0)</f>
        <v>0.32305000000000006</v>
      </c>
      <c r="AF195">
        <f>VLOOKUP($B195,'[1]Plant data'!$A$1:$AB$315,14,0)</f>
        <v>0.96343333333333325</v>
      </c>
      <c r="AG195">
        <f>VLOOKUP($B195,'[1]Plant data'!$A$1:$AB$315,15,0)</f>
        <v>1</v>
      </c>
      <c r="AH195" t="str">
        <f>VLOOKUP($B195,'[1]Plant data'!$A$1:$AB$315,16,0)</f>
        <v>NA</v>
      </c>
      <c r="AI195">
        <f>VLOOKUP($B195,'[1]Plant data'!$A$1:$AB$315,17,0)</f>
        <v>0.36819721900926922</v>
      </c>
      <c r="AJ195" t="str">
        <f>VLOOKUP($B195,'[1]Plant data'!$A$1:$AB$315,18,0)</f>
        <v>Castro &amp; Galetti 2004, Cazetta 2007, Erica&amp;Wesley, Intervales_morfo, Mikich 2002, Santana et al. 2013, Alves 2008</v>
      </c>
      <c r="AK195">
        <f>VLOOKUP($B195,'[1]Plant data'!$A$1:$AB$315,19,0)</f>
        <v>0.67774999999999996</v>
      </c>
      <c r="AL195">
        <f>VLOOKUP($B195,'[1]Plant data'!$A$1:$AB$315,20,0)</f>
        <v>0.13617499999999999</v>
      </c>
      <c r="AM195">
        <f>VLOOKUP($B195,'[1]Plant data'!$A$1:$AB$315,21,0)</f>
        <v>5.0733332999999999E-2</v>
      </c>
      <c r="AN195">
        <f>VLOOKUP($B195,'[1]Plant data'!$A$1:$AB$315,22,0)</f>
        <v>3.65E-3</v>
      </c>
      <c r="AO195">
        <f>VLOOKUP($B195,'[1]Plant data'!$A$1:$AB$315,23,0)</f>
        <v>0.182</v>
      </c>
      <c r="AP195" t="str">
        <f>VLOOKUP($B195,'[1]Plant data'!$A$1:$AB$315,24,0)</f>
        <v>NA</v>
      </c>
      <c r="AQ195">
        <f>VLOOKUP($B195,'[1]Plant data'!$A$1:$AB$315,25,0)</f>
        <v>0.69899999999999995</v>
      </c>
      <c r="AR195">
        <f>VLOOKUP($B195,'[1]Plant data'!$A$1:$AB$315,26,0)</f>
        <v>2.7E-2</v>
      </c>
      <c r="AS195" t="str">
        <f>VLOOKUP($B195,'[1]Plant data'!$A$1:$AB$315,27,0)</f>
        <v>NA</v>
      </c>
      <c r="AT195" t="str">
        <f>VLOOKUP($B195,'[1]Plant data'!$A$1:$AB$315,28,0)</f>
        <v>Cazetta 2007, Erica &amp; Wesley, unpubl., Saibadela, Santana et al. 2013</v>
      </c>
    </row>
    <row r="196" spans="1:46">
      <c r="A196" s="5" t="s">
        <v>107</v>
      </c>
      <c r="B196" s="14" t="s">
        <v>97</v>
      </c>
      <c r="C196" t="s">
        <v>19</v>
      </c>
      <c r="D196" s="25" t="s">
        <v>19</v>
      </c>
      <c r="E196" s="8">
        <v>0.01</v>
      </c>
      <c r="F196" t="s">
        <v>19</v>
      </c>
      <c r="G196" s="9">
        <v>1</v>
      </c>
      <c r="H196" s="9"/>
      <c r="I196" s="8">
        <f t="shared" si="18"/>
        <v>0.01</v>
      </c>
      <c r="J196" t="s">
        <v>143</v>
      </c>
      <c r="K196" s="25" t="s">
        <v>19</v>
      </c>
      <c r="L196" t="s">
        <v>108</v>
      </c>
      <c r="M196" t="s">
        <v>109</v>
      </c>
      <c r="N196" s="11">
        <v>89.7</v>
      </c>
      <c r="O196" s="11">
        <v>20.489000000000001</v>
      </c>
      <c r="P196" t="s">
        <v>48</v>
      </c>
      <c r="Q196" t="s">
        <v>25</v>
      </c>
      <c r="R196" t="s">
        <v>26</v>
      </c>
      <c r="S196" t="s">
        <v>31</v>
      </c>
      <c r="T196" t="str">
        <f>VLOOKUP(B196,'[1]Plant data'!$A$1:$AB$315,2,0)</f>
        <v>Arecaceae</v>
      </c>
      <c r="U196" t="str">
        <f>VLOOKUP($B196,'[1]Plant data'!$A$1:$AB$315,3,0)</f>
        <v>NA</v>
      </c>
      <c r="V196" t="str">
        <f>VLOOKUP($B196,'[1]Plant data'!$A$1:$AB$315,4,0)</f>
        <v>black</v>
      </c>
      <c r="W196" t="str">
        <f>VLOOKUP($B196,'[1]Plant data'!$A$1:$AB$315,5,0)</f>
        <v>YES</v>
      </c>
      <c r="X196">
        <f>VLOOKUP($B196,'[1]Plant data'!$A$1:$AB$315,6,0)</f>
        <v>13.294285714285715</v>
      </c>
      <c r="Y196">
        <f>VLOOKUP($B196,'[1]Plant data'!$A$1:$AB$315,7,0)</f>
        <v>12.980000000000002</v>
      </c>
      <c r="Z196">
        <f>VLOOKUP($B196,'[1]Plant data'!$A$1:$AB$315,8,0)</f>
        <v>11.3575</v>
      </c>
      <c r="AA196">
        <f>VLOOKUP($B196,'[1]Plant data'!$A$1:$AB$315,9,0)</f>
        <v>11.62275</v>
      </c>
      <c r="AB196">
        <f>VLOOKUP($B196,'[1]Plant data'!$A$1:$AB$315,10,0)</f>
        <v>1.4212800000000001</v>
      </c>
      <c r="AC196">
        <f>VLOOKUP($B196,'[1]Plant data'!$A$1:$AB$315,11,0)</f>
        <v>0.46</v>
      </c>
      <c r="AD196">
        <f>VLOOKUP($B196,'[1]Plant data'!$A$1:$AB$315,12,0)</f>
        <v>1.06515</v>
      </c>
      <c r="AE196">
        <f>VLOOKUP($B196,'[1]Plant data'!$A$1:$AB$315,13,0)</f>
        <v>0.32305000000000006</v>
      </c>
      <c r="AF196">
        <f>VLOOKUP($B196,'[1]Plant data'!$A$1:$AB$315,14,0)</f>
        <v>0.96343333333333325</v>
      </c>
      <c r="AG196">
        <f>VLOOKUP($B196,'[1]Plant data'!$A$1:$AB$315,15,0)</f>
        <v>1</v>
      </c>
      <c r="AH196" t="str">
        <f>VLOOKUP($B196,'[1]Plant data'!$A$1:$AB$315,16,0)</f>
        <v>NA</v>
      </c>
      <c r="AI196">
        <f>VLOOKUP($B196,'[1]Plant data'!$A$1:$AB$315,17,0)</f>
        <v>0.36819721900926922</v>
      </c>
      <c r="AJ196" t="str">
        <f>VLOOKUP($B196,'[1]Plant data'!$A$1:$AB$315,18,0)</f>
        <v>Castro &amp; Galetti 2004, Cazetta 2007, Erica&amp;Wesley, Intervales_morfo, Mikich 2002, Santana et al. 2013, Alves 2008</v>
      </c>
      <c r="AK196">
        <f>VLOOKUP($B196,'[1]Plant data'!$A$1:$AB$315,19,0)</f>
        <v>0.67774999999999996</v>
      </c>
      <c r="AL196">
        <f>VLOOKUP($B196,'[1]Plant data'!$A$1:$AB$315,20,0)</f>
        <v>0.13617499999999999</v>
      </c>
      <c r="AM196">
        <f>VLOOKUP($B196,'[1]Plant data'!$A$1:$AB$315,21,0)</f>
        <v>5.0733332999999999E-2</v>
      </c>
      <c r="AN196">
        <f>VLOOKUP($B196,'[1]Plant data'!$A$1:$AB$315,22,0)</f>
        <v>3.65E-3</v>
      </c>
      <c r="AO196">
        <f>VLOOKUP($B196,'[1]Plant data'!$A$1:$AB$315,23,0)</f>
        <v>0.182</v>
      </c>
      <c r="AP196" t="str">
        <f>VLOOKUP($B196,'[1]Plant data'!$A$1:$AB$315,24,0)</f>
        <v>NA</v>
      </c>
      <c r="AQ196">
        <f>VLOOKUP($B196,'[1]Plant data'!$A$1:$AB$315,25,0)</f>
        <v>0.69899999999999995</v>
      </c>
      <c r="AR196">
        <f>VLOOKUP($B196,'[1]Plant data'!$A$1:$AB$315,26,0)</f>
        <v>2.7E-2</v>
      </c>
      <c r="AS196" t="str">
        <f>VLOOKUP($B196,'[1]Plant data'!$A$1:$AB$315,27,0)</f>
        <v>NA</v>
      </c>
      <c r="AT196" t="str">
        <f>VLOOKUP($B196,'[1]Plant data'!$A$1:$AB$315,28,0)</f>
        <v>Cazetta 2007, Erica &amp; Wesley, unpubl., Saibadela, Santana et al. 2013</v>
      </c>
    </row>
    <row r="197" spans="1:46">
      <c r="A197" s="5" t="s">
        <v>107</v>
      </c>
      <c r="B197" s="14" t="s">
        <v>97</v>
      </c>
      <c r="C197" t="s">
        <v>19</v>
      </c>
      <c r="D197" s="25" t="s">
        <v>19</v>
      </c>
      <c r="E197" s="8">
        <v>0.122</v>
      </c>
      <c r="F197" t="s">
        <v>19</v>
      </c>
      <c r="G197" s="9">
        <v>1.0900000000000001</v>
      </c>
      <c r="H197" s="9"/>
      <c r="I197" s="8">
        <f t="shared" si="18"/>
        <v>0.13298000000000001</v>
      </c>
      <c r="J197" s="79" t="s">
        <v>143</v>
      </c>
      <c r="K197" s="25" t="s">
        <v>19</v>
      </c>
      <c r="L197" t="s">
        <v>108</v>
      </c>
      <c r="M197" t="s">
        <v>109</v>
      </c>
      <c r="N197" s="11">
        <v>89.7</v>
      </c>
      <c r="O197" s="11">
        <v>20.489000000000001</v>
      </c>
      <c r="P197" t="s">
        <v>48</v>
      </c>
      <c r="Q197" t="s">
        <v>25</v>
      </c>
      <c r="R197" t="s">
        <v>26</v>
      </c>
      <c r="S197" t="s">
        <v>31</v>
      </c>
      <c r="T197" t="str">
        <f>VLOOKUP(B197,'[1]Plant data'!$A$1:$AB$315,2,0)</f>
        <v>Arecaceae</v>
      </c>
      <c r="U197" t="str">
        <f>VLOOKUP($B197,'[1]Plant data'!$A$1:$AB$315,3,0)</f>
        <v>NA</v>
      </c>
      <c r="V197" t="str">
        <f>VLOOKUP($B197,'[1]Plant data'!$A$1:$AB$315,4,0)</f>
        <v>black</v>
      </c>
      <c r="W197" t="str">
        <f>VLOOKUP($B197,'[1]Plant data'!$A$1:$AB$315,5,0)</f>
        <v>YES</v>
      </c>
      <c r="X197">
        <f>VLOOKUP($B197,'[1]Plant data'!$A$1:$AB$315,6,0)</f>
        <v>13.294285714285715</v>
      </c>
      <c r="Y197">
        <f>VLOOKUP($B197,'[1]Plant data'!$A$1:$AB$315,7,0)</f>
        <v>12.980000000000002</v>
      </c>
      <c r="Z197">
        <f>VLOOKUP($B197,'[1]Plant data'!$A$1:$AB$315,8,0)</f>
        <v>11.3575</v>
      </c>
      <c r="AA197">
        <f>VLOOKUP($B197,'[1]Plant data'!$A$1:$AB$315,9,0)</f>
        <v>11.62275</v>
      </c>
      <c r="AB197">
        <f>VLOOKUP($B197,'[1]Plant data'!$A$1:$AB$315,10,0)</f>
        <v>1.4212800000000001</v>
      </c>
      <c r="AC197">
        <f>VLOOKUP($B197,'[1]Plant data'!$A$1:$AB$315,11,0)</f>
        <v>0.46</v>
      </c>
      <c r="AD197">
        <f>VLOOKUP($B197,'[1]Plant data'!$A$1:$AB$315,12,0)</f>
        <v>1.06515</v>
      </c>
      <c r="AE197">
        <f>VLOOKUP($B197,'[1]Plant data'!$A$1:$AB$315,13,0)</f>
        <v>0.32305000000000006</v>
      </c>
      <c r="AF197">
        <f>VLOOKUP($B197,'[1]Plant data'!$A$1:$AB$315,14,0)</f>
        <v>0.96343333333333325</v>
      </c>
      <c r="AG197">
        <f>VLOOKUP($B197,'[1]Plant data'!$A$1:$AB$315,15,0)</f>
        <v>1</v>
      </c>
      <c r="AH197" t="str">
        <f>VLOOKUP($B197,'[1]Plant data'!$A$1:$AB$315,16,0)</f>
        <v>NA</v>
      </c>
      <c r="AI197">
        <f>VLOOKUP($B197,'[1]Plant data'!$A$1:$AB$315,17,0)</f>
        <v>0.36819721900926922</v>
      </c>
      <c r="AJ197" t="str">
        <f>VLOOKUP($B197,'[1]Plant data'!$A$1:$AB$315,18,0)</f>
        <v>Castro &amp; Galetti 2004, Cazetta 2007, Erica&amp;Wesley, Intervales_morfo, Mikich 2002, Santana et al. 2013, Alves 2008</v>
      </c>
      <c r="AK197">
        <f>VLOOKUP($B197,'[1]Plant data'!$A$1:$AB$315,19,0)</f>
        <v>0.67774999999999996</v>
      </c>
      <c r="AL197">
        <f>VLOOKUP($B197,'[1]Plant data'!$A$1:$AB$315,20,0)</f>
        <v>0.13617499999999999</v>
      </c>
      <c r="AM197">
        <f>VLOOKUP($B197,'[1]Plant data'!$A$1:$AB$315,21,0)</f>
        <v>5.0733332999999999E-2</v>
      </c>
      <c r="AN197">
        <f>VLOOKUP($B197,'[1]Plant data'!$A$1:$AB$315,22,0)</f>
        <v>3.65E-3</v>
      </c>
      <c r="AO197">
        <f>VLOOKUP($B197,'[1]Plant data'!$A$1:$AB$315,23,0)</f>
        <v>0.182</v>
      </c>
      <c r="AP197" t="str">
        <f>VLOOKUP($B197,'[1]Plant data'!$A$1:$AB$315,24,0)</f>
        <v>NA</v>
      </c>
      <c r="AQ197">
        <f>VLOOKUP($B197,'[1]Plant data'!$A$1:$AB$315,25,0)</f>
        <v>0.69899999999999995</v>
      </c>
      <c r="AR197">
        <f>VLOOKUP($B197,'[1]Plant data'!$A$1:$AB$315,26,0)</f>
        <v>2.7E-2</v>
      </c>
      <c r="AS197" t="str">
        <f>VLOOKUP($B197,'[1]Plant data'!$A$1:$AB$315,27,0)</f>
        <v>NA</v>
      </c>
      <c r="AT197" t="str">
        <f>VLOOKUP($B197,'[1]Plant data'!$A$1:$AB$315,28,0)</f>
        <v>Cazetta 2007, Erica &amp; Wesley, unpubl., Saibadela, Santana et al. 2013</v>
      </c>
    </row>
    <row r="198" spans="1:46">
      <c r="A198" s="5" t="s">
        <v>46</v>
      </c>
      <c r="B198" s="6" t="s">
        <v>97</v>
      </c>
      <c r="C198" t="s">
        <v>19</v>
      </c>
      <c r="D198" s="25" t="s">
        <v>19</v>
      </c>
      <c r="E198" s="8">
        <v>5.0999999999999997E-2</v>
      </c>
      <c r="F198" s="27" t="s">
        <v>19</v>
      </c>
      <c r="G198" s="9">
        <v>1.27</v>
      </c>
      <c r="H198" s="9"/>
      <c r="I198" s="8">
        <f t="shared" si="18"/>
        <v>6.4769999999999994E-2</v>
      </c>
      <c r="J198" s="10" t="s">
        <v>143</v>
      </c>
      <c r="K198" s="25" t="s">
        <v>19</v>
      </c>
      <c r="L198" t="s">
        <v>22</v>
      </c>
      <c r="M198" t="s">
        <v>47</v>
      </c>
      <c r="N198" s="11">
        <v>54</v>
      </c>
      <c r="O198" s="11">
        <v>11.14875</v>
      </c>
      <c r="P198" t="s">
        <v>48</v>
      </c>
      <c r="Q198" t="s">
        <v>49</v>
      </c>
      <c r="R198" t="s">
        <v>26</v>
      </c>
      <c r="S198" t="s">
        <v>31</v>
      </c>
      <c r="T198" t="str">
        <f>VLOOKUP(B198,'[1]Plant data'!$A$1:$AB$315,2,0)</f>
        <v>Arecaceae</v>
      </c>
      <c r="U198" t="str">
        <f>VLOOKUP($B198,'[1]Plant data'!$A$1:$AB$315,3,0)</f>
        <v>NA</v>
      </c>
      <c r="V198" t="str">
        <f>VLOOKUP($B198,'[1]Plant data'!$A$1:$AB$315,4,0)</f>
        <v>black</v>
      </c>
      <c r="W198" t="str">
        <f>VLOOKUP($B198,'[1]Plant data'!$A$1:$AB$315,5,0)</f>
        <v>YES</v>
      </c>
      <c r="X198">
        <f>VLOOKUP($B198,'[1]Plant data'!$A$1:$AB$315,6,0)</f>
        <v>13.294285714285715</v>
      </c>
      <c r="Y198">
        <f>VLOOKUP($B198,'[1]Plant data'!$A$1:$AB$315,7,0)</f>
        <v>12.980000000000002</v>
      </c>
      <c r="Z198">
        <f>VLOOKUP($B198,'[1]Plant data'!$A$1:$AB$315,8,0)</f>
        <v>11.3575</v>
      </c>
      <c r="AA198">
        <f>VLOOKUP($B198,'[1]Plant data'!$A$1:$AB$315,9,0)</f>
        <v>11.62275</v>
      </c>
      <c r="AB198">
        <f>VLOOKUP($B198,'[1]Plant data'!$A$1:$AB$315,10,0)</f>
        <v>1.4212800000000001</v>
      </c>
      <c r="AC198">
        <f>VLOOKUP($B198,'[1]Plant data'!$A$1:$AB$315,11,0)</f>
        <v>0.46</v>
      </c>
      <c r="AD198">
        <f>VLOOKUP($B198,'[1]Plant data'!$A$1:$AB$315,12,0)</f>
        <v>1.06515</v>
      </c>
      <c r="AE198">
        <f>VLOOKUP($B198,'[1]Plant data'!$A$1:$AB$315,13,0)</f>
        <v>0.32305000000000006</v>
      </c>
      <c r="AF198">
        <f>VLOOKUP($B198,'[1]Plant data'!$A$1:$AB$315,14,0)</f>
        <v>0.96343333333333325</v>
      </c>
      <c r="AG198">
        <f>VLOOKUP($B198,'[1]Plant data'!$A$1:$AB$315,15,0)</f>
        <v>1</v>
      </c>
      <c r="AH198" t="str">
        <f>VLOOKUP($B198,'[1]Plant data'!$A$1:$AB$315,16,0)</f>
        <v>NA</v>
      </c>
      <c r="AI198">
        <f>VLOOKUP($B198,'[1]Plant data'!$A$1:$AB$315,17,0)</f>
        <v>0.36819721900926922</v>
      </c>
      <c r="AJ198" t="str">
        <f>VLOOKUP($B198,'[1]Plant data'!$A$1:$AB$315,18,0)</f>
        <v>Castro &amp; Galetti 2004, Cazetta 2007, Erica&amp;Wesley, Intervales_morfo, Mikich 2002, Santana et al. 2013, Alves 2008</v>
      </c>
      <c r="AK198">
        <f>VLOOKUP($B198,'[1]Plant data'!$A$1:$AB$315,19,0)</f>
        <v>0.67774999999999996</v>
      </c>
      <c r="AL198">
        <f>VLOOKUP($B198,'[1]Plant data'!$A$1:$AB$315,20,0)</f>
        <v>0.13617499999999999</v>
      </c>
      <c r="AM198">
        <f>VLOOKUP($B198,'[1]Plant data'!$A$1:$AB$315,21,0)</f>
        <v>5.0733332999999999E-2</v>
      </c>
      <c r="AN198">
        <f>VLOOKUP($B198,'[1]Plant data'!$A$1:$AB$315,22,0)</f>
        <v>3.65E-3</v>
      </c>
      <c r="AO198">
        <f>VLOOKUP($B198,'[1]Plant data'!$A$1:$AB$315,23,0)</f>
        <v>0.182</v>
      </c>
      <c r="AP198" t="str">
        <f>VLOOKUP($B198,'[1]Plant data'!$A$1:$AB$315,24,0)</f>
        <v>NA</v>
      </c>
      <c r="AQ198">
        <f>VLOOKUP($B198,'[1]Plant data'!$A$1:$AB$315,25,0)</f>
        <v>0.69899999999999995</v>
      </c>
      <c r="AR198">
        <f>VLOOKUP($B198,'[1]Plant data'!$A$1:$AB$315,26,0)</f>
        <v>2.7E-2</v>
      </c>
      <c r="AS198" t="str">
        <f>VLOOKUP($B198,'[1]Plant data'!$A$1:$AB$315,27,0)</f>
        <v>NA</v>
      </c>
      <c r="AT198" t="str">
        <f>VLOOKUP($B198,'[1]Plant data'!$A$1:$AB$315,28,0)</f>
        <v>Cazetta 2007, Erica &amp; Wesley, unpubl., Saibadela, Santana et al. 2013</v>
      </c>
    </row>
    <row r="199" spans="1:46">
      <c r="A199" s="5" t="s">
        <v>46</v>
      </c>
      <c r="B199" s="6" t="s">
        <v>97</v>
      </c>
      <c r="C199" t="s">
        <v>19</v>
      </c>
      <c r="D199" t="s">
        <v>19</v>
      </c>
      <c r="E199" s="8">
        <v>0.157</v>
      </c>
      <c r="F199" s="27" t="s">
        <v>19</v>
      </c>
      <c r="G199" s="9">
        <v>1.99</v>
      </c>
      <c r="H199" s="9"/>
      <c r="I199" s="8">
        <f t="shared" si="18"/>
        <v>0.31242999999999999</v>
      </c>
      <c r="J199" t="s">
        <v>143</v>
      </c>
      <c r="K199" s="25" t="s">
        <v>19</v>
      </c>
      <c r="L199" t="s">
        <v>22</v>
      </c>
      <c r="M199" t="s">
        <v>47</v>
      </c>
      <c r="N199" s="11">
        <v>54</v>
      </c>
      <c r="O199" s="11">
        <v>11.14875</v>
      </c>
      <c r="P199" t="s">
        <v>48</v>
      </c>
      <c r="Q199" t="s">
        <v>49</v>
      </c>
      <c r="R199" t="s">
        <v>26</v>
      </c>
      <c r="S199" t="s">
        <v>31</v>
      </c>
      <c r="T199" t="str">
        <f>VLOOKUP(B199,'[1]Plant data'!$A$1:$AB$315,2,0)</f>
        <v>Arecaceae</v>
      </c>
      <c r="U199" t="str">
        <f>VLOOKUP($B199,'[1]Plant data'!$A$1:$AB$315,3,0)</f>
        <v>NA</v>
      </c>
      <c r="V199" t="str">
        <f>VLOOKUP($B199,'[1]Plant data'!$A$1:$AB$315,4,0)</f>
        <v>black</v>
      </c>
      <c r="W199" t="str">
        <f>VLOOKUP($B199,'[1]Plant data'!$A$1:$AB$315,5,0)</f>
        <v>YES</v>
      </c>
      <c r="X199">
        <f>VLOOKUP($B199,'[1]Plant data'!$A$1:$AB$315,6,0)</f>
        <v>13.294285714285715</v>
      </c>
      <c r="Y199">
        <f>VLOOKUP($B199,'[1]Plant data'!$A$1:$AB$315,7,0)</f>
        <v>12.980000000000002</v>
      </c>
      <c r="Z199">
        <f>VLOOKUP($B199,'[1]Plant data'!$A$1:$AB$315,8,0)</f>
        <v>11.3575</v>
      </c>
      <c r="AA199">
        <f>VLOOKUP($B199,'[1]Plant data'!$A$1:$AB$315,9,0)</f>
        <v>11.62275</v>
      </c>
      <c r="AB199">
        <f>VLOOKUP($B199,'[1]Plant data'!$A$1:$AB$315,10,0)</f>
        <v>1.4212800000000001</v>
      </c>
      <c r="AC199">
        <f>VLOOKUP($B199,'[1]Plant data'!$A$1:$AB$315,11,0)</f>
        <v>0.46</v>
      </c>
      <c r="AD199">
        <f>VLOOKUP($B199,'[1]Plant data'!$A$1:$AB$315,12,0)</f>
        <v>1.06515</v>
      </c>
      <c r="AE199">
        <f>VLOOKUP($B199,'[1]Plant data'!$A$1:$AB$315,13,0)</f>
        <v>0.32305000000000006</v>
      </c>
      <c r="AF199">
        <f>VLOOKUP($B199,'[1]Plant data'!$A$1:$AB$315,14,0)</f>
        <v>0.96343333333333325</v>
      </c>
      <c r="AG199">
        <f>VLOOKUP($B199,'[1]Plant data'!$A$1:$AB$315,15,0)</f>
        <v>1</v>
      </c>
      <c r="AH199" t="str">
        <f>VLOOKUP($B199,'[1]Plant data'!$A$1:$AB$315,16,0)</f>
        <v>NA</v>
      </c>
      <c r="AI199">
        <f>VLOOKUP($B199,'[1]Plant data'!$A$1:$AB$315,17,0)</f>
        <v>0.36819721900926922</v>
      </c>
      <c r="AJ199" t="str">
        <f>VLOOKUP($B199,'[1]Plant data'!$A$1:$AB$315,18,0)</f>
        <v>Castro &amp; Galetti 2004, Cazetta 2007, Erica&amp;Wesley, Intervales_morfo, Mikich 2002, Santana et al. 2013, Alves 2008</v>
      </c>
      <c r="AK199">
        <f>VLOOKUP($B199,'[1]Plant data'!$A$1:$AB$315,19,0)</f>
        <v>0.67774999999999996</v>
      </c>
      <c r="AL199">
        <f>VLOOKUP($B199,'[1]Plant data'!$A$1:$AB$315,20,0)</f>
        <v>0.13617499999999999</v>
      </c>
      <c r="AM199">
        <f>VLOOKUP($B199,'[1]Plant data'!$A$1:$AB$315,21,0)</f>
        <v>5.0733332999999999E-2</v>
      </c>
      <c r="AN199">
        <f>VLOOKUP($B199,'[1]Plant data'!$A$1:$AB$315,22,0)</f>
        <v>3.65E-3</v>
      </c>
      <c r="AO199">
        <f>VLOOKUP($B199,'[1]Plant data'!$A$1:$AB$315,23,0)</f>
        <v>0.182</v>
      </c>
      <c r="AP199" t="str">
        <f>VLOOKUP($B199,'[1]Plant data'!$A$1:$AB$315,24,0)</f>
        <v>NA</v>
      </c>
      <c r="AQ199">
        <f>VLOOKUP($B199,'[1]Plant data'!$A$1:$AB$315,25,0)</f>
        <v>0.69899999999999995</v>
      </c>
      <c r="AR199">
        <f>VLOOKUP($B199,'[1]Plant data'!$A$1:$AB$315,26,0)</f>
        <v>2.7E-2</v>
      </c>
      <c r="AS199" t="str">
        <f>VLOOKUP($B199,'[1]Plant data'!$A$1:$AB$315,27,0)</f>
        <v>NA</v>
      </c>
      <c r="AT199" t="str">
        <f>VLOOKUP($B199,'[1]Plant data'!$A$1:$AB$315,28,0)</f>
        <v>Cazetta 2007, Erica &amp; Wesley, unpubl., Saibadela, Santana et al. 2013</v>
      </c>
    </row>
    <row r="200" spans="1:46">
      <c r="A200" s="5" t="s">
        <v>50</v>
      </c>
      <c r="B200" s="14" t="s">
        <v>97</v>
      </c>
      <c r="C200" t="s">
        <v>19</v>
      </c>
      <c r="D200" t="s">
        <v>19</v>
      </c>
      <c r="E200" s="8">
        <v>0.02</v>
      </c>
      <c r="F200" s="27" t="s">
        <v>19</v>
      </c>
      <c r="G200" s="9">
        <v>1.75</v>
      </c>
      <c r="H200" s="9"/>
      <c r="I200" s="8">
        <f t="shared" si="18"/>
        <v>3.5000000000000003E-2</v>
      </c>
      <c r="J200" t="s">
        <v>143</v>
      </c>
      <c r="K200" s="25" t="s">
        <v>19</v>
      </c>
      <c r="L200" t="s">
        <v>22</v>
      </c>
      <c r="M200" t="s">
        <v>47</v>
      </c>
      <c r="N200" s="11">
        <v>69.5</v>
      </c>
      <c r="O200" s="11">
        <v>13.253214290000001</v>
      </c>
      <c r="P200" t="s">
        <v>48</v>
      </c>
      <c r="Q200" t="s">
        <v>25</v>
      </c>
      <c r="R200" t="s">
        <v>26</v>
      </c>
      <c r="S200" t="s">
        <v>31</v>
      </c>
      <c r="T200" t="str">
        <f>VLOOKUP(B200,'[1]Plant data'!$A$1:$AB$315,2,0)</f>
        <v>Arecaceae</v>
      </c>
      <c r="U200" t="str">
        <f>VLOOKUP($B200,'[1]Plant data'!$A$1:$AB$315,3,0)</f>
        <v>NA</v>
      </c>
      <c r="V200" t="str">
        <f>VLOOKUP($B200,'[1]Plant data'!$A$1:$AB$315,4,0)</f>
        <v>black</v>
      </c>
      <c r="W200" t="str">
        <f>VLOOKUP($B200,'[1]Plant data'!$A$1:$AB$315,5,0)</f>
        <v>YES</v>
      </c>
      <c r="X200">
        <f>VLOOKUP($B200,'[1]Plant data'!$A$1:$AB$315,6,0)</f>
        <v>13.294285714285715</v>
      </c>
      <c r="Y200">
        <f>VLOOKUP($B200,'[1]Plant data'!$A$1:$AB$315,7,0)</f>
        <v>12.980000000000002</v>
      </c>
      <c r="Z200">
        <f>VLOOKUP($B200,'[1]Plant data'!$A$1:$AB$315,8,0)</f>
        <v>11.3575</v>
      </c>
      <c r="AA200">
        <f>VLOOKUP($B200,'[1]Plant data'!$A$1:$AB$315,9,0)</f>
        <v>11.62275</v>
      </c>
      <c r="AB200">
        <f>VLOOKUP($B200,'[1]Plant data'!$A$1:$AB$315,10,0)</f>
        <v>1.4212800000000001</v>
      </c>
      <c r="AC200">
        <f>VLOOKUP($B200,'[1]Plant data'!$A$1:$AB$315,11,0)</f>
        <v>0.46</v>
      </c>
      <c r="AD200">
        <f>VLOOKUP($B200,'[1]Plant data'!$A$1:$AB$315,12,0)</f>
        <v>1.06515</v>
      </c>
      <c r="AE200">
        <f>VLOOKUP($B200,'[1]Plant data'!$A$1:$AB$315,13,0)</f>
        <v>0.32305000000000006</v>
      </c>
      <c r="AF200">
        <f>VLOOKUP($B200,'[1]Plant data'!$A$1:$AB$315,14,0)</f>
        <v>0.96343333333333325</v>
      </c>
      <c r="AG200">
        <f>VLOOKUP($B200,'[1]Plant data'!$A$1:$AB$315,15,0)</f>
        <v>1</v>
      </c>
      <c r="AH200" t="str">
        <f>VLOOKUP($B200,'[1]Plant data'!$A$1:$AB$315,16,0)</f>
        <v>NA</v>
      </c>
      <c r="AI200">
        <f>VLOOKUP($B200,'[1]Plant data'!$A$1:$AB$315,17,0)</f>
        <v>0.36819721900926922</v>
      </c>
      <c r="AJ200" t="str">
        <f>VLOOKUP($B200,'[1]Plant data'!$A$1:$AB$315,18,0)</f>
        <v>Castro &amp; Galetti 2004, Cazetta 2007, Erica&amp;Wesley, Intervales_morfo, Mikich 2002, Santana et al. 2013, Alves 2008</v>
      </c>
      <c r="AK200">
        <f>VLOOKUP($B200,'[1]Plant data'!$A$1:$AB$315,19,0)</f>
        <v>0.67774999999999996</v>
      </c>
      <c r="AL200">
        <f>VLOOKUP($B200,'[1]Plant data'!$A$1:$AB$315,20,0)</f>
        <v>0.13617499999999999</v>
      </c>
      <c r="AM200">
        <f>VLOOKUP($B200,'[1]Plant data'!$A$1:$AB$315,21,0)</f>
        <v>5.0733332999999999E-2</v>
      </c>
      <c r="AN200">
        <f>VLOOKUP($B200,'[1]Plant data'!$A$1:$AB$315,22,0)</f>
        <v>3.65E-3</v>
      </c>
      <c r="AO200">
        <f>VLOOKUP($B200,'[1]Plant data'!$A$1:$AB$315,23,0)</f>
        <v>0.182</v>
      </c>
      <c r="AP200" t="str">
        <f>VLOOKUP($B200,'[1]Plant data'!$A$1:$AB$315,24,0)</f>
        <v>NA</v>
      </c>
      <c r="AQ200">
        <f>VLOOKUP($B200,'[1]Plant data'!$A$1:$AB$315,25,0)</f>
        <v>0.69899999999999995</v>
      </c>
      <c r="AR200">
        <f>VLOOKUP($B200,'[1]Plant data'!$A$1:$AB$315,26,0)</f>
        <v>2.7E-2</v>
      </c>
      <c r="AS200" t="str">
        <f>VLOOKUP($B200,'[1]Plant data'!$A$1:$AB$315,27,0)</f>
        <v>NA</v>
      </c>
      <c r="AT200" t="str">
        <f>VLOOKUP($B200,'[1]Plant data'!$A$1:$AB$315,28,0)</f>
        <v>Cazetta 2007, Erica &amp; Wesley, unpubl., Saibadela, Santana et al. 2013</v>
      </c>
    </row>
    <row r="201" spans="1:46">
      <c r="A201" s="5" t="s">
        <v>50</v>
      </c>
      <c r="B201" s="14" t="s">
        <v>97</v>
      </c>
      <c r="C201" t="s">
        <v>19</v>
      </c>
      <c r="D201" t="s">
        <v>19</v>
      </c>
      <c r="E201" s="8">
        <v>0.12</v>
      </c>
      <c r="F201" s="27" t="s">
        <v>19</v>
      </c>
      <c r="G201" s="9">
        <v>1.29</v>
      </c>
      <c r="H201" s="9"/>
      <c r="I201" s="8">
        <f t="shared" si="18"/>
        <v>0.15479999999999999</v>
      </c>
      <c r="J201" t="s">
        <v>143</v>
      </c>
      <c r="K201" s="25" t="s">
        <v>19</v>
      </c>
      <c r="L201" t="s">
        <v>22</v>
      </c>
      <c r="M201" t="s">
        <v>47</v>
      </c>
      <c r="N201" s="11">
        <v>69.5</v>
      </c>
      <c r="O201" s="11">
        <v>13.253214290000001</v>
      </c>
      <c r="P201" t="s">
        <v>48</v>
      </c>
      <c r="Q201" t="s">
        <v>25</v>
      </c>
      <c r="R201" t="s">
        <v>26</v>
      </c>
      <c r="S201" t="s">
        <v>31</v>
      </c>
      <c r="T201" t="str">
        <f>VLOOKUP(B201,'[1]Plant data'!$A$1:$AB$315,2,0)</f>
        <v>Arecaceae</v>
      </c>
      <c r="U201" t="str">
        <f>VLOOKUP($B201,'[1]Plant data'!$A$1:$AB$315,3,0)</f>
        <v>NA</v>
      </c>
      <c r="V201" t="str">
        <f>VLOOKUP($B201,'[1]Plant data'!$A$1:$AB$315,4,0)</f>
        <v>black</v>
      </c>
      <c r="W201" t="str">
        <f>VLOOKUP($B201,'[1]Plant data'!$A$1:$AB$315,5,0)</f>
        <v>YES</v>
      </c>
      <c r="X201">
        <f>VLOOKUP($B201,'[1]Plant data'!$A$1:$AB$315,6,0)</f>
        <v>13.294285714285715</v>
      </c>
      <c r="Y201">
        <f>VLOOKUP($B201,'[1]Plant data'!$A$1:$AB$315,7,0)</f>
        <v>12.980000000000002</v>
      </c>
      <c r="Z201">
        <f>VLOOKUP($B201,'[1]Plant data'!$A$1:$AB$315,8,0)</f>
        <v>11.3575</v>
      </c>
      <c r="AA201">
        <f>VLOOKUP($B201,'[1]Plant data'!$A$1:$AB$315,9,0)</f>
        <v>11.62275</v>
      </c>
      <c r="AB201">
        <f>VLOOKUP($B201,'[1]Plant data'!$A$1:$AB$315,10,0)</f>
        <v>1.4212800000000001</v>
      </c>
      <c r="AC201">
        <f>VLOOKUP($B201,'[1]Plant data'!$A$1:$AB$315,11,0)</f>
        <v>0.46</v>
      </c>
      <c r="AD201">
        <f>VLOOKUP($B201,'[1]Plant data'!$A$1:$AB$315,12,0)</f>
        <v>1.06515</v>
      </c>
      <c r="AE201">
        <f>VLOOKUP($B201,'[1]Plant data'!$A$1:$AB$315,13,0)</f>
        <v>0.32305000000000006</v>
      </c>
      <c r="AF201">
        <f>VLOOKUP($B201,'[1]Plant data'!$A$1:$AB$315,14,0)</f>
        <v>0.96343333333333325</v>
      </c>
      <c r="AG201">
        <f>VLOOKUP($B201,'[1]Plant data'!$A$1:$AB$315,15,0)</f>
        <v>1</v>
      </c>
      <c r="AH201" t="str">
        <f>VLOOKUP($B201,'[1]Plant data'!$A$1:$AB$315,16,0)</f>
        <v>NA</v>
      </c>
      <c r="AI201">
        <f>VLOOKUP($B201,'[1]Plant data'!$A$1:$AB$315,17,0)</f>
        <v>0.36819721900926922</v>
      </c>
      <c r="AJ201" t="str">
        <f>VLOOKUP($B201,'[1]Plant data'!$A$1:$AB$315,18,0)</f>
        <v>Castro &amp; Galetti 2004, Cazetta 2007, Erica&amp;Wesley, Intervales_morfo, Mikich 2002, Santana et al. 2013, Alves 2008</v>
      </c>
      <c r="AK201">
        <f>VLOOKUP($B201,'[1]Plant data'!$A$1:$AB$315,19,0)</f>
        <v>0.67774999999999996</v>
      </c>
      <c r="AL201">
        <f>VLOOKUP($B201,'[1]Plant data'!$A$1:$AB$315,20,0)</f>
        <v>0.13617499999999999</v>
      </c>
      <c r="AM201">
        <f>VLOOKUP($B201,'[1]Plant data'!$A$1:$AB$315,21,0)</f>
        <v>5.0733332999999999E-2</v>
      </c>
      <c r="AN201">
        <f>VLOOKUP($B201,'[1]Plant data'!$A$1:$AB$315,22,0)</f>
        <v>3.65E-3</v>
      </c>
      <c r="AO201">
        <f>VLOOKUP($B201,'[1]Plant data'!$A$1:$AB$315,23,0)</f>
        <v>0.182</v>
      </c>
      <c r="AP201" t="str">
        <f>VLOOKUP($B201,'[1]Plant data'!$A$1:$AB$315,24,0)</f>
        <v>NA</v>
      </c>
      <c r="AQ201">
        <f>VLOOKUP($B201,'[1]Plant data'!$A$1:$AB$315,25,0)</f>
        <v>0.69899999999999995</v>
      </c>
      <c r="AR201">
        <f>VLOOKUP($B201,'[1]Plant data'!$A$1:$AB$315,26,0)</f>
        <v>2.7E-2</v>
      </c>
      <c r="AS201" t="str">
        <f>VLOOKUP($B201,'[1]Plant data'!$A$1:$AB$315,27,0)</f>
        <v>NA</v>
      </c>
      <c r="AT201" t="str">
        <f>VLOOKUP($B201,'[1]Plant data'!$A$1:$AB$315,28,0)</f>
        <v>Cazetta 2007, Erica &amp; Wesley, unpubl., Saibadela, Santana et al. 2013</v>
      </c>
    </row>
    <row r="202" spans="1:46">
      <c r="A202" s="5" t="s">
        <v>96</v>
      </c>
      <c r="B202" s="15" t="s">
        <v>97</v>
      </c>
      <c r="C202" s="7">
        <v>2</v>
      </c>
      <c r="D202" s="7">
        <v>250</v>
      </c>
      <c r="E202" s="8">
        <f>C202/250</f>
        <v>8.0000000000000002E-3</v>
      </c>
      <c r="F202" s="8" t="s">
        <v>19</v>
      </c>
      <c r="G202" s="41">
        <v>8.9700000000000006</v>
      </c>
      <c r="H202" s="41"/>
      <c r="I202" s="8">
        <f t="shared" si="18"/>
        <v>7.1760000000000004E-2</v>
      </c>
      <c r="J202" s="24" t="s">
        <v>146</v>
      </c>
      <c r="K202" s="25" t="s">
        <v>147</v>
      </c>
      <c r="L202" t="s">
        <v>100</v>
      </c>
      <c r="M202" t="s">
        <v>101</v>
      </c>
      <c r="N202" s="11">
        <v>1770</v>
      </c>
      <c r="O202" s="11">
        <v>22.349</v>
      </c>
      <c r="P202" t="s">
        <v>48</v>
      </c>
      <c r="Q202" t="s">
        <v>25</v>
      </c>
      <c r="R202" t="s">
        <v>26</v>
      </c>
      <c r="S202" t="s">
        <v>27</v>
      </c>
      <c r="T202" t="str">
        <f>VLOOKUP(B202,'[1]Plant data'!$A$1:$AB$315,2,0)</f>
        <v>Arecaceae</v>
      </c>
      <c r="U202" t="str">
        <f>VLOOKUP($B202,'[1]Plant data'!$A$1:$AB$315,3,0)</f>
        <v>NA</v>
      </c>
      <c r="V202" t="str">
        <f>VLOOKUP($B202,'[1]Plant data'!$A$1:$AB$315,4,0)</f>
        <v>black</v>
      </c>
      <c r="W202" t="str">
        <f>VLOOKUP($B202,'[1]Plant data'!$A$1:$AB$315,5,0)</f>
        <v>YES</v>
      </c>
      <c r="X202">
        <f>VLOOKUP($B202,'[1]Plant data'!$A$1:$AB$315,6,0)</f>
        <v>13.294285714285715</v>
      </c>
      <c r="Y202">
        <f>VLOOKUP($B202,'[1]Plant data'!$A$1:$AB$315,7,0)</f>
        <v>12.980000000000002</v>
      </c>
      <c r="Z202">
        <f>VLOOKUP($B202,'[1]Plant data'!$A$1:$AB$315,8,0)</f>
        <v>11.3575</v>
      </c>
      <c r="AA202">
        <f>VLOOKUP($B202,'[1]Plant data'!$A$1:$AB$315,9,0)</f>
        <v>11.62275</v>
      </c>
      <c r="AB202">
        <f>VLOOKUP($B202,'[1]Plant data'!$A$1:$AB$315,10,0)</f>
        <v>1.4212800000000001</v>
      </c>
      <c r="AC202">
        <f>VLOOKUP($B202,'[1]Plant data'!$A$1:$AB$315,11,0)</f>
        <v>0.46</v>
      </c>
      <c r="AD202">
        <f>VLOOKUP($B202,'[1]Plant data'!$A$1:$AB$315,12,0)</f>
        <v>1.06515</v>
      </c>
      <c r="AE202">
        <f>VLOOKUP($B202,'[1]Plant data'!$A$1:$AB$315,13,0)</f>
        <v>0.32305000000000006</v>
      </c>
      <c r="AF202">
        <f>VLOOKUP($B202,'[1]Plant data'!$A$1:$AB$315,14,0)</f>
        <v>0.96343333333333325</v>
      </c>
      <c r="AG202">
        <f>VLOOKUP($B202,'[1]Plant data'!$A$1:$AB$315,15,0)</f>
        <v>1</v>
      </c>
      <c r="AH202" t="str">
        <f>VLOOKUP($B202,'[1]Plant data'!$A$1:$AB$315,16,0)</f>
        <v>NA</v>
      </c>
      <c r="AI202">
        <f>VLOOKUP($B202,'[1]Plant data'!$A$1:$AB$315,17,0)</f>
        <v>0.36819721900926922</v>
      </c>
      <c r="AJ202" t="str">
        <f>VLOOKUP($B202,'[1]Plant data'!$A$1:$AB$315,18,0)</f>
        <v>Castro &amp; Galetti 2004, Cazetta 2007, Erica&amp;Wesley, Intervales_morfo, Mikich 2002, Santana et al. 2013, Alves 2008</v>
      </c>
      <c r="AK202">
        <f>VLOOKUP($B202,'[1]Plant data'!$A$1:$AB$315,19,0)</f>
        <v>0.67774999999999996</v>
      </c>
      <c r="AL202">
        <f>VLOOKUP($B202,'[1]Plant data'!$A$1:$AB$315,20,0)</f>
        <v>0.13617499999999999</v>
      </c>
      <c r="AM202">
        <f>VLOOKUP($B202,'[1]Plant data'!$A$1:$AB$315,21,0)</f>
        <v>5.0733332999999999E-2</v>
      </c>
      <c r="AN202">
        <f>VLOOKUP($B202,'[1]Plant data'!$A$1:$AB$315,22,0)</f>
        <v>3.65E-3</v>
      </c>
      <c r="AO202">
        <f>VLOOKUP($B202,'[1]Plant data'!$A$1:$AB$315,23,0)</f>
        <v>0.182</v>
      </c>
      <c r="AP202" t="str">
        <f>VLOOKUP($B202,'[1]Plant data'!$A$1:$AB$315,24,0)</f>
        <v>NA</v>
      </c>
      <c r="AQ202">
        <f>VLOOKUP($B202,'[1]Plant data'!$A$1:$AB$315,25,0)</f>
        <v>0.69899999999999995</v>
      </c>
      <c r="AR202">
        <f>VLOOKUP($B202,'[1]Plant data'!$A$1:$AB$315,26,0)</f>
        <v>2.7E-2</v>
      </c>
      <c r="AS202" t="str">
        <f>VLOOKUP($B202,'[1]Plant data'!$A$1:$AB$315,27,0)</f>
        <v>NA</v>
      </c>
      <c r="AT202" t="str">
        <f>VLOOKUP($B202,'[1]Plant data'!$A$1:$AB$315,28,0)</f>
        <v>Cazetta 2007, Erica &amp; Wesley, unpubl., Saibadela, Santana et al. 2013</v>
      </c>
    </row>
    <row r="203" spans="1:46">
      <c r="A203" s="5" t="s">
        <v>46</v>
      </c>
      <c r="B203" s="33" t="s">
        <v>97</v>
      </c>
      <c r="C203">
        <v>2</v>
      </c>
      <c r="D203" s="7">
        <v>250</v>
      </c>
      <c r="E203" s="8">
        <f>C203/250</f>
        <v>8.0000000000000002E-3</v>
      </c>
      <c r="F203" s="8" t="s">
        <v>19</v>
      </c>
      <c r="G203" s="41">
        <v>2.08</v>
      </c>
      <c r="H203" s="41"/>
      <c r="I203" s="8">
        <f t="shared" si="18"/>
        <v>1.6640000000000002E-2</v>
      </c>
      <c r="J203" s="25" t="s">
        <v>146</v>
      </c>
      <c r="K203" s="25" t="s">
        <v>147</v>
      </c>
      <c r="L203" t="s">
        <v>22</v>
      </c>
      <c r="M203" t="s">
        <v>47</v>
      </c>
      <c r="N203" s="11">
        <v>54</v>
      </c>
      <c r="O203" s="11">
        <v>11.14875</v>
      </c>
      <c r="P203" t="s">
        <v>48</v>
      </c>
      <c r="Q203" t="s">
        <v>49</v>
      </c>
      <c r="R203" t="s">
        <v>26</v>
      </c>
      <c r="S203" t="s">
        <v>31</v>
      </c>
      <c r="T203" t="str">
        <f>VLOOKUP(B203,'[1]Plant data'!$A$1:$AB$315,2,0)</f>
        <v>Arecaceae</v>
      </c>
      <c r="U203" t="str">
        <f>VLOOKUP($B203,'[1]Plant data'!$A$1:$AB$315,3,0)</f>
        <v>NA</v>
      </c>
      <c r="V203" t="str">
        <f>VLOOKUP($B203,'[1]Plant data'!$A$1:$AB$315,4,0)</f>
        <v>black</v>
      </c>
      <c r="W203" t="str">
        <f>VLOOKUP($B203,'[1]Plant data'!$A$1:$AB$315,5,0)</f>
        <v>YES</v>
      </c>
      <c r="X203">
        <f>VLOOKUP($B203,'[1]Plant data'!$A$1:$AB$315,6,0)</f>
        <v>13.294285714285715</v>
      </c>
      <c r="Y203">
        <f>VLOOKUP($B203,'[1]Plant data'!$A$1:$AB$315,7,0)</f>
        <v>12.980000000000002</v>
      </c>
      <c r="Z203">
        <f>VLOOKUP($B203,'[1]Plant data'!$A$1:$AB$315,8,0)</f>
        <v>11.3575</v>
      </c>
      <c r="AA203">
        <f>VLOOKUP($B203,'[1]Plant data'!$A$1:$AB$315,9,0)</f>
        <v>11.62275</v>
      </c>
      <c r="AB203">
        <f>VLOOKUP($B203,'[1]Plant data'!$A$1:$AB$315,10,0)</f>
        <v>1.4212800000000001</v>
      </c>
      <c r="AC203">
        <f>VLOOKUP($B203,'[1]Plant data'!$A$1:$AB$315,11,0)</f>
        <v>0.46</v>
      </c>
      <c r="AD203">
        <f>VLOOKUP($B203,'[1]Plant data'!$A$1:$AB$315,12,0)</f>
        <v>1.06515</v>
      </c>
      <c r="AE203">
        <f>VLOOKUP($B203,'[1]Plant data'!$A$1:$AB$315,13,0)</f>
        <v>0.32305000000000006</v>
      </c>
      <c r="AF203">
        <f>VLOOKUP($B203,'[1]Plant data'!$A$1:$AB$315,14,0)</f>
        <v>0.96343333333333325</v>
      </c>
      <c r="AG203">
        <f>VLOOKUP($B203,'[1]Plant data'!$A$1:$AB$315,15,0)</f>
        <v>1</v>
      </c>
      <c r="AH203" t="str">
        <f>VLOOKUP($B203,'[1]Plant data'!$A$1:$AB$315,16,0)</f>
        <v>NA</v>
      </c>
      <c r="AI203">
        <f>VLOOKUP($B203,'[1]Plant data'!$A$1:$AB$315,17,0)</f>
        <v>0.36819721900926922</v>
      </c>
      <c r="AJ203" t="str">
        <f>VLOOKUP($B203,'[1]Plant data'!$A$1:$AB$315,18,0)</f>
        <v>Castro &amp; Galetti 2004, Cazetta 2007, Erica&amp;Wesley, Intervales_morfo, Mikich 2002, Santana et al. 2013, Alves 2008</v>
      </c>
      <c r="AK203">
        <f>VLOOKUP($B203,'[1]Plant data'!$A$1:$AB$315,19,0)</f>
        <v>0.67774999999999996</v>
      </c>
      <c r="AL203">
        <f>VLOOKUP($B203,'[1]Plant data'!$A$1:$AB$315,20,0)</f>
        <v>0.13617499999999999</v>
      </c>
      <c r="AM203">
        <f>VLOOKUP($B203,'[1]Plant data'!$A$1:$AB$315,21,0)</f>
        <v>5.0733332999999999E-2</v>
      </c>
      <c r="AN203">
        <f>VLOOKUP($B203,'[1]Plant data'!$A$1:$AB$315,22,0)</f>
        <v>3.65E-3</v>
      </c>
      <c r="AO203">
        <f>VLOOKUP($B203,'[1]Plant data'!$A$1:$AB$315,23,0)</f>
        <v>0.182</v>
      </c>
      <c r="AP203" t="str">
        <f>VLOOKUP($B203,'[1]Plant data'!$A$1:$AB$315,24,0)</f>
        <v>NA</v>
      </c>
      <c r="AQ203">
        <f>VLOOKUP($B203,'[1]Plant data'!$A$1:$AB$315,25,0)</f>
        <v>0.69899999999999995</v>
      </c>
      <c r="AR203">
        <f>VLOOKUP($B203,'[1]Plant data'!$A$1:$AB$315,26,0)</f>
        <v>2.7E-2</v>
      </c>
      <c r="AS203" t="str">
        <f>VLOOKUP($B203,'[1]Plant data'!$A$1:$AB$315,27,0)</f>
        <v>NA</v>
      </c>
      <c r="AT203" t="str">
        <f>VLOOKUP($B203,'[1]Plant data'!$A$1:$AB$315,28,0)</f>
        <v>Cazetta 2007, Erica &amp; Wesley, unpubl., Saibadela, Santana et al. 2013</v>
      </c>
    </row>
    <row r="204" spans="1:46">
      <c r="A204" s="5" t="s">
        <v>110</v>
      </c>
      <c r="B204" s="32" t="s">
        <v>97</v>
      </c>
      <c r="C204">
        <v>3</v>
      </c>
      <c r="D204" t="s">
        <v>19</v>
      </c>
      <c r="E204" s="9" t="s">
        <v>19</v>
      </c>
      <c r="F204" s="9" t="s">
        <v>19</v>
      </c>
      <c r="G204" s="41">
        <v>41.982380952381</v>
      </c>
      <c r="H204" s="41"/>
      <c r="I204" s="8" t="s">
        <v>19</v>
      </c>
      <c r="J204" s="25" t="s">
        <v>157</v>
      </c>
      <c r="K204" t="s">
        <v>123</v>
      </c>
      <c r="L204" t="s">
        <v>100</v>
      </c>
      <c r="M204" t="s">
        <v>101</v>
      </c>
      <c r="N204" s="11">
        <v>1250</v>
      </c>
      <c r="O204" s="11">
        <v>19.114999999999998</v>
      </c>
      <c r="P204" t="s">
        <v>48</v>
      </c>
      <c r="Q204" t="s">
        <v>95</v>
      </c>
      <c r="R204" t="s">
        <v>114</v>
      </c>
      <c r="S204" t="s">
        <v>27</v>
      </c>
      <c r="T204" t="str">
        <f>VLOOKUP(B204,'[1]Plant data'!$A$1:$AB$315,2,0)</f>
        <v>Arecaceae</v>
      </c>
      <c r="U204" t="str">
        <f>VLOOKUP($B204,'[1]Plant data'!$A$1:$AB$315,3,0)</f>
        <v>NA</v>
      </c>
      <c r="V204" t="str">
        <f>VLOOKUP($B204,'[1]Plant data'!$A$1:$AB$315,4,0)</f>
        <v>black</v>
      </c>
      <c r="W204" t="str">
        <f>VLOOKUP($B204,'[1]Plant data'!$A$1:$AB$315,5,0)</f>
        <v>YES</v>
      </c>
      <c r="X204">
        <f>VLOOKUP($B204,'[1]Plant data'!$A$1:$AB$315,6,0)</f>
        <v>13.294285714285715</v>
      </c>
      <c r="Y204">
        <f>VLOOKUP($B204,'[1]Plant data'!$A$1:$AB$315,7,0)</f>
        <v>12.980000000000002</v>
      </c>
      <c r="Z204">
        <f>VLOOKUP($B204,'[1]Plant data'!$A$1:$AB$315,8,0)</f>
        <v>11.3575</v>
      </c>
      <c r="AA204">
        <f>VLOOKUP($B204,'[1]Plant data'!$A$1:$AB$315,9,0)</f>
        <v>11.62275</v>
      </c>
      <c r="AB204">
        <f>VLOOKUP($B204,'[1]Plant data'!$A$1:$AB$315,10,0)</f>
        <v>1.4212800000000001</v>
      </c>
      <c r="AC204">
        <f>VLOOKUP($B204,'[1]Plant data'!$A$1:$AB$315,11,0)</f>
        <v>0.46</v>
      </c>
      <c r="AD204">
        <f>VLOOKUP($B204,'[1]Plant data'!$A$1:$AB$315,12,0)</f>
        <v>1.06515</v>
      </c>
      <c r="AE204">
        <f>VLOOKUP($B204,'[1]Plant data'!$A$1:$AB$315,13,0)</f>
        <v>0.32305000000000006</v>
      </c>
      <c r="AF204">
        <f>VLOOKUP($B204,'[1]Plant data'!$A$1:$AB$315,14,0)</f>
        <v>0.96343333333333325</v>
      </c>
      <c r="AG204">
        <f>VLOOKUP($B204,'[1]Plant data'!$A$1:$AB$315,15,0)</f>
        <v>1</v>
      </c>
      <c r="AH204" t="str">
        <f>VLOOKUP($B204,'[1]Plant data'!$A$1:$AB$315,16,0)</f>
        <v>NA</v>
      </c>
      <c r="AI204">
        <f>VLOOKUP($B204,'[1]Plant data'!$A$1:$AB$315,17,0)</f>
        <v>0.36819721900926922</v>
      </c>
      <c r="AJ204" t="str">
        <f>VLOOKUP($B204,'[1]Plant data'!$A$1:$AB$315,18,0)</f>
        <v>Castro &amp; Galetti 2004, Cazetta 2007, Erica&amp;Wesley, Intervales_morfo, Mikich 2002, Santana et al. 2013, Alves 2008</v>
      </c>
      <c r="AK204">
        <f>VLOOKUP($B204,'[1]Plant data'!$A$1:$AB$315,19,0)</f>
        <v>0.67774999999999996</v>
      </c>
      <c r="AL204">
        <f>VLOOKUP($B204,'[1]Plant data'!$A$1:$AB$315,20,0)</f>
        <v>0.13617499999999999</v>
      </c>
      <c r="AM204">
        <f>VLOOKUP($B204,'[1]Plant data'!$A$1:$AB$315,21,0)</f>
        <v>5.0733332999999999E-2</v>
      </c>
      <c r="AN204">
        <f>VLOOKUP($B204,'[1]Plant data'!$A$1:$AB$315,22,0)</f>
        <v>3.65E-3</v>
      </c>
      <c r="AO204">
        <f>VLOOKUP($B204,'[1]Plant data'!$A$1:$AB$315,23,0)</f>
        <v>0.182</v>
      </c>
      <c r="AP204" t="str">
        <f>VLOOKUP($B204,'[1]Plant data'!$A$1:$AB$315,24,0)</f>
        <v>NA</v>
      </c>
      <c r="AQ204">
        <f>VLOOKUP($B204,'[1]Plant data'!$A$1:$AB$315,25,0)</f>
        <v>0.69899999999999995</v>
      </c>
      <c r="AR204">
        <f>VLOOKUP($B204,'[1]Plant data'!$A$1:$AB$315,26,0)</f>
        <v>2.7E-2</v>
      </c>
      <c r="AS204" t="str">
        <f>VLOOKUP($B204,'[1]Plant data'!$A$1:$AB$315,27,0)</f>
        <v>NA</v>
      </c>
      <c r="AT204" t="str">
        <f>VLOOKUP($B204,'[1]Plant data'!$A$1:$AB$315,28,0)</f>
        <v>Cazetta 2007, Erica &amp; Wesley, unpubl., Saibadela, Santana et al. 2013</v>
      </c>
    </row>
    <row r="205" spans="1:46">
      <c r="A205" s="5" t="s">
        <v>110</v>
      </c>
      <c r="B205" s="32" t="s">
        <v>97</v>
      </c>
      <c r="C205">
        <v>3</v>
      </c>
      <c r="D205">
        <v>750</v>
      </c>
      <c r="E205" s="8">
        <f>3/750</f>
        <v>4.0000000000000001E-3</v>
      </c>
      <c r="F205" s="27" t="s">
        <v>19</v>
      </c>
      <c r="G205" s="41">
        <v>41.982380952381</v>
      </c>
      <c r="H205" s="41"/>
      <c r="I205" s="8">
        <f t="shared" ref="I205:I238" si="19">E205*G205</f>
        <v>0.167929523809524</v>
      </c>
      <c r="J205" s="10" t="s">
        <v>208</v>
      </c>
      <c r="K205" t="s">
        <v>123</v>
      </c>
      <c r="L205" t="s">
        <v>100</v>
      </c>
      <c r="M205" t="s">
        <v>101</v>
      </c>
      <c r="N205" s="11">
        <v>1250</v>
      </c>
      <c r="O205" s="11">
        <v>19.114999999999998</v>
      </c>
      <c r="P205" t="s">
        <v>48</v>
      </c>
      <c r="Q205" t="s">
        <v>95</v>
      </c>
      <c r="R205" t="s">
        <v>114</v>
      </c>
      <c r="S205" t="s">
        <v>27</v>
      </c>
      <c r="T205" t="str">
        <f>VLOOKUP(B205,'[1]Plant data'!$A$1:$AB$315,2,0)</f>
        <v>Arecaceae</v>
      </c>
      <c r="U205" t="str">
        <f>VLOOKUP($B205,'[1]Plant data'!$A$1:$AB$315,3,0)</f>
        <v>NA</v>
      </c>
      <c r="V205" t="str">
        <f>VLOOKUP($B205,'[1]Plant data'!$A$1:$AB$315,4,0)</f>
        <v>black</v>
      </c>
      <c r="W205" t="str">
        <f>VLOOKUP($B205,'[1]Plant data'!$A$1:$AB$315,5,0)</f>
        <v>YES</v>
      </c>
      <c r="X205">
        <f>VLOOKUP($B205,'[1]Plant data'!$A$1:$AB$315,6,0)</f>
        <v>13.294285714285715</v>
      </c>
      <c r="Y205">
        <f>VLOOKUP($B205,'[1]Plant data'!$A$1:$AB$315,7,0)</f>
        <v>12.980000000000002</v>
      </c>
      <c r="Z205">
        <f>VLOOKUP($B205,'[1]Plant data'!$A$1:$AB$315,8,0)</f>
        <v>11.3575</v>
      </c>
      <c r="AA205">
        <f>VLOOKUP($B205,'[1]Plant data'!$A$1:$AB$315,9,0)</f>
        <v>11.62275</v>
      </c>
      <c r="AB205">
        <f>VLOOKUP($B205,'[1]Plant data'!$A$1:$AB$315,10,0)</f>
        <v>1.4212800000000001</v>
      </c>
      <c r="AC205">
        <f>VLOOKUP($B205,'[1]Plant data'!$A$1:$AB$315,11,0)</f>
        <v>0.46</v>
      </c>
      <c r="AD205">
        <f>VLOOKUP($B205,'[1]Plant data'!$A$1:$AB$315,12,0)</f>
        <v>1.06515</v>
      </c>
      <c r="AE205">
        <f>VLOOKUP($B205,'[1]Plant data'!$A$1:$AB$315,13,0)</f>
        <v>0.32305000000000006</v>
      </c>
      <c r="AF205">
        <f>VLOOKUP($B205,'[1]Plant data'!$A$1:$AB$315,14,0)</f>
        <v>0.96343333333333325</v>
      </c>
      <c r="AG205">
        <f>VLOOKUP($B205,'[1]Plant data'!$A$1:$AB$315,15,0)</f>
        <v>1</v>
      </c>
      <c r="AH205" t="str">
        <f>VLOOKUP($B205,'[1]Plant data'!$A$1:$AB$315,16,0)</f>
        <v>NA</v>
      </c>
      <c r="AI205">
        <f>VLOOKUP($B205,'[1]Plant data'!$A$1:$AB$315,17,0)</f>
        <v>0.36819721900926922</v>
      </c>
      <c r="AJ205" t="str">
        <f>VLOOKUP($B205,'[1]Plant data'!$A$1:$AB$315,18,0)</f>
        <v>Castro &amp; Galetti 2004, Cazetta 2007, Erica&amp;Wesley, Intervales_morfo, Mikich 2002, Santana et al. 2013, Alves 2008</v>
      </c>
      <c r="AK205">
        <f>VLOOKUP($B205,'[1]Plant data'!$A$1:$AB$315,19,0)</f>
        <v>0.67774999999999996</v>
      </c>
      <c r="AL205">
        <f>VLOOKUP($B205,'[1]Plant data'!$A$1:$AB$315,20,0)</f>
        <v>0.13617499999999999</v>
      </c>
      <c r="AM205">
        <f>VLOOKUP($B205,'[1]Plant data'!$A$1:$AB$315,21,0)</f>
        <v>5.0733332999999999E-2</v>
      </c>
      <c r="AN205">
        <f>VLOOKUP($B205,'[1]Plant data'!$A$1:$AB$315,22,0)</f>
        <v>3.65E-3</v>
      </c>
      <c r="AO205">
        <f>VLOOKUP($B205,'[1]Plant data'!$A$1:$AB$315,23,0)</f>
        <v>0.182</v>
      </c>
      <c r="AP205" t="str">
        <f>VLOOKUP($B205,'[1]Plant data'!$A$1:$AB$315,24,0)</f>
        <v>NA</v>
      </c>
      <c r="AQ205">
        <f>VLOOKUP($B205,'[1]Plant data'!$A$1:$AB$315,25,0)</f>
        <v>0.69899999999999995</v>
      </c>
      <c r="AR205">
        <f>VLOOKUP($B205,'[1]Plant data'!$A$1:$AB$315,26,0)</f>
        <v>2.7E-2</v>
      </c>
      <c r="AS205" t="str">
        <f>VLOOKUP($B205,'[1]Plant data'!$A$1:$AB$315,27,0)</f>
        <v>NA</v>
      </c>
      <c r="AT205" t="str">
        <f>VLOOKUP($B205,'[1]Plant data'!$A$1:$AB$315,28,0)</f>
        <v>Cazetta 2007, Erica &amp; Wesley, unpubl., Saibadela, Santana et al. 2013</v>
      </c>
    </row>
    <row r="206" spans="1:46">
      <c r="A206" s="5" t="s">
        <v>110</v>
      </c>
      <c r="B206" s="32" t="s">
        <v>97</v>
      </c>
      <c r="C206">
        <v>3</v>
      </c>
      <c r="D206">
        <v>330</v>
      </c>
      <c r="E206" s="8">
        <f>(C206/330)*2</f>
        <v>1.8181818181818181E-2</v>
      </c>
      <c r="F206" s="27" t="s">
        <v>19</v>
      </c>
      <c r="G206" s="9">
        <v>85</v>
      </c>
      <c r="H206" s="9"/>
      <c r="I206" s="8">
        <f t="shared" si="19"/>
        <v>1.5454545454545454</v>
      </c>
      <c r="J206" t="s">
        <v>208</v>
      </c>
      <c r="K206" t="s">
        <v>123</v>
      </c>
      <c r="L206" t="s">
        <v>100</v>
      </c>
      <c r="M206" t="s">
        <v>101</v>
      </c>
      <c r="N206" s="11">
        <v>1250</v>
      </c>
      <c r="O206" s="11">
        <v>19.114999999999998</v>
      </c>
      <c r="P206" t="s">
        <v>48</v>
      </c>
      <c r="Q206" t="s">
        <v>95</v>
      </c>
      <c r="R206" t="s">
        <v>114</v>
      </c>
      <c r="S206" t="s">
        <v>27</v>
      </c>
      <c r="T206" t="str">
        <f>VLOOKUP(B206,'[1]Plant data'!$A$1:$AB$315,2,0)</f>
        <v>Arecaceae</v>
      </c>
      <c r="U206" t="str">
        <f>VLOOKUP($B206,'[1]Plant data'!$A$1:$AB$315,3,0)</f>
        <v>NA</v>
      </c>
      <c r="V206" t="str">
        <f>VLOOKUP($B206,'[1]Plant data'!$A$1:$AB$315,4,0)</f>
        <v>black</v>
      </c>
      <c r="W206" t="str">
        <f>VLOOKUP($B206,'[1]Plant data'!$A$1:$AB$315,5,0)</f>
        <v>YES</v>
      </c>
      <c r="X206">
        <f>VLOOKUP($B206,'[1]Plant data'!$A$1:$AB$315,6,0)</f>
        <v>13.294285714285715</v>
      </c>
      <c r="Y206">
        <f>VLOOKUP($B206,'[1]Plant data'!$A$1:$AB$315,7,0)</f>
        <v>12.980000000000002</v>
      </c>
      <c r="Z206">
        <f>VLOOKUP($B206,'[1]Plant data'!$A$1:$AB$315,8,0)</f>
        <v>11.3575</v>
      </c>
      <c r="AA206">
        <f>VLOOKUP($B206,'[1]Plant data'!$A$1:$AB$315,9,0)</f>
        <v>11.62275</v>
      </c>
      <c r="AB206">
        <f>VLOOKUP($B206,'[1]Plant data'!$A$1:$AB$315,10,0)</f>
        <v>1.4212800000000001</v>
      </c>
      <c r="AC206">
        <f>VLOOKUP($B206,'[1]Plant data'!$A$1:$AB$315,11,0)</f>
        <v>0.46</v>
      </c>
      <c r="AD206">
        <f>VLOOKUP($B206,'[1]Plant data'!$A$1:$AB$315,12,0)</f>
        <v>1.06515</v>
      </c>
      <c r="AE206">
        <f>VLOOKUP($B206,'[1]Plant data'!$A$1:$AB$315,13,0)</f>
        <v>0.32305000000000006</v>
      </c>
      <c r="AF206">
        <f>VLOOKUP($B206,'[1]Plant data'!$A$1:$AB$315,14,0)</f>
        <v>0.96343333333333325</v>
      </c>
      <c r="AG206">
        <f>VLOOKUP($B206,'[1]Plant data'!$A$1:$AB$315,15,0)</f>
        <v>1</v>
      </c>
      <c r="AH206" t="str">
        <f>VLOOKUP($B206,'[1]Plant data'!$A$1:$AB$315,16,0)</f>
        <v>NA</v>
      </c>
      <c r="AI206">
        <f>VLOOKUP($B206,'[1]Plant data'!$A$1:$AB$315,17,0)</f>
        <v>0.36819721900926922</v>
      </c>
      <c r="AJ206" t="str">
        <f>VLOOKUP($B206,'[1]Plant data'!$A$1:$AB$315,18,0)</f>
        <v>Castro &amp; Galetti 2004, Cazetta 2007, Erica&amp;Wesley, Intervales_morfo, Mikich 2002, Santana et al. 2013, Alves 2008</v>
      </c>
      <c r="AK206">
        <f>VLOOKUP($B206,'[1]Plant data'!$A$1:$AB$315,19,0)</f>
        <v>0.67774999999999996</v>
      </c>
      <c r="AL206">
        <f>VLOOKUP($B206,'[1]Plant data'!$A$1:$AB$315,20,0)</f>
        <v>0.13617499999999999</v>
      </c>
      <c r="AM206">
        <f>VLOOKUP($B206,'[1]Plant data'!$A$1:$AB$315,21,0)</f>
        <v>5.0733332999999999E-2</v>
      </c>
      <c r="AN206">
        <f>VLOOKUP($B206,'[1]Plant data'!$A$1:$AB$315,22,0)</f>
        <v>3.65E-3</v>
      </c>
      <c r="AO206">
        <f>VLOOKUP($B206,'[1]Plant data'!$A$1:$AB$315,23,0)</f>
        <v>0.182</v>
      </c>
      <c r="AP206" t="str">
        <f>VLOOKUP($B206,'[1]Plant data'!$A$1:$AB$315,24,0)</f>
        <v>NA</v>
      </c>
      <c r="AQ206">
        <f>VLOOKUP($B206,'[1]Plant data'!$A$1:$AB$315,25,0)</f>
        <v>0.69899999999999995</v>
      </c>
      <c r="AR206">
        <f>VLOOKUP($B206,'[1]Plant data'!$A$1:$AB$315,26,0)</f>
        <v>2.7E-2</v>
      </c>
      <c r="AS206" t="str">
        <f>VLOOKUP($B206,'[1]Plant data'!$A$1:$AB$315,27,0)</f>
        <v>NA</v>
      </c>
      <c r="AT206" t="str">
        <f>VLOOKUP($B206,'[1]Plant data'!$A$1:$AB$315,28,0)</f>
        <v>Cazetta 2007, Erica &amp; Wesley, unpubl., Saibadela, Santana et al. 2013</v>
      </c>
    </row>
    <row r="207" spans="1:46">
      <c r="A207" s="5" t="s">
        <v>144</v>
      </c>
      <c r="B207" s="34" t="s">
        <v>97</v>
      </c>
      <c r="C207">
        <v>6</v>
      </c>
      <c r="D207">
        <v>750</v>
      </c>
      <c r="E207" s="8">
        <f>C207/750</f>
        <v>8.0000000000000002E-3</v>
      </c>
      <c r="F207" s="27" t="s">
        <v>19</v>
      </c>
      <c r="G207" s="41">
        <v>6.3</v>
      </c>
      <c r="H207" s="41"/>
      <c r="I207" s="8">
        <f t="shared" si="19"/>
        <v>5.04E-2</v>
      </c>
      <c r="J207" t="s">
        <v>208</v>
      </c>
      <c r="K207" t="s">
        <v>123</v>
      </c>
      <c r="L207" t="s">
        <v>93</v>
      </c>
      <c r="M207" t="s">
        <v>94</v>
      </c>
      <c r="N207" s="11">
        <v>146</v>
      </c>
      <c r="O207" s="11">
        <v>23.6</v>
      </c>
      <c r="P207" t="s">
        <v>48</v>
      </c>
      <c r="Q207" t="s">
        <v>25</v>
      </c>
      <c r="R207" t="s">
        <v>145</v>
      </c>
      <c r="S207" t="s">
        <v>27</v>
      </c>
      <c r="T207" t="str">
        <f>VLOOKUP(B207,'[1]Plant data'!$A$1:$AB$315,2,0)</f>
        <v>Arecaceae</v>
      </c>
      <c r="U207" t="str">
        <f>VLOOKUP($B207,'[1]Plant data'!$A$1:$AB$315,3,0)</f>
        <v>NA</v>
      </c>
      <c r="V207" t="str">
        <f>VLOOKUP($B207,'[1]Plant data'!$A$1:$AB$315,4,0)</f>
        <v>black</v>
      </c>
      <c r="W207" t="str">
        <f>VLOOKUP($B207,'[1]Plant data'!$A$1:$AB$315,5,0)</f>
        <v>YES</v>
      </c>
      <c r="X207">
        <f>VLOOKUP($B207,'[1]Plant data'!$A$1:$AB$315,6,0)</f>
        <v>13.294285714285715</v>
      </c>
      <c r="Y207">
        <f>VLOOKUP($B207,'[1]Plant data'!$A$1:$AB$315,7,0)</f>
        <v>12.980000000000002</v>
      </c>
      <c r="Z207">
        <f>VLOOKUP($B207,'[1]Plant data'!$A$1:$AB$315,8,0)</f>
        <v>11.3575</v>
      </c>
      <c r="AA207">
        <f>VLOOKUP($B207,'[1]Plant data'!$A$1:$AB$315,9,0)</f>
        <v>11.62275</v>
      </c>
      <c r="AB207">
        <f>VLOOKUP($B207,'[1]Plant data'!$A$1:$AB$315,10,0)</f>
        <v>1.4212800000000001</v>
      </c>
      <c r="AC207">
        <f>VLOOKUP($B207,'[1]Plant data'!$A$1:$AB$315,11,0)</f>
        <v>0.46</v>
      </c>
      <c r="AD207">
        <f>VLOOKUP($B207,'[1]Plant data'!$A$1:$AB$315,12,0)</f>
        <v>1.06515</v>
      </c>
      <c r="AE207">
        <f>VLOOKUP($B207,'[1]Plant data'!$A$1:$AB$315,13,0)</f>
        <v>0.32305000000000006</v>
      </c>
      <c r="AF207">
        <f>VLOOKUP($B207,'[1]Plant data'!$A$1:$AB$315,14,0)</f>
        <v>0.96343333333333325</v>
      </c>
      <c r="AG207">
        <f>VLOOKUP($B207,'[1]Plant data'!$A$1:$AB$315,15,0)</f>
        <v>1</v>
      </c>
      <c r="AH207" t="str">
        <f>VLOOKUP($B207,'[1]Plant data'!$A$1:$AB$315,16,0)</f>
        <v>NA</v>
      </c>
      <c r="AI207">
        <f>VLOOKUP($B207,'[1]Plant data'!$A$1:$AB$315,17,0)</f>
        <v>0.36819721900926922</v>
      </c>
      <c r="AJ207" t="str">
        <f>VLOOKUP($B207,'[1]Plant data'!$A$1:$AB$315,18,0)</f>
        <v>Castro &amp; Galetti 2004, Cazetta 2007, Erica&amp;Wesley, Intervales_morfo, Mikich 2002, Santana et al. 2013, Alves 2008</v>
      </c>
      <c r="AK207">
        <f>VLOOKUP($B207,'[1]Plant data'!$A$1:$AB$315,19,0)</f>
        <v>0.67774999999999996</v>
      </c>
      <c r="AL207">
        <f>VLOOKUP($B207,'[1]Plant data'!$A$1:$AB$315,20,0)</f>
        <v>0.13617499999999999</v>
      </c>
      <c r="AM207">
        <f>VLOOKUP($B207,'[1]Plant data'!$A$1:$AB$315,21,0)</f>
        <v>5.0733332999999999E-2</v>
      </c>
      <c r="AN207">
        <f>VLOOKUP($B207,'[1]Plant data'!$A$1:$AB$315,22,0)</f>
        <v>3.65E-3</v>
      </c>
      <c r="AO207">
        <f>VLOOKUP($B207,'[1]Plant data'!$A$1:$AB$315,23,0)</f>
        <v>0.182</v>
      </c>
      <c r="AP207" t="str">
        <f>VLOOKUP($B207,'[1]Plant data'!$A$1:$AB$315,24,0)</f>
        <v>NA</v>
      </c>
      <c r="AQ207">
        <f>VLOOKUP($B207,'[1]Plant data'!$A$1:$AB$315,25,0)</f>
        <v>0.69899999999999995</v>
      </c>
      <c r="AR207">
        <f>VLOOKUP($B207,'[1]Plant data'!$A$1:$AB$315,26,0)</f>
        <v>2.7E-2</v>
      </c>
      <c r="AS207" t="str">
        <f>VLOOKUP($B207,'[1]Plant data'!$A$1:$AB$315,27,0)</f>
        <v>NA</v>
      </c>
      <c r="AT207" t="str">
        <f>VLOOKUP($B207,'[1]Plant data'!$A$1:$AB$315,28,0)</f>
        <v>Cazetta 2007, Erica &amp; Wesley, unpubl., Saibadela, Santana et al. 2013</v>
      </c>
    </row>
    <row r="208" spans="1:46">
      <c r="A208" s="5" t="s">
        <v>144</v>
      </c>
      <c r="B208" s="34" t="s">
        <v>97</v>
      </c>
      <c r="C208">
        <v>6</v>
      </c>
      <c r="D208">
        <v>330</v>
      </c>
      <c r="E208" s="8">
        <f>(C208/330)*3</f>
        <v>5.4545454545454543E-2</v>
      </c>
      <c r="F208" s="27" t="s">
        <v>19</v>
      </c>
      <c r="G208" s="9">
        <v>9</v>
      </c>
      <c r="H208" s="9"/>
      <c r="I208" s="8">
        <f t="shared" si="19"/>
        <v>0.49090909090909091</v>
      </c>
      <c r="J208" t="s">
        <v>208</v>
      </c>
      <c r="K208" t="s">
        <v>123</v>
      </c>
      <c r="L208" t="s">
        <v>93</v>
      </c>
      <c r="M208" t="s">
        <v>94</v>
      </c>
      <c r="N208" s="11">
        <v>146</v>
      </c>
      <c r="O208" s="11">
        <v>23.6</v>
      </c>
      <c r="P208" t="s">
        <v>48</v>
      </c>
      <c r="Q208" t="s">
        <v>25</v>
      </c>
      <c r="R208" t="s">
        <v>145</v>
      </c>
      <c r="S208" t="s">
        <v>27</v>
      </c>
      <c r="T208" t="str">
        <f>VLOOKUP(B208,'[1]Plant data'!$A$1:$AB$315,2,0)</f>
        <v>Arecaceae</v>
      </c>
      <c r="U208" t="str">
        <f>VLOOKUP($B208,'[1]Plant data'!$A$1:$AB$315,3,0)</f>
        <v>NA</v>
      </c>
      <c r="V208" t="str">
        <f>VLOOKUP($B208,'[1]Plant data'!$A$1:$AB$315,4,0)</f>
        <v>black</v>
      </c>
      <c r="W208" t="str">
        <f>VLOOKUP($B208,'[1]Plant data'!$A$1:$AB$315,5,0)</f>
        <v>YES</v>
      </c>
      <c r="X208">
        <f>VLOOKUP($B208,'[1]Plant data'!$A$1:$AB$315,6,0)</f>
        <v>13.294285714285715</v>
      </c>
      <c r="Y208">
        <f>VLOOKUP($B208,'[1]Plant data'!$A$1:$AB$315,7,0)</f>
        <v>12.980000000000002</v>
      </c>
      <c r="Z208">
        <f>VLOOKUP($B208,'[1]Plant data'!$A$1:$AB$315,8,0)</f>
        <v>11.3575</v>
      </c>
      <c r="AA208">
        <f>VLOOKUP($B208,'[1]Plant data'!$A$1:$AB$315,9,0)</f>
        <v>11.62275</v>
      </c>
      <c r="AB208">
        <f>VLOOKUP($B208,'[1]Plant data'!$A$1:$AB$315,10,0)</f>
        <v>1.4212800000000001</v>
      </c>
      <c r="AC208">
        <f>VLOOKUP($B208,'[1]Plant data'!$A$1:$AB$315,11,0)</f>
        <v>0.46</v>
      </c>
      <c r="AD208">
        <f>VLOOKUP($B208,'[1]Plant data'!$A$1:$AB$315,12,0)</f>
        <v>1.06515</v>
      </c>
      <c r="AE208">
        <f>VLOOKUP($B208,'[1]Plant data'!$A$1:$AB$315,13,0)</f>
        <v>0.32305000000000006</v>
      </c>
      <c r="AF208">
        <f>VLOOKUP($B208,'[1]Plant data'!$A$1:$AB$315,14,0)</f>
        <v>0.96343333333333325</v>
      </c>
      <c r="AG208">
        <f>VLOOKUP($B208,'[1]Plant data'!$A$1:$AB$315,15,0)</f>
        <v>1</v>
      </c>
      <c r="AH208" t="str">
        <f>VLOOKUP($B208,'[1]Plant data'!$A$1:$AB$315,16,0)</f>
        <v>NA</v>
      </c>
      <c r="AI208">
        <f>VLOOKUP($B208,'[1]Plant data'!$A$1:$AB$315,17,0)</f>
        <v>0.36819721900926922</v>
      </c>
      <c r="AJ208" t="str">
        <f>VLOOKUP($B208,'[1]Plant data'!$A$1:$AB$315,18,0)</f>
        <v>Castro &amp; Galetti 2004, Cazetta 2007, Erica&amp;Wesley, Intervales_morfo, Mikich 2002, Santana et al. 2013, Alves 2008</v>
      </c>
      <c r="AK208">
        <f>VLOOKUP($B208,'[1]Plant data'!$A$1:$AB$315,19,0)</f>
        <v>0.67774999999999996</v>
      </c>
      <c r="AL208">
        <f>VLOOKUP($B208,'[1]Plant data'!$A$1:$AB$315,20,0)</f>
        <v>0.13617499999999999</v>
      </c>
      <c r="AM208">
        <f>VLOOKUP($B208,'[1]Plant data'!$A$1:$AB$315,21,0)</f>
        <v>5.0733332999999999E-2</v>
      </c>
      <c r="AN208">
        <f>VLOOKUP($B208,'[1]Plant data'!$A$1:$AB$315,22,0)</f>
        <v>3.65E-3</v>
      </c>
      <c r="AO208">
        <f>VLOOKUP($B208,'[1]Plant data'!$A$1:$AB$315,23,0)</f>
        <v>0.182</v>
      </c>
      <c r="AP208" t="str">
        <f>VLOOKUP($B208,'[1]Plant data'!$A$1:$AB$315,24,0)</f>
        <v>NA</v>
      </c>
      <c r="AQ208">
        <f>VLOOKUP($B208,'[1]Plant data'!$A$1:$AB$315,25,0)</f>
        <v>0.69899999999999995</v>
      </c>
      <c r="AR208">
        <f>VLOOKUP($B208,'[1]Plant data'!$A$1:$AB$315,26,0)</f>
        <v>2.7E-2</v>
      </c>
      <c r="AS208" t="str">
        <f>VLOOKUP($B208,'[1]Plant data'!$A$1:$AB$315,27,0)</f>
        <v>NA</v>
      </c>
      <c r="AT208" t="str">
        <f>VLOOKUP($B208,'[1]Plant data'!$A$1:$AB$315,28,0)</f>
        <v>Cazetta 2007, Erica &amp; Wesley, unpubl., Saibadela, Santana et al. 2013</v>
      </c>
    </row>
    <row r="209" spans="1:46">
      <c r="A209" s="5" t="s">
        <v>96</v>
      </c>
      <c r="B209" s="34" t="s">
        <v>97</v>
      </c>
      <c r="C209" s="7">
        <v>3</v>
      </c>
      <c r="D209" s="7">
        <v>750</v>
      </c>
      <c r="E209" s="8">
        <f>C209/750</f>
        <v>4.0000000000000001E-3</v>
      </c>
      <c r="F209" s="27" t="s">
        <v>19</v>
      </c>
      <c r="G209" s="41">
        <v>8.9700000000000006</v>
      </c>
      <c r="H209" s="41"/>
      <c r="I209" s="8">
        <f t="shared" si="19"/>
        <v>3.5880000000000002E-2</v>
      </c>
      <c r="J209" s="10" t="s">
        <v>208</v>
      </c>
      <c r="K209" t="s">
        <v>123</v>
      </c>
      <c r="L209" t="s">
        <v>100</v>
      </c>
      <c r="M209" t="s">
        <v>101</v>
      </c>
      <c r="N209" s="11">
        <v>1770</v>
      </c>
      <c r="O209" s="11">
        <v>22.349</v>
      </c>
      <c r="P209" t="s">
        <v>48</v>
      </c>
      <c r="Q209" t="s">
        <v>25</v>
      </c>
      <c r="R209" t="s">
        <v>26</v>
      </c>
      <c r="S209" t="s">
        <v>27</v>
      </c>
      <c r="T209" t="str">
        <f>VLOOKUP(B209,'[1]Plant data'!$A$1:$AB$315,2,0)</f>
        <v>Arecaceae</v>
      </c>
      <c r="U209" t="str">
        <f>VLOOKUP($B209,'[1]Plant data'!$A$1:$AB$315,3,0)</f>
        <v>NA</v>
      </c>
      <c r="V209" t="str">
        <f>VLOOKUP($B209,'[1]Plant data'!$A$1:$AB$315,4,0)</f>
        <v>black</v>
      </c>
      <c r="W209" t="str">
        <f>VLOOKUP($B209,'[1]Plant data'!$A$1:$AB$315,5,0)</f>
        <v>YES</v>
      </c>
      <c r="X209">
        <f>VLOOKUP($B209,'[1]Plant data'!$A$1:$AB$315,6,0)</f>
        <v>13.294285714285715</v>
      </c>
      <c r="Y209">
        <f>VLOOKUP($B209,'[1]Plant data'!$A$1:$AB$315,7,0)</f>
        <v>12.980000000000002</v>
      </c>
      <c r="Z209">
        <f>VLOOKUP($B209,'[1]Plant data'!$A$1:$AB$315,8,0)</f>
        <v>11.3575</v>
      </c>
      <c r="AA209">
        <f>VLOOKUP($B209,'[1]Plant data'!$A$1:$AB$315,9,0)</f>
        <v>11.62275</v>
      </c>
      <c r="AB209">
        <f>VLOOKUP($B209,'[1]Plant data'!$A$1:$AB$315,10,0)</f>
        <v>1.4212800000000001</v>
      </c>
      <c r="AC209">
        <f>VLOOKUP($B209,'[1]Plant data'!$A$1:$AB$315,11,0)</f>
        <v>0.46</v>
      </c>
      <c r="AD209">
        <f>VLOOKUP($B209,'[1]Plant data'!$A$1:$AB$315,12,0)</f>
        <v>1.06515</v>
      </c>
      <c r="AE209">
        <f>VLOOKUP($B209,'[1]Plant data'!$A$1:$AB$315,13,0)</f>
        <v>0.32305000000000006</v>
      </c>
      <c r="AF209">
        <f>VLOOKUP($B209,'[1]Plant data'!$A$1:$AB$315,14,0)</f>
        <v>0.96343333333333325</v>
      </c>
      <c r="AG209">
        <f>VLOOKUP($B209,'[1]Plant data'!$A$1:$AB$315,15,0)</f>
        <v>1</v>
      </c>
      <c r="AH209" t="str">
        <f>VLOOKUP($B209,'[1]Plant data'!$A$1:$AB$315,16,0)</f>
        <v>NA</v>
      </c>
      <c r="AI209">
        <f>VLOOKUP($B209,'[1]Plant data'!$A$1:$AB$315,17,0)</f>
        <v>0.36819721900926922</v>
      </c>
      <c r="AJ209" t="str">
        <f>VLOOKUP($B209,'[1]Plant data'!$A$1:$AB$315,18,0)</f>
        <v>Castro &amp; Galetti 2004, Cazetta 2007, Erica&amp;Wesley, Intervales_morfo, Mikich 2002, Santana et al. 2013, Alves 2008</v>
      </c>
      <c r="AK209">
        <f>VLOOKUP($B209,'[1]Plant data'!$A$1:$AB$315,19,0)</f>
        <v>0.67774999999999996</v>
      </c>
      <c r="AL209">
        <f>VLOOKUP($B209,'[1]Plant data'!$A$1:$AB$315,20,0)</f>
        <v>0.13617499999999999</v>
      </c>
      <c r="AM209">
        <f>VLOOKUP($B209,'[1]Plant data'!$A$1:$AB$315,21,0)</f>
        <v>5.0733332999999999E-2</v>
      </c>
      <c r="AN209">
        <f>VLOOKUP($B209,'[1]Plant data'!$A$1:$AB$315,22,0)</f>
        <v>3.65E-3</v>
      </c>
      <c r="AO209">
        <f>VLOOKUP($B209,'[1]Plant data'!$A$1:$AB$315,23,0)</f>
        <v>0.182</v>
      </c>
      <c r="AP209" t="str">
        <f>VLOOKUP($B209,'[1]Plant data'!$A$1:$AB$315,24,0)</f>
        <v>NA</v>
      </c>
      <c r="AQ209">
        <f>VLOOKUP($B209,'[1]Plant data'!$A$1:$AB$315,25,0)</f>
        <v>0.69899999999999995</v>
      </c>
      <c r="AR209">
        <f>VLOOKUP($B209,'[1]Plant data'!$A$1:$AB$315,26,0)</f>
        <v>2.7E-2</v>
      </c>
      <c r="AS209" t="str">
        <f>VLOOKUP($B209,'[1]Plant data'!$A$1:$AB$315,27,0)</f>
        <v>NA</v>
      </c>
      <c r="AT209" t="str">
        <f>VLOOKUP($B209,'[1]Plant data'!$A$1:$AB$315,28,0)</f>
        <v>Cazetta 2007, Erica &amp; Wesley, unpubl., Saibadela, Santana et al. 2013</v>
      </c>
    </row>
    <row r="210" spans="1:46">
      <c r="A210" s="5" t="s">
        <v>74</v>
      </c>
      <c r="B210" s="32" t="s">
        <v>97</v>
      </c>
      <c r="C210">
        <v>3</v>
      </c>
      <c r="D210">
        <v>750</v>
      </c>
      <c r="E210" s="8">
        <f>C210/750</f>
        <v>4.0000000000000001E-3</v>
      </c>
      <c r="F210" s="27" t="s">
        <v>19</v>
      </c>
      <c r="G210" s="41">
        <v>4.203333333333334</v>
      </c>
      <c r="H210" s="41"/>
      <c r="I210" s="8">
        <f t="shared" si="19"/>
        <v>1.6813333333333336E-2</v>
      </c>
      <c r="J210" t="s">
        <v>208</v>
      </c>
      <c r="K210" t="s">
        <v>123</v>
      </c>
      <c r="L210" t="s">
        <v>22</v>
      </c>
      <c r="M210" t="s">
        <v>75</v>
      </c>
      <c r="N210" s="11">
        <v>200</v>
      </c>
      <c r="O210" s="11">
        <v>23.614285710000001</v>
      </c>
      <c r="P210" t="s">
        <v>48</v>
      </c>
      <c r="Q210" t="s">
        <v>25</v>
      </c>
      <c r="R210" t="s">
        <v>76</v>
      </c>
      <c r="S210" t="s">
        <v>27</v>
      </c>
      <c r="T210" t="str">
        <f>VLOOKUP(B210,'[1]Plant data'!$A$1:$AB$315,2,0)</f>
        <v>Arecaceae</v>
      </c>
      <c r="U210" t="str">
        <f>VLOOKUP($B210,'[1]Plant data'!$A$1:$AB$315,3,0)</f>
        <v>NA</v>
      </c>
      <c r="V210" t="str">
        <f>VLOOKUP($B210,'[1]Plant data'!$A$1:$AB$315,4,0)</f>
        <v>black</v>
      </c>
      <c r="W210" t="str">
        <f>VLOOKUP($B210,'[1]Plant data'!$A$1:$AB$315,5,0)</f>
        <v>YES</v>
      </c>
      <c r="X210">
        <f>VLOOKUP($B210,'[1]Plant data'!$A$1:$AB$315,6,0)</f>
        <v>13.294285714285715</v>
      </c>
      <c r="Y210">
        <f>VLOOKUP($B210,'[1]Plant data'!$A$1:$AB$315,7,0)</f>
        <v>12.980000000000002</v>
      </c>
      <c r="Z210">
        <f>VLOOKUP($B210,'[1]Plant data'!$A$1:$AB$315,8,0)</f>
        <v>11.3575</v>
      </c>
      <c r="AA210">
        <f>VLOOKUP($B210,'[1]Plant data'!$A$1:$AB$315,9,0)</f>
        <v>11.62275</v>
      </c>
      <c r="AB210">
        <f>VLOOKUP($B210,'[1]Plant data'!$A$1:$AB$315,10,0)</f>
        <v>1.4212800000000001</v>
      </c>
      <c r="AC210">
        <f>VLOOKUP($B210,'[1]Plant data'!$A$1:$AB$315,11,0)</f>
        <v>0.46</v>
      </c>
      <c r="AD210">
        <f>VLOOKUP($B210,'[1]Plant data'!$A$1:$AB$315,12,0)</f>
        <v>1.06515</v>
      </c>
      <c r="AE210">
        <f>VLOOKUP($B210,'[1]Plant data'!$A$1:$AB$315,13,0)</f>
        <v>0.32305000000000006</v>
      </c>
      <c r="AF210">
        <f>VLOOKUP($B210,'[1]Plant data'!$A$1:$AB$315,14,0)</f>
        <v>0.96343333333333325</v>
      </c>
      <c r="AG210">
        <f>VLOOKUP($B210,'[1]Plant data'!$A$1:$AB$315,15,0)</f>
        <v>1</v>
      </c>
      <c r="AH210" t="str">
        <f>VLOOKUP($B210,'[1]Plant data'!$A$1:$AB$315,16,0)</f>
        <v>NA</v>
      </c>
      <c r="AI210">
        <f>VLOOKUP($B210,'[1]Plant data'!$A$1:$AB$315,17,0)</f>
        <v>0.36819721900926922</v>
      </c>
      <c r="AJ210" t="str">
        <f>VLOOKUP($B210,'[1]Plant data'!$A$1:$AB$315,18,0)</f>
        <v>Castro &amp; Galetti 2004, Cazetta 2007, Erica&amp;Wesley, Intervales_morfo, Mikich 2002, Santana et al. 2013, Alves 2008</v>
      </c>
      <c r="AK210">
        <f>VLOOKUP($B210,'[1]Plant data'!$A$1:$AB$315,19,0)</f>
        <v>0.67774999999999996</v>
      </c>
      <c r="AL210">
        <f>VLOOKUP($B210,'[1]Plant data'!$A$1:$AB$315,20,0)</f>
        <v>0.13617499999999999</v>
      </c>
      <c r="AM210">
        <f>VLOOKUP($B210,'[1]Plant data'!$A$1:$AB$315,21,0)</f>
        <v>5.0733332999999999E-2</v>
      </c>
      <c r="AN210">
        <f>VLOOKUP($B210,'[1]Plant data'!$A$1:$AB$315,22,0)</f>
        <v>3.65E-3</v>
      </c>
      <c r="AO210">
        <f>VLOOKUP($B210,'[1]Plant data'!$A$1:$AB$315,23,0)</f>
        <v>0.182</v>
      </c>
      <c r="AP210" t="str">
        <f>VLOOKUP($B210,'[1]Plant data'!$A$1:$AB$315,24,0)</f>
        <v>NA</v>
      </c>
      <c r="AQ210">
        <f>VLOOKUP($B210,'[1]Plant data'!$A$1:$AB$315,25,0)</f>
        <v>0.69899999999999995</v>
      </c>
      <c r="AR210">
        <f>VLOOKUP($B210,'[1]Plant data'!$A$1:$AB$315,26,0)</f>
        <v>2.7E-2</v>
      </c>
      <c r="AS210" t="str">
        <f>VLOOKUP($B210,'[1]Plant data'!$A$1:$AB$315,27,0)</f>
        <v>NA</v>
      </c>
      <c r="AT210" t="str">
        <f>VLOOKUP($B210,'[1]Plant data'!$A$1:$AB$315,28,0)</f>
        <v>Cazetta 2007, Erica &amp; Wesley, unpubl., Saibadela, Santana et al. 2013</v>
      </c>
    </row>
    <row r="211" spans="1:46">
      <c r="A211" s="5" t="s">
        <v>74</v>
      </c>
      <c r="B211" s="32" t="s">
        <v>97</v>
      </c>
      <c r="C211">
        <v>3</v>
      </c>
      <c r="D211">
        <v>330</v>
      </c>
      <c r="E211" s="8">
        <f>C211/330</f>
        <v>9.0909090909090905E-3</v>
      </c>
      <c r="F211" s="27" t="s">
        <v>19</v>
      </c>
      <c r="G211" s="9">
        <v>2</v>
      </c>
      <c r="H211" s="9"/>
      <c r="I211" s="8">
        <f t="shared" si="19"/>
        <v>1.8181818181818181E-2</v>
      </c>
      <c r="J211" t="s">
        <v>208</v>
      </c>
      <c r="K211" t="s">
        <v>123</v>
      </c>
      <c r="L211" t="s">
        <v>22</v>
      </c>
      <c r="M211" t="s">
        <v>75</v>
      </c>
      <c r="N211" s="11">
        <v>200</v>
      </c>
      <c r="O211" s="11">
        <v>23.614285710000001</v>
      </c>
      <c r="P211" t="s">
        <v>48</v>
      </c>
      <c r="Q211" t="s">
        <v>25</v>
      </c>
      <c r="R211" t="s">
        <v>76</v>
      </c>
      <c r="S211" t="s">
        <v>27</v>
      </c>
      <c r="T211" t="str">
        <f>VLOOKUP(B211,'[1]Plant data'!$A$1:$AB$315,2,0)</f>
        <v>Arecaceae</v>
      </c>
      <c r="U211" t="str">
        <f>VLOOKUP($B211,'[1]Plant data'!$A$1:$AB$315,3,0)</f>
        <v>NA</v>
      </c>
      <c r="V211" t="str">
        <f>VLOOKUP($B211,'[1]Plant data'!$A$1:$AB$315,4,0)</f>
        <v>black</v>
      </c>
      <c r="W211" t="str">
        <f>VLOOKUP($B211,'[1]Plant data'!$A$1:$AB$315,5,0)</f>
        <v>YES</v>
      </c>
      <c r="X211">
        <f>VLOOKUP($B211,'[1]Plant data'!$A$1:$AB$315,6,0)</f>
        <v>13.294285714285715</v>
      </c>
      <c r="Y211">
        <f>VLOOKUP($B211,'[1]Plant data'!$A$1:$AB$315,7,0)</f>
        <v>12.980000000000002</v>
      </c>
      <c r="Z211">
        <f>VLOOKUP($B211,'[1]Plant data'!$A$1:$AB$315,8,0)</f>
        <v>11.3575</v>
      </c>
      <c r="AA211">
        <f>VLOOKUP($B211,'[1]Plant data'!$A$1:$AB$315,9,0)</f>
        <v>11.62275</v>
      </c>
      <c r="AB211">
        <f>VLOOKUP($B211,'[1]Plant data'!$A$1:$AB$315,10,0)</f>
        <v>1.4212800000000001</v>
      </c>
      <c r="AC211">
        <f>VLOOKUP($B211,'[1]Plant data'!$A$1:$AB$315,11,0)</f>
        <v>0.46</v>
      </c>
      <c r="AD211">
        <f>VLOOKUP($B211,'[1]Plant data'!$A$1:$AB$315,12,0)</f>
        <v>1.06515</v>
      </c>
      <c r="AE211">
        <f>VLOOKUP($B211,'[1]Plant data'!$A$1:$AB$315,13,0)</f>
        <v>0.32305000000000006</v>
      </c>
      <c r="AF211">
        <f>VLOOKUP($B211,'[1]Plant data'!$A$1:$AB$315,14,0)</f>
        <v>0.96343333333333325</v>
      </c>
      <c r="AG211">
        <f>VLOOKUP($B211,'[1]Plant data'!$A$1:$AB$315,15,0)</f>
        <v>1</v>
      </c>
      <c r="AH211" t="str">
        <f>VLOOKUP($B211,'[1]Plant data'!$A$1:$AB$315,16,0)</f>
        <v>NA</v>
      </c>
      <c r="AI211">
        <f>VLOOKUP($B211,'[1]Plant data'!$A$1:$AB$315,17,0)</f>
        <v>0.36819721900926922</v>
      </c>
      <c r="AJ211" t="str">
        <f>VLOOKUP($B211,'[1]Plant data'!$A$1:$AB$315,18,0)</f>
        <v>Castro &amp; Galetti 2004, Cazetta 2007, Erica&amp;Wesley, Intervales_morfo, Mikich 2002, Santana et al. 2013, Alves 2008</v>
      </c>
      <c r="AK211">
        <f>VLOOKUP($B211,'[1]Plant data'!$A$1:$AB$315,19,0)</f>
        <v>0.67774999999999996</v>
      </c>
      <c r="AL211">
        <f>VLOOKUP($B211,'[1]Plant data'!$A$1:$AB$315,20,0)</f>
        <v>0.13617499999999999</v>
      </c>
      <c r="AM211">
        <f>VLOOKUP($B211,'[1]Plant data'!$A$1:$AB$315,21,0)</f>
        <v>5.0733332999999999E-2</v>
      </c>
      <c r="AN211">
        <f>VLOOKUP($B211,'[1]Plant data'!$A$1:$AB$315,22,0)</f>
        <v>3.65E-3</v>
      </c>
      <c r="AO211">
        <f>VLOOKUP($B211,'[1]Plant data'!$A$1:$AB$315,23,0)</f>
        <v>0.182</v>
      </c>
      <c r="AP211" t="str">
        <f>VLOOKUP($B211,'[1]Plant data'!$A$1:$AB$315,24,0)</f>
        <v>NA</v>
      </c>
      <c r="AQ211">
        <f>VLOOKUP($B211,'[1]Plant data'!$A$1:$AB$315,25,0)</f>
        <v>0.69899999999999995</v>
      </c>
      <c r="AR211">
        <f>VLOOKUP($B211,'[1]Plant data'!$A$1:$AB$315,26,0)</f>
        <v>2.7E-2</v>
      </c>
      <c r="AS211" t="str">
        <f>VLOOKUP($B211,'[1]Plant data'!$A$1:$AB$315,27,0)</f>
        <v>NA</v>
      </c>
      <c r="AT211" t="str">
        <f>VLOOKUP($B211,'[1]Plant data'!$A$1:$AB$315,28,0)</f>
        <v>Cazetta 2007, Erica &amp; Wesley, unpubl., Saibadela, Santana et al. 2013</v>
      </c>
    </row>
    <row r="212" spans="1:46">
      <c r="A212" s="5" t="s">
        <v>90</v>
      </c>
      <c r="B212" s="33" t="s">
        <v>97</v>
      </c>
      <c r="C212" s="25">
        <v>2</v>
      </c>
      <c r="D212" s="25">
        <v>750</v>
      </c>
      <c r="E212" s="26">
        <v>2.6666670000000002E-3</v>
      </c>
      <c r="F212" s="27" t="s">
        <v>19</v>
      </c>
      <c r="G212" s="41">
        <v>5.2652380952380948</v>
      </c>
      <c r="H212" s="41"/>
      <c r="I212" s="8">
        <f t="shared" si="19"/>
        <v>1.4040636675714285E-2</v>
      </c>
      <c r="J212" s="25" t="s">
        <v>208</v>
      </c>
      <c r="K212" t="s">
        <v>123</v>
      </c>
      <c r="L212" t="s">
        <v>93</v>
      </c>
      <c r="M212" t="s">
        <v>94</v>
      </c>
      <c r="N212" s="11">
        <v>331</v>
      </c>
      <c r="O212" s="11">
        <v>30.7</v>
      </c>
      <c r="P212" t="s">
        <v>48</v>
      </c>
      <c r="Q212" t="s">
        <v>95</v>
      </c>
      <c r="R212" t="s">
        <v>26</v>
      </c>
      <c r="S212" t="s">
        <v>27</v>
      </c>
      <c r="T212" t="str">
        <f>VLOOKUP(B212,'[1]Plant data'!$A$1:$AB$315,2,0)</f>
        <v>Arecaceae</v>
      </c>
      <c r="U212" t="str">
        <f>VLOOKUP($B212,'[1]Plant data'!$A$1:$AB$315,3,0)</f>
        <v>NA</v>
      </c>
      <c r="V212" t="str">
        <f>VLOOKUP($B212,'[1]Plant data'!$A$1:$AB$315,4,0)</f>
        <v>black</v>
      </c>
      <c r="W212" t="str">
        <f>VLOOKUP($B212,'[1]Plant data'!$A$1:$AB$315,5,0)</f>
        <v>YES</v>
      </c>
      <c r="X212">
        <f>VLOOKUP($B212,'[1]Plant data'!$A$1:$AB$315,6,0)</f>
        <v>13.294285714285715</v>
      </c>
      <c r="Y212">
        <f>VLOOKUP($B212,'[1]Plant data'!$A$1:$AB$315,7,0)</f>
        <v>12.980000000000002</v>
      </c>
      <c r="Z212">
        <f>VLOOKUP($B212,'[1]Plant data'!$A$1:$AB$315,8,0)</f>
        <v>11.3575</v>
      </c>
      <c r="AA212">
        <f>VLOOKUP($B212,'[1]Plant data'!$A$1:$AB$315,9,0)</f>
        <v>11.62275</v>
      </c>
      <c r="AB212">
        <f>VLOOKUP($B212,'[1]Plant data'!$A$1:$AB$315,10,0)</f>
        <v>1.4212800000000001</v>
      </c>
      <c r="AC212">
        <f>VLOOKUP($B212,'[1]Plant data'!$A$1:$AB$315,11,0)</f>
        <v>0.46</v>
      </c>
      <c r="AD212">
        <f>VLOOKUP($B212,'[1]Plant data'!$A$1:$AB$315,12,0)</f>
        <v>1.06515</v>
      </c>
      <c r="AE212">
        <f>VLOOKUP($B212,'[1]Plant data'!$A$1:$AB$315,13,0)</f>
        <v>0.32305000000000006</v>
      </c>
      <c r="AF212">
        <f>VLOOKUP($B212,'[1]Plant data'!$A$1:$AB$315,14,0)</f>
        <v>0.96343333333333325</v>
      </c>
      <c r="AG212">
        <f>VLOOKUP($B212,'[1]Plant data'!$A$1:$AB$315,15,0)</f>
        <v>1</v>
      </c>
      <c r="AH212" t="str">
        <f>VLOOKUP($B212,'[1]Plant data'!$A$1:$AB$315,16,0)</f>
        <v>NA</v>
      </c>
      <c r="AI212">
        <f>VLOOKUP($B212,'[1]Plant data'!$A$1:$AB$315,17,0)</f>
        <v>0.36819721900926922</v>
      </c>
      <c r="AJ212" t="str">
        <f>VLOOKUP($B212,'[1]Plant data'!$A$1:$AB$315,18,0)</f>
        <v>Castro &amp; Galetti 2004, Cazetta 2007, Erica&amp;Wesley, Intervales_morfo, Mikich 2002, Santana et al. 2013, Alves 2008</v>
      </c>
      <c r="AK212">
        <f>VLOOKUP($B212,'[1]Plant data'!$A$1:$AB$315,19,0)</f>
        <v>0.67774999999999996</v>
      </c>
      <c r="AL212">
        <f>VLOOKUP($B212,'[1]Plant data'!$A$1:$AB$315,20,0)</f>
        <v>0.13617499999999999</v>
      </c>
      <c r="AM212">
        <f>VLOOKUP($B212,'[1]Plant data'!$A$1:$AB$315,21,0)</f>
        <v>5.0733332999999999E-2</v>
      </c>
      <c r="AN212">
        <f>VLOOKUP($B212,'[1]Plant data'!$A$1:$AB$315,22,0)</f>
        <v>3.65E-3</v>
      </c>
      <c r="AO212">
        <f>VLOOKUP($B212,'[1]Plant data'!$A$1:$AB$315,23,0)</f>
        <v>0.182</v>
      </c>
      <c r="AP212" t="str">
        <f>VLOOKUP($B212,'[1]Plant data'!$A$1:$AB$315,24,0)</f>
        <v>NA</v>
      </c>
      <c r="AQ212">
        <f>VLOOKUP($B212,'[1]Plant data'!$A$1:$AB$315,25,0)</f>
        <v>0.69899999999999995</v>
      </c>
      <c r="AR212">
        <f>VLOOKUP($B212,'[1]Plant data'!$A$1:$AB$315,26,0)</f>
        <v>2.7E-2</v>
      </c>
      <c r="AS212" t="str">
        <f>VLOOKUP($B212,'[1]Plant data'!$A$1:$AB$315,27,0)</f>
        <v>NA</v>
      </c>
      <c r="AT212" t="str">
        <f>VLOOKUP($B212,'[1]Plant data'!$A$1:$AB$315,28,0)</f>
        <v>Cazetta 2007, Erica &amp; Wesley, unpubl., Saibadela, Santana et al. 2013</v>
      </c>
    </row>
    <row r="213" spans="1:46">
      <c r="A213" s="5" t="s">
        <v>90</v>
      </c>
      <c r="B213" s="33" t="s">
        <v>97</v>
      </c>
      <c r="C213" s="25">
        <v>1</v>
      </c>
      <c r="D213" s="25">
        <v>330</v>
      </c>
      <c r="E213" s="26">
        <f>(C213/330)*2</f>
        <v>6.0606060606060606E-3</v>
      </c>
      <c r="F213" s="27" t="s">
        <v>19</v>
      </c>
      <c r="G213" s="27">
        <v>12</v>
      </c>
      <c r="H213" s="27"/>
      <c r="I213" s="8">
        <f t="shared" si="19"/>
        <v>7.2727272727272724E-2</v>
      </c>
      <c r="J213" s="25" t="s">
        <v>208</v>
      </c>
      <c r="K213" t="s">
        <v>123</v>
      </c>
      <c r="L213" t="s">
        <v>93</v>
      </c>
      <c r="M213" t="s">
        <v>94</v>
      </c>
      <c r="N213" s="11">
        <v>331</v>
      </c>
      <c r="O213" s="11">
        <v>30.7</v>
      </c>
      <c r="P213" t="s">
        <v>48</v>
      </c>
      <c r="Q213" t="s">
        <v>95</v>
      </c>
      <c r="R213" t="s">
        <v>26</v>
      </c>
      <c r="S213" t="s">
        <v>27</v>
      </c>
      <c r="T213" t="str">
        <f>VLOOKUP(B213,'[1]Plant data'!$A$1:$AB$315,2,0)</f>
        <v>Arecaceae</v>
      </c>
      <c r="U213" t="str">
        <f>VLOOKUP($B213,'[1]Plant data'!$A$1:$AB$315,3,0)</f>
        <v>NA</v>
      </c>
      <c r="V213" t="str">
        <f>VLOOKUP($B213,'[1]Plant data'!$A$1:$AB$315,4,0)</f>
        <v>black</v>
      </c>
      <c r="W213" t="str">
        <f>VLOOKUP($B213,'[1]Plant data'!$A$1:$AB$315,5,0)</f>
        <v>YES</v>
      </c>
      <c r="X213">
        <f>VLOOKUP($B213,'[1]Plant data'!$A$1:$AB$315,6,0)</f>
        <v>13.294285714285715</v>
      </c>
      <c r="Y213">
        <f>VLOOKUP($B213,'[1]Plant data'!$A$1:$AB$315,7,0)</f>
        <v>12.980000000000002</v>
      </c>
      <c r="Z213">
        <f>VLOOKUP($B213,'[1]Plant data'!$A$1:$AB$315,8,0)</f>
        <v>11.3575</v>
      </c>
      <c r="AA213">
        <f>VLOOKUP($B213,'[1]Plant data'!$A$1:$AB$315,9,0)</f>
        <v>11.62275</v>
      </c>
      <c r="AB213">
        <f>VLOOKUP($B213,'[1]Plant data'!$A$1:$AB$315,10,0)</f>
        <v>1.4212800000000001</v>
      </c>
      <c r="AC213">
        <f>VLOOKUP($B213,'[1]Plant data'!$A$1:$AB$315,11,0)</f>
        <v>0.46</v>
      </c>
      <c r="AD213">
        <f>VLOOKUP($B213,'[1]Plant data'!$A$1:$AB$315,12,0)</f>
        <v>1.06515</v>
      </c>
      <c r="AE213">
        <f>VLOOKUP($B213,'[1]Plant data'!$A$1:$AB$315,13,0)</f>
        <v>0.32305000000000006</v>
      </c>
      <c r="AF213">
        <f>VLOOKUP($B213,'[1]Plant data'!$A$1:$AB$315,14,0)</f>
        <v>0.96343333333333325</v>
      </c>
      <c r="AG213">
        <f>VLOOKUP($B213,'[1]Plant data'!$A$1:$AB$315,15,0)</f>
        <v>1</v>
      </c>
      <c r="AH213" t="str">
        <f>VLOOKUP($B213,'[1]Plant data'!$A$1:$AB$315,16,0)</f>
        <v>NA</v>
      </c>
      <c r="AI213">
        <f>VLOOKUP($B213,'[1]Plant data'!$A$1:$AB$315,17,0)</f>
        <v>0.36819721900926922</v>
      </c>
      <c r="AJ213" t="str">
        <f>VLOOKUP($B213,'[1]Plant data'!$A$1:$AB$315,18,0)</f>
        <v>Castro &amp; Galetti 2004, Cazetta 2007, Erica&amp;Wesley, Intervales_morfo, Mikich 2002, Santana et al. 2013, Alves 2008</v>
      </c>
      <c r="AK213">
        <f>VLOOKUP($B213,'[1]Plant data'!$A$1:$AB$315,19,0)</f>
        <v>0.67774999999999996</v>
      </c>
      <c r="AL213">
        <f>VLOOKUP($B213,'[1]Plant data'!$A$1:$AB$315,20,0)</f>
        <v>0.13617499999999999</v>
      </c>
      <c r="AM213">
        <f>VLOOKUP($B213,'[1]Plant data'!$A$1:$AB$315,21,0)</f>
        <v>5.0733332999999999E-2</v>
      </c>
      <c r="AN213">
        <f>VLOOKUP($B213,'[1]Plant data'!$A$1:$AB$315,22,0)</f>
        <v>3.65E-3</v>
      </c>
      <c r="AO213">
        <f>VLOOKUP($B213,'[1]Plant data'!$A$1:$AB$315,23,0)</f>
        <v>0.182</v>
      </c>
      <c r="AP213" t="str">
        <f>VLOOKUP($B213,'[1]Plant data'!$A$1:$AB$315,24,0)</f>
        <v>NA</v>
      </c>
      <c r="AQ213">
        <f>VLOOKUP($B213,'[1]Plant data'!$A$1:$AB$315,25,0)</f>
        <v>0.69899999999999995</v>
      </c>
      <c r="AR213">
        <f>VLOOKUP($B213,'[1]Plant data'!$A$1:$AB$315,26,0)</f>
        <v>2.7E-2</v>
      </c>
      <c r="AS213" t="str">
        <f>VLOOKUP($B213,'[1]Plant data'!$A$1:$AB$315,27,0)</f>
        <v>NA</v>
      </c>
      <c r="AT213" t="str">
        <f>VLOOKUP($B213,'[1]Plant data'!$A$1:$AB$315,28,0)</f>
        <v>Cazetta 2007, Erica &amp; Wesley, unpubl., Saibadela, Santana et al. 2013</v>
      </c>
    </row>
    <row r="214" spans="1:46">
      <c r="A214" s="5" t="s">
        <v>90</v>
      </c>
      <c r="B214" s="33" t="s">
        <v>97</v>
      </c>
      <c r="C214" s="25">
        <v>2</v>
      </c>
      <c r="D214" s="25">
        <v>330</v>
      </c>
      <c r="E214" s="26">
        <f>(2/330)*3</f>
        <v>1.8181818181818181E-2</v>
      </c>
      <c r="F214" s="27" t="s">
        <v>19</v>
      </c>
      <c r="G214" s="27">
        <v>4.5</v>
      </c>
      <c r="H214" s="27"/>
      <c r="I214" s="8">
        <f t="shared" si="19"/>
        <v>8.1818181818181818E-2</v>
      </c>
      <c r="J214" s="25" t="s">
        <v>208</v>
      </c>
      <c r="K214" t="s">
        <v>123</v>
      </c>
      <c r="L214" t="s">
        <v>93</v>
      </c>
      <c r="M214" t="s">
        <v>94</v>
      </c>
      <c r="N214" s="11">
        <v>331</v>
      </c>
      <c r="O214" s="11">
        <v>30.7</v>
      </c>
      <c r="P214" t="s">
        <v>48</v>
      </c>
      <c r="Q214" t="s">
        <v>95</v>
      </c>
      <c r="R214" t="s">
        <v>26</v>
      </c>
      <c r="S214" t="s">
        <v>27</v>
      </c>
      <c r="T214" t="str">
        <f>VLOOKUP(B214,'[1]Plant data'!$A$1:$AB$315,2,0)</f>
        <v>Arecaceae</v>
      </c>
      <c r="U214" t="str">
        <f>VLOOKUP($B214,'[1]Plant data'!$A$1:$AB$315,3,0)</f>
        <v>NA</v>
      </c>
      <c r="V214" t="str">
        <f>VLOOKUP($B214,'[1]Plant data'!$A$1:$AB$315,4,0)</f>
        <v>black</v>
      </c>
      <c r="W214" t="str">
        <f>VLOOKUP($B214,'[1]Plant data'!$A$1:$AB$315,5,0)</f>
        <v>YES</v>
      </c>
      <c r="X214">
        <f>VLOOKUP($B214,'[1]Plant data'!$A$1:$AB$315,6,0)</f>
        <v>13.294285714285715</v>
      </c>
      <c r="Y214">
        <f>VLOOKUP($B214,'[1]Plant data'!$A$1:$AB$315,7,0)</f>
        <v>12.980000000000002</v>
      </c>
      <c r="Z214">
        <f>VLOOKUP($B214,'[1]Plant data'!$A$1:$AB$315,8,0)</f>
        <v>11.3575</v>
      </c>
      <c r="AA214">
        <f>VLOOKUP($B214,'[1]Plant data'!$A$1:$AB$315,9,0)</f>
        <v>11.62275</v>
      </c>
      <c r="AB214">
        <f>VLOOKUP($B214,'[1]Plant data'!$A$1:$AB$315,10,0)</f>
        <v>1.4212800000000001</v>
      </c>
      <c r="AC214">
        <f>VLOOKUP($B214,'[1]Plant data'!$A$1:$AB$315,11,0)</f>
        <v>0.46</v>
      </c>
      <c r="AD214">
        <f>VLOOKUP($B214,'[1]Plant data'!$A$1:$AB$315,12,0)</f>
        <v>1.06515</v>
      </c>
      <c r="AE214">
        <f>VLOOKUP($B214,'[1]Plant data'!$A$1:$AB$315,13,0)</f>
        <v>0.32305000000000006</v>
      </c>
      <c r="AF214">
        <f>VLOOKUP($B214,'[1]Plant data'!$A$1:$AB$315,14,0)</f>
        <v>0.96343333333333325</v>
      </c>
      <c r="AG214">
        <f>VLOOKUP($B214,'[1]Plant data'!$A$1:$AB$315,15,0)</f>
        <v>1</v>
      </c>
      <c r="AH214" t="str">
        <f>VLOOKUP($B214,'[1]Plant data'!$A$1:$AB$315,16,0)</f>
        <v>NA</v>
      </c>
      <c r="AI214">
        <f>VLOOKUP($B214,'[1]Plant data'!$A$1:$AB$315,17,0)</f>
        <v>0.36819721900926922</v>
      </c>
      <c r="AJ214" t="str">
        <f>VLOOKUP($B214,'[1]Plant data'!$A$1:$AB$315,18,0)</f>
        <v>Castro &amp; Galetti 2004, Cazetta 2007, Erica&amp;Wesley, Intervales_morfo, Mikich 2002, Santana et al. 2013, Alves 2008</v>
      </c>
      <c r="AK214">
        <f>VLOOKUP($B214,'[1]Plant data'!$A$1:$AB$315,19,0)</f>
        <v>0.67774999999999996</v>
      </c>
      <c r="AL214">
        <f>VLOOKUP($B214,'[1]Plant data'!$A$1:$AB$315,20,0)</f>
        <v>0.13617499999999999</v>
      </c>
      <c r="AM214">
        <f>VLOOKUP($B214,'[1]Plant data'!$A$1:$AB$315,21,0)</f>
        <v>5.0733332999999999E-2</v>
      </c>
      <c r="AN214">
        <f>VLOOKUP($B214,'[1]Plant data'!$A$1:$AB$315,22,0)</f>
        <v>3.65E-3</v>
      </c>
      <c r="AO214">
        <f>VLOOKUP($B214,'[1]Plant data'!$A$1:$AB$315,23,0)</f>
        <v>0.182</v>
      </c>
      <c r="AP214" t="str">
        <f>VLOOKUP($B214,'[1]Plant data'!$A$1:$AB$315,24,0)</f>
        <v>NA</v>
      </c>
      <c r="AQ214">
        <f>VLOOKUP($B214,'[1]Plant data'!$A$1:$AB$315,25,0)</f>
        <v>0.69899999999999995</v>
      </c>
      <c r="AR214">
        <f>VLOOKUP($B214,'[1]Plant data'!$A$1:$AB$315,26,0)</f>
        <v>2.7E-2</v>
      </c>
      <c r="AS214" t="str">
        <f>VLOOKUP($B214,'[1]Plant data'!$A$1:$AB$315,27,0)</f>
        <v>NA</v>
      </c>
      <c r="AT214" t="str">
        <f>VLOOKUP($B214,'[1]Plant data'!$A$1:$AB$315,28,0)</f>
        <v>Cazetta 2007, Erica &amp; Wesley, unpubl., Saibadela, Santana et al. 2013</v>
      </c>
    </row>
    <row r="215" spans="1:46">
      <c r="A215" s="5" t="s">
        <v>104</v>
      </c>
      <c r="B215" s="32" t="s">
        <v>97</v>
      </c>
      <c r="C215">
        <v>1</v>
      </c>
      <c r="D215" s="25">
        <v>330</v>
      </c>
      <c r="E215" s="8">
        <f>(C215/330)*2</f>
        <v>6.0606060606060606E-3</v>
      </c>
      <c r="F215" s="27" t="s">
        <v>19</v>
      </c>
      <c r="G215" s="9">
        <v>5</v>
      </c>
      <c r="H215" s="9"/>
      <c r="I215" s="8">
        <f t="shared" si="19"/>
        <v>3.0303030303030304E-2</v>
      </c>
      <c r="J215" t="s">
        <v>208</v>
      </c>
      <c r="K215" t="s">
        <v>123</v>
      </c>
      <c r="L215" t="s">
        <v>93</v>
      </c>
      <c r="M215" t="s">
        <v>94</v>
      </c>
      <c r="N215" s="11">
        <v>343.5</v>
      </c>
      <c r="O215" s="11">
        <v>30.107272729999998</v>
      </c>
      <c r="P215" t="s">
        <v>48</v>
      </c>
      <c r="Q215" t="s">
        <v>25</v>
      </c>
      <c r="R215" t="s">
        <v>76</v>
      </c>
      <c r="S215" t="s">
        <v>27</v>
      </c>
      <c r="T215" t="str">
        <f>VLOOKUP(B215,'[1]Plant data'!$A$1:$AB$315,2,0)</f>
        <v>Arecaceae</v>
      </c>
      <c r="U215" t="str">
        <f>VLOOKUP($B215,'[1]Plant data'!$A$1:$AB$315,3,0)</f>
        <v>NA</v>
      </c>
      <c r="V215" t="str">
        <f>VLOOKUP($B215,'[1]Plant data'!$A$1:$AB$315,4,0)</f>
        <v>black</v>
      </c>
      <c r="W215" t="str">
        <f>VLOOKUP($B215,'[1]Plant data'!$A$1:$AB$315,5,0)</f>
        <v>YES</v>
      </c>
      <c r="X215">
        <f>VLOOKUP($B215,'[1]Plant data'!$A$1:$AB$315,6,0)</f>
        <v>13.294285714285715</v>
      </c>
      <c r="Y215">
        <f>VLOOKUP($B215,'[1]Plant data'!$A$1:$AB$315,7,0)</f>
        <v>12.980000000000002</v>
      </c>
      <c r="Z215">
        <f>VLOOKUP($B215,'[1]Plant data'!$A$1:$AB$315,8,0)</f>
        <v>11.3575</v>
      </c>
      <c r="AA215">
        <f>VLOOKUP($B215,'[1]Plant data'!$A$1:$AB$315,9,0)</f>
        <v>11.62275</v>
      </c>
      <c r="AB215">
        <f>VLOOKUP($B215,'[1]Plant data'!$A$1:$AB$315,10,0)</f>
        <v>1.4212800000000001</v>
      </c>
      <c r="AC215">
        <f>VLOOKUP($B215,'[1]Plant data'!$A$1:$AB$315,11,0)</f>
        <v>0.46</v>
      </c>
      <c r="AD215">
        <f>VLOOKUP($B215,'[1]Plant data'!$A$1:$AB$315,12,0)</f>
        <v>1.06515</v>
      </c>
      <c r="AE215">
        <f>VLOOKUP($B215,'[1]Plant data'!$A$1:$AB$315,13,0)</f>
        <v>0.32305000000000006</v>
      </c>
      <c r="AF215">
        <f>VLOOKUP($B215,'[1]Plant data'!$A$1:$AB$315,14,0)</f>
        <v>0.96343333333333325</v>
      </c>
      <c r="AG215">
        <f>VLOOKUP($B215,'[1]Plant data'!$A$1:$AB$315,15,0)</f>
        <v>1</v>
      </c>
      <c r="AH215" t="str">
        <f>VLOOKUP($B215,'[1]Plant data'!$A$1:$AB$315,16,0)</f>
        <v>NA</v>
      </c>
      <c r="AI215">
        <f>VLOOKUP($B215,'[1]Plant data'!$A$1:$AB$315,17,0)</f>
        <v>0.36819721900926922</v>
      </c>
      <c r="AJ215" t="str">
        <f>VLOOKUP($B215,'[1]Plant data'!$A$1:$AB$315,18,0)</f>
        <v>Castro &amp; Galetti 2004, Cazetta 2007, Erica&amp;Wesley, Intervales_morfo, Mikich 2002, Santana et al. 2013, Alves 2008</v>
      </c>
      <c r="AK215">
        <f>VLOOKUP($B215,'[1]Plant data'!$A$1:$AB$315,19,0)</f>
        <v>0.67774999999999996</v>
      </c>
      <c r="AL215">
        <f>VLOOKUP($B215,'[1]Plant data'!$A$1:$AB$315,20,0)</f>
        <v>0.13617499999999999</v>
      </c>
      <c r="AM215">
        <f>VLOOKUP($B215,'[1]Plant data'!$A$1:$AB$315,21,0)</f>
        <v>5.0733332999999999E-2</v>
      </c>
      <c r="AN215">
        <f>VLOOKUP($B215,'[1]Plant data'!$A$1:$AB$315,22,0)</f>
        <v>3.65E-3</v>
      </c>
      <c r="AO215">
        <f>VLOOKUP($B215,'[1]Plant data'!$A$1:$AB$315,23,0)</f>
        <v>0.182</v>
      </c>
      <c r="AP215" t="str">
        <f>VLOOKUP($B215,'[1]Plant data'!$A$1:$AB$315,24,0)</f>
        <v>NA</v>
      </c>
      <c r="AQ215">
        <f>VLOOKUP($B215,'[1]Plant data'!$A$1:$AB$315,25,0)</f>
        <v>0.69899999999999995</v>
      </c>
      <c r="AR215">
        <f>VLOOKUP($B215,'[1]Plant data'!$A$1:$AB$315,26,0)</f>
        <v>2.7E-2</v>
      </c>
      <c r="AS215" t="str">
        <f>VLOOKUP($B215,'[1]Plant data'!$A$1:$AB$315,27,0)</f>
        <v>NA</v>
      </c>
      <c r="AT215" t="str">
        <f>VLOOKUP($B215,'[1]Plant data'!$A$1:$AB$315,28,0)</f>
        <v>Cazetta 2007, Erica &amp; Wesley, unpubl., Saibadela, Santana et al. 2013</v>
      </c>
    </row>
    <row r="216" spans="1:46">
      <c r="A216" s="5" t="s">
        <v>105</v>
      </c>
      <c r="B216" s="32" t="s">
        <v>97</v>
      </c>
      <c r="C216">
        <v>6</v>
      </c>
      <c r="D216">
        <v>750</v>
      </c>
      <c r="E216" s="8">
        <f>C216/750</f>
        <v>8.0000000000000002E-3</v>
      </c>
      <c r="F216" s="27" t="s">
        <v>19</v>
      </c>
      <c r="G216" s="41">
        <v>7.4271428571428588</v>
      </c>
      <c r="H216" s="41"/>
      <c r="I216" s="8">
        <f t="shared" si="19"/>
        <v>5.941714285714287E-2</v>
      </c>
      <c r="J216" s="10" t="s">
        <v>208</v>
      </c>
      <c r="K216" t="s">
        <v>123</v>
      </c>
      <c r="L216" t="s">
        <v>93</v>
      </c>
      <c r="M216" t="s">
        <v>94</v>
      </c>
      <c r="N216" s="11">
        <v>164</v>
      </c>
      <c r="O216" s="11">
        <v>25.039000000000001</v>
      </c>
      <c r="P216" t="s">
        <v>48</v>
      </c>
      <c r="Q216" t="s">
        <v>25</v>
      </c>
      <c r="R216" t="s">
        <v>26</v>
      </c>
      <c r="S216" t="s">
        <v>27</v>
      </c>
      <c r="T216" t="str">
        <f>VLOOKUP(B216,'[1]Plant data'!$A$1:$AB$315,2,0)</f>
        <v>Arecaceae</v>
      </c>
      <c r="U216" t="str">
        <f>VLOOKUP($B216,'[1]Plant data'!$A$1:$AB$315,3,0)</f>
        <v>NA</v>
      </c>
      <c r="V216" t="str">
        <f>VLOOKUP($B216,'[1]Plant data'!$A$1:$AB$315,4,0)</f>
        <v>black</v>
      </c>
      <c r="W216" t="str">
        <f>VLOOKUP($B216,'[1]Plant data'!$A$1:$AB$315,5,0)</f>
        <v>YES</v>
      </c>
      <c r="X216">
        <f>VLOOKUP($B216,'[1]Plant data'!$A$1:$AB$315,6,0)</f>
        <v>13.294285714285715</v>
      </c>
      <c r="Y216">
        <f>VLOOKUP($B216,'[1]Plant data'!$A$1:$AB$315,7,0)</f>
        <v>12.980000000000002</v>
      </c>
      <c r="Z216">
        <f>VLOOKUP($B216,'[1]Plant data'!$A$1:$AB$315,8,0)</f>
        <v>11.3575</v>
      </c>
      <c r="AA216">
        <f>VLOOKUP($B216,'[1]Plant data'!$A$1:$AB$315,9,0)</f>
        <v>11.62275</v>
      </c>
      <c r="AB216">
        <f>VLOOKUP($B216,'[1]Plant data'!$A$1:$AB$315,10,0)</f>
        <v>1.4212800000000001</v>
      </c>
      <c r="AC216">
        <f>VLOOKUP($B216,'[1]Plant data'!$A$1:$AB$315,11,0)</f>
        <v>0.46</v>
      </c>
      <c r="AD216">
        <f>VLOOKUP($B216,'[1]Plant data'!$A$1:$AB$315,12,0)</f>
        <v>1.06515</v>
      </c>
      <c r="AE216">
        <f>VLOOKUP($B216,'[1]Plant data'!$A$1:$AB$315,13,0)</f>
        <v>0.32305000000000006</v>
      </c>
      <c r="AF216">
        <f>VLOOKUP($B216,'[1]Plant data'!$A$1:$AB$315,14,0)</f>
        <v>0.96343333333333325</v>
      </c>
      <c r="AG216">
        <f>VLOOKUP($B216,'[1]Plant data'!$A$1:$AB$315,15,0)</f>
        <v>1</v>
      </c>
      <c r="AH216" t="str">
        <f>VLOOKUP($B216,'[1]Plant data'!$A$1:$AB$315,16,0)</f>
        <v>NA</v>
      </c>
      <c r="AI216">
        <f>VLOOKUP($B216,'[1]Plant data'!$A$1:$AB$315,17,0)</f>
        <v>0.36819721900926922</v>
      </c>
      <c r="AJ216" t="str">
        <f>VLOOKUP($B216,'[1]Plant data'!$A$1:$AB$315,18,0)</f>
        <v>Castro &amp; Galetti 2004, Cazetta 2007, Erica&amp;Wesley, Intervales_morfo, Mikich 2002, Santana et al. 2013, Alves 2008</v>
      </c>
      <c r="AK216">
        <f>VLOOKUP($B216,'[1]Plant data'!$A$1:$AB$315,19,0)</f>
        <v>0.67774999999999996</v>
      </c>
      <c r="AL216">
        <f>VLOOKUP($B216,'[1]Plant data'!$A$1:$AB$315,20,0)</f>
        <v>0.13617499999999999</v>
      </c>
      <c r="AM216">
        <f>VLOOKUP($B216,'[1]Plant data'!$A$1:$AB$315,21,0)</f>
        <v>5.0733332999999999E-2</v>
      </c>
      <c r="AN216">
        <f>VLOOKUP($B216,'[1]Plant data'!$A$1:$AB$315,22,0)</f>
        <v>3.65E-3</v>
      </c>
      <c r="AO216">
        <f>VLOOKUP($B216,'[1]Plant data'!$A$1:$AB$315,23,0)</f>
        <v>0.182</v>
      </c>
      <c r="AP216" t="str">
        <f>VLOOKUP($B216,'[1]Plant data'!$A$1:$AB$315,24,0)</f>
        <v>NA</v>
      </c>
      <c r="AQ216">
        <f>VLOOKUP($B216,'[1]Plant data'!$A$1:$AB$315,25,0)</f>
        <v>0.69899999999999995</v>
      </c>
      <c r="AR216">
        <f>VLOOKUP($B216,'[1]Plant data'!$A$1:$AB$315,26,0)</f>
        <v>2.7E-2</v>
      </c>
      <c r="AS216" t="str">
        <f>VLOOKUP($B216,'[1]Plant data'!$A$1:$AB$315,27,0)</f>
        <v>NA</v>
      </c>
      <c r="AT216" t="str">
        <f>VLOOKUP($B216,'[1]Plant data'!$A$1:$AB$315,28,0)</f>
        <v>Cazetta 2007, Erica &amp; Wesley, unpubl., Saibadela, Santana et al. 2013</v>
      </c>
    </row>
    <row r="217" spans="1:46">
      <c r="A217" s="5" t="s">
        <v>105</v>
      </c>
      <c r="B217" s="32" t="s">
        <v>97</v>
      </c>
      <c r="C217">
        <v>6</v>
      </c>
      <c r="D217" s="25">
        <v>330</v>
      </c>
      <c r="E217" s="8">
        <f>(C217/330)*1.5</f>
        <v>2.7272727272727271E-2</v>
      </c>
      <c r="F217" s="27" t="s">
        <v>19</v>
      </c>
      <c r="G217" s="9">
        <v>9.8000000000000007</v>
      </c>
      <c r="H217" s="9"/>
      <c r="I217" s="8">
        <f t="shared" si="19"/>
        <v>0.26727272727272727</v>
      </c>
      <c r="J217" t="s">
        <v>208</v>
      </c>
      <c r="K217" t="s">
        <v>123</v>
      </c>
      <c r="L217" t="s">
        <v>93</v>
      </c>
      <c r="M217" t="s">
        <v>94</v>
      </c>
      <c r="N217" s="11">
        <v>164</v>
      </c>
      <c r="O217" s="11">
        <v>25.039000000000001</v>
      </c>
      <c r="P217" t="s">
        <v>48</v>
      </c>
      <c r="Q217" t="s">
        <v>25</v>
      </c>
      <c r="R217" t="s">
        <v>26</v>
      </c>
      <c r="S217" t="s">
        <v>27</v>
      </c>
      <c r="T217" t="str">
        <f>VLOOKUP(B217,'[1]Plant data'!$A$1:$AB$315,2,0)</f>
        <v>Arecaceae</v>
      </c>
      <c r="U217" t="str">
        <f>VLOOKUP($B217,'[1]Plant data'!$A$1:$AB$315,3,0)</f>
        <v>NA</v>
      </c>
      <c r="V217" t="str">
        <f>VLOOKUP($B217,'[1]Plant data'!$A$1:$AB$315,4,0)</f>
        <v>black</v>
      </c>
      <c r="W217" t="str">
        <f>VLOOKUP($B217,'[1]Plant data'!$A$1:$AB$315,5,0)</f>
        <v>YES</v>
      </c>
      <c r="X217">
        <f>VLOOKUP($B217,'[1]Plant data'!$A$1:$AB$315,6,0)</f>
        <v>13.294285714285715</v>
      </c>
      <c r="Y217">
        <f>VLOOKUP($B217,'[1]Plant data'!$A$1:$AB$315,7,0)</f>
        <v>12.980000000000002</v>
      </c>
      <c r="Z217">
        <f>VLOOKUP($B217,'[1]Plant data'!$A$1:$AB$315,8,0)</f>
        <v>11.3575</v>
      </c>
      <c r="AA217">
        <f>VLOOKUP($B217,'[1]Plant data'!$A$1:$AB$315,9,0)</f>
        <v>11.62275</v>
      </c>
      <c r="AB217">
        <f>VLOOKUP($B217,'[1]Plant data'!$A$1:$AB$315,10,0)</f>
        <v>1.4212800000000001</v>
      </c>
      <c r="AC217">
        <f>VLOOKUP($B217,'[1]Plant data'!$A$1:$AB$315,11,0)</f>
        <v>0.46</v>
      </c>
      <c r="AD217">
        <f>VLOOKUP($B217,'[1]Plant data'!$A$1:$AB$315,12,0)</f>
        <v>1.06515</v>
      </c>
      <c r="AE217">
        <f>VLOOKUP($B217,'[1]Plant data'!$A$1:$AB$315,13,0)</f>
        <v>0.32305000000000006</v>
      </c>
      <c r="AF217">
        <f>VLOOKUP($B217,'[1]Plant data'!$A$1:$AB$315,14,0)</f>
        <v>0.96343333333333325</v>
      </c>
      <c r="AG217">
        <f>VLOOKUP($B217,'[1]Plant data'!$A$1:$AB$315,15,0)</f>
        <v>1</v>
      </c>
      <c r="AH217" t="str">
        <f>VLOOKUP($B217,'[1]Plant data'!$A$1:$AB$315,16,0)</f>
        <v>NA</v>
      </c>
      <c r="AI217">
        <f>VLOOKUP($B217,'[1]Plant data'!$A$1:$AB$315,17,0)</f>
        <v>0.36819721900926922</v>
      </c>
      <c r="AJ217" t="str">
        <f>VLOOKUP($B217,'[1]Plant data'!$A$1:$AB$315,18,0)</f>
        <v>Castro &amp; Galetti 2004, Cazetta 2007, Erica&amp;Wesley, Intervales_morfo, Mikich 2002, Santana et al. 2013, Alves 2008</v>
      </c>
      <c r="AK217">
        <f>VLOOKUP($B217,'[1]Plant data'!$A$1:$AB$315,19,0)</f>
        <v>0.67774999999999996</v>
      </c>
      <c r="AL217">
        <f>VLOOKUP($B217,'[1]Plant data'!$A$1:$AB$315,20,0)</f>
        <v>0.13617499999999999</v>
      </c>
      <c r="AM217">
        <f>VLOOKUP($B217,'[1]Plant data'!$A$1:$AB$315,21,0)</f>
        <v>5.0733332999999999E-2</v>
      </c>
      <c r="AN217">
        <f>VLOOKUP($B217,'[1]Plant data'!$A$1:$AB$315,22,0)</f>
        <v>3.65E-3</v>
      </c>
      <c r="AO217">
        <f>VLOOKUP($B217,'[1]Plant data'!$A$1:$AB$315,23,0)</f>
        <v>0.182</v>
      </c>
      <c r="AP217" t="str">
        <f>VLOOKUP($B217,'[1]Plant data'!$A$1:$AB$315,24,0)</f>
        <v>NA</v>
      </c>
      <c r="AQ217">
        <f>VLOOKUP($B217,'[1]Plant data'!$A$1:$AB$315,25,0)</f>
        <v>0.69899999999999995</v>
      </c>
      <c r="AR217">
        <f>VLOOKUP($B217,'[1]Plant data'!$A$1:$AB$315,26,0)</f>
        <v>2.7E-2</v>
      </c>
      <c r="AS217" t="str">
        <f>VLOOKUP($B217,'[1]Plant data'!$A$1:$AB$315,27,0)</f>
        <v>NA</v>
      </c>
      <c r="AT217" t="str">
        <f>VLOOKUP($B217,'[1]Plant data'!$A$1:$AB$315,28,0)</f>
        <v>Cazetta 2007, Erica &amp; Wesley, unpubl., Saibadela, Santana et al. 2013</v>
      </c>
    </row>
    <row r="218" spans="1:46">
      <c r="A218" s="5" t="s">
        <v>105</v>
      </c>
      <c r="B218" s="32" t="s">
        <v>97</v>
      </c>
      <c r="C218">
        <v>3</v>
      </c>
      <c r="D218" s="25">
        <v>33</v>
      </c>
      <c r="E218" s="8">
        <f>(C218/33)*2</f>
        <v>0.18181818181818182</v>
      </c>
      <c r="F218" s="27" t="s">
        <v>19</v>
      </c>
      <c r="G218" s="9">
        <v>10</v>
      </c>
      <c r="H218" s="9"/>
      <c r="I218" s="8">
        <f t="shared" si="19"/>
        <v>1.8181818181818183</v>
      </c>
      <c r="J218" t="s">
        <v>208</v>
      </c>
      <c r="K218" t="s">
        <v>123</v>
      </c>
      <c r="L218" t="s">
        <v>93</v>
      </c>
      <c r="M218" t="s">
        <v>94</v>
      </c>
      <c r="N218" s="11">
        <v>164</v>
      </c>
      <c r="O218" s="11">
        <v>25.039000000000001</v>
      </c>
      <c r="P218" t="s">
        <v>48</v>
      </c>
      <c r="Q218" t="s">
        <v>25</v>
      </c>
      <c r="R218" t="s">
        <v>26</v>
      </c>
      <c r="S218" t="s">
        <v>27</v>
      </c>
      <c r="T218" t="str">
        <f>VLOOKUP(B218,'[1]Plant data'!$A$1:$AB$315,2,0)</f>
        <v>Arecaceae</v>
      </c>
      <c r="U218" t="str">
        <f>VLOOKUP($B218,'[1]Plant data'!$A$1:$AB$315,3,0)</f>
        <v>NA</v>
      </c>
      <c r="V218" t="str">
        <f>VLOOKUP($B218,'[1]Plant data'!$A$1:$AB$315,4,0)</f>
        <v>black</v>
      </c>
      <c r="W218" t="str">
        <f>VLOOKUP($B218,'[1]Plant data'!$A$1:$AB$315,5,0)</f>
        <v>YES</v>
      </c>
      <c r="X218">
        <f>VLOOKUP($B218,'[1]Plant data'!$A$1:$AB$315,6,0)</f>
        <v>13.294285714285715</v>
      </c>
      <c r="Y218">
        <f>VLOOKUP($B218,'[1]Plant data'!$A$1:$AB$315,7,0)</f>
        <v>12.980000000000002</v>
      </c>
      <c r="Z218">
        <f>VLOOKUP($B218,'[1]Plant data'!$A$1:$AB$315,8,0)</f>
        <v>11.3575</v>
      </c>
      <c r="AA218">
        <f>VLOOKUP($B218,'[1]Plant data'!$A$1:$AB$315,9,0)</f>
        <v>11.62275</v>
      </c>
      <c r="AB218">
        <f>VLOOKUP($B218,'[1]Plant data'!$A$1:$AB$315,10,0)</f>
        <v>1.4212800000000001</v>
      </c>
      <c r="AC218">
        <f>VLOOKUP($B218,'[1]Plant data'!$A$1:$AB$315,11,0)</f>
        <v>0.46</v>
      </c>
      <c r="AD218">
        <f>VLOOKUP($B218,'[1]Plant data'!$A$1:$AB$315,12,0)</f>
        <v>1.06515</v>
      </c>
      <c r="AE218">
        <f>VLOOKUP($B218,'[1]Plant data'!$A$1:$AB$315,13,0)</f>
        <v>0.32305000000000006</v>
      </c>
      <c r="AF218">
        <f>VLOOKUP($B218,'[1]Plant data'!$A$1:$AB$315,14,0)</f>
        <v>0.96343333333333325</v>
      </c>
      <c r="AG218">
        <f>VLOOKUP($B218,'[1]Plant data'!$A$1:$AB$315,15,0)</f>
        <v>1</v>
      </c>
      <c r="AH218" t="str">
        <f>VLOOKUP($B218,'[1]Plant data'!$A$1:$AB$315,16,0)</f>
        <v>NA</v>
      </c>
      <c r="AI218">
        <f>VLOOKUP($B218,'[1]Plant data'!$A$1:$AB$315,17,0)</f>
        <v>0.36819721900926922</v>
      </c>
      <c r="AJ218" t="str">
        <f>VLOOKUP($B218,'[1]Plant data'!$A$1:$AB$315,18,0)</f>
        <v>Castro &amp; Galetti 2004, Cazetta 2007, Erica&amp;Wesley, Intervales_morfo, Mikich 2002, Santana et al. 2013, Alves 2008</v>
      </c>
      <c r="AK218">
        <f>VLOOKUP($B218,'[1]Plant data'!$A$1:$AB$315,19,0)</f>
        <v>0.67774999999999996</v>
      </c>
      <c r="AL218">
        <f>VLOOKUP($B218,'[1]Plant data'!$A$1:$AB$315,20,0)</f>
        <v>0.13617499999999999</v>
      </c>
      <c r="AM218">
        <f>VLOOKUP($B218,'[1]Plant data'!$A$1:$AB$315,21,0)</f>
        <v>5.0733332999999999E-2</v>
      </c>
      <c r="AN218">
        <f>VLOOKUP($B218,'[1]Plant data'!$A$1:$AB$315,22,0)</f>
        <v>3.65E-3</v>
      </c>
      <c r="AO218">
        <f>VLOOKUP($B218,'[1]Plant data'!$A$1:$AB$315,23,0)</f>
        <v>0.182</v>
      </c>
      <c r="AP218" t="str">
        <f>VLOOKUP($B218,'[1]Plant data'!$A$1:$AB$315,24,0)</f>
        <v>NA</v>
      </c>
      <c r="AQ218">
        <f>VLOOKUP($B218,'[1]Plant data'!$A$1:$AB$315,25,0)</f>
        <v>0.69899999999999995</v>
      </c>
      <c r="AR218">
        <f>VLOOKUP($B218,'[1]Plant data'!$A$1:$AB$315,26,0)</f>
        <v>2.7E-2</v>
      </c>
      <c r="AS218" t="str">
        <f>VLOOKUP($B218,'[1]Plant data'!$A$1:$AB$315,27,0)</f>
        <v>NA</v>
      </c>
      <c r="AT218" t="str">
        <f>VLOOKUP($B218,'[1]Plant data'!$A$1:$AB$315,28,0)</f>
        <v>Cazetta 2007, Erica &amp; Wesley, unpubl., Saibadela, Santana et al. 2013</v>
      </c>
    </row>
    <row r="219" spans="1:46">
      <c r="A219" s="5" t="s">
        <v>106</v>
      </c>
      <c r="B219" s="32" t="s">
        <v>97</v>
      </c>
      <c r="C219">
        <v>1</v>
      </c>
      <c r="D219">
        <v>750</v>
      </c>
      <c r="E219" s="8">
        <f>C219/750</f>
        <v>1.3333333333333333E-3</v>
      </c>
      <c r="F219" s="27" t="s">
        <v>19</v>
      </c>
      <c r="G219" s="41">
        <v>1.9166666666666667</v>
      </c>
      <c r="H219" s="41"/>
      <c r="I219" s="8">
        <f t="shared" si="19"/>
        <v>2.5555555555555557E-3</v>
      </c>
      <c r="J219" t="s">
        <v>208</v>
      </c>
      <c r="K219" t="s">
        <v>123</v>
      </c>
      <c r="L219" t="s">
        <v>22</v>
      </c>
      <c r="M219" t="s">
        <v>75</v>
      </c>
      <c r="N219" s="11">
        <v>68.099999999999994</v>
      </c>
      <c r="O219" s="11">
        <v>16.570370369999999</v>
      </c>
      <c r="P219" t="s">
        <v>48</v>
      </c>
      <c r="Q219" t="s">
        <v>49</v>
      </c>
      <c r="R219" t="s">
        <v>26</v>
      </c>
      <c r="S219" t="s">
        <v>27</v>
      </c>
      <c r="T219" t="str">
        <f>VLOOKUP(B219,'[1]Plant data'!$A$1:$AB$315,2,0)</f>
        <v>Arecaceae</v>
      </c>
      <c r="U219" t="str">
        <f>VLOOKUP($B219,'[1]Plant data'!$A$1:$AB$315,3,0)</f>
        <v>NA</v>
      </c>
      <c r="V219" t="str">
        <f>VLOOKUP($B219,'[1]Plant data'!$A$1:$AB$315,4,0)</f>
        <v>black</v>
      </c>
      <c r="W219" t="str">
        <f>VLOOKUP($B219,'[1]Plant data'!$A$1:$AB$315,5,0)</f>
        <v>YES</v>
      </c>
      <c r="X219">
        <f>VLOOKUP($B219,'[1]Plant data'!$A$1:$AB$315,6,0)</f>
        <v>13.294285714285715</v>
      </c>
      <c r="Y219">
        <f>VLOOKUP($B219,'[1]Plant data'!$A$1:$AB$315,7,0)</f>
        <v>12.980000000000002</v>
      </c>
      <c r="Z219">
        <f>VLOOKUP($B219,'[1]Plant data'!$A$1:$AB$315,8,0)</f>
        <v>11.3575</v>
      </c>
      <c r="AA219">
        <f>VLOOKUP($B219,'[1]Plant data'!$A$1:$AB$315,9,0)</f>
        <v>11.62275</v>
      </c>
      <c r="AB219">
        <f>VLOOKUP($B219,'[1]Plant data'!$A$1:$AB$315,10,0)</f>
        <v>1.4212800000000001</v>
      </c>
      <c r="AC219">
        <f>VLOOKUP($B219,'[1]Plant data'!$A$1:$AB$315,11,0)</f>
        <v>0.46</v>
      </c>
      <c r="AD219">
        <f>VLOOKUP($B219,'[1]Plant data'!$A$1:$AB$315,12,0)</f>
        <v>1.06515</v>
      </c>
      <c r="AE219">
        <f>VLOOKUP($B219,'[1]Plant data'!$A$1:$AB$315,13,0)</f>
        <v>0.32305000000000006</v>
      </c>
      <c r="AF219">
        <f>VLOOKUP($B219,'[1]Plant data'!$A$1:$AB$315,14,0)</f>
        <v>0.96343333333333325</v>
      </c>
      <c r="AG219">
        <f>VLOOKUP($B219,'[1]Plant data'!$A$1:$AB$315,15,0)</f>
        <v>1</v>
      </c>
      <c r="AH219" t="str">
        <f>VLOOKUP($B219,'[1]Plant data'!$A$1:$AB$315,16,0)</f>
        <v>NA</v>
      </c>
      <c r="AI219">
        <f>VLOOKUP($B219,'[1]Plant data'!$A$1:$AB$315,17,0)</f>
        <v>0.36819721900926922</v>
      </c>
      <c r="AJ219" t="str">
        <f>VLOOKUP($B219,'[1]Plant data'!$A$1:$AB$315,18,0)</f>
        <v>Castro &amp; Galetti 2004, Cazetta 2007, Erica&amp;Wesley, Intervales_morfo, Mikich 2002, Santana et al. 2013, Alves 2008</v>
      </c>
      <c r="AK219">
        <f>VLOOKUP($B219,'[1]Plant data'!$A$1:$AB$315,19,0)</f>
        <v>0.67774999999999996</v>
      </c>
      <c r="AL219">
        <f>VLOOKUP($B219,'[1]Plant data'!$A$1:$AB$315,20,0)</f>
        <v>0.13617499999999999</v>
      </c>
      <c r="AM219">
        <f>VLOOKUP($B219,'[1]Plant data'!$A$1:$AB$315,21,0)</f>
        <v>5.0733332999999999E-2</v>
      </c>
      <c r="AN219">
        <f>VLOOKUP($B219,'[1]Plant data'!$A$1:$AB$315,22,0)</f>
        <v>3.65E-3</v>
      </c>
      <c r="AO219">
        <f>VLOOKUP($B219,'[1]Plant data'!$A$1:$AB$315,23,0)</f>
        <v>0.182</v>
      </c>
      <c r="AP219" t="str">
        <f>VLOOKUP($B219,'[1]Plant data'!$A$1:$AB$315,24,0)</f>
        <v>NA</v>
      </c>
      <c r="AQ219">
        <f>VLOOKUP($B219,'[1]Plant data'!$A$1:$AB$315,25,0)</f>
        <v>0.69899999999999995</v>
      </c>
      <c r="AR219">
        <f>VLOOKUP($B219,'[1]Plant data'!$A$1:$AB$315,26,0)</f>
        <v>2.7E-2</v>
      </c>
      <c r="AS219" t="str">
        <f>VLOOKUP($B219,'[1]Plant data'!$A$1:$AB$315,27,0)</f>
        <v>NA</v>
      </c>
      <c r="AT219" t="str">
        <f>VLOOKUP($B219,'[1]Plant data'!$A$1:$AB$315,28,0)</f>
        <v>Cazetta 2007, Erica &amp; Wesley, unpubl., Saibadela, Santana et al. 2013</v>
      </c>
    </row>
    <row r="220" spans="1:46">
      <c r="A220" s="5" t="s">
        <v>106</v>
      </c>
      <c r="B220" s="32" t="s">
        <v>97</v>
      </c>
      <c r="C220">
        <v>1</v>
      </c>
      <c r="D220" s="25">
        <v>330</v>
      </c>
      <c r="E220" s="8">
        <f>C220/330</f>
        <v>3.0303030303030303E-3</v>
      </c>
      <c r="F220" s="27" t="s">
        <v>19</v>
      </c>
      <c r="G220" s="9">
        <v>2</v>
      </c>
      <c r="H220" s="9"/>
      <c r="I220" s="8">
        <f t="shared" si="19"/>
        <v>6.0606060606060606E-3</v>
      </c>
      <c r="J220" t="s">
        <v>208</v>
      </c>
      <c r="K220" t="s">
        <v>123</v>
      </c>
      <c r="L220" t="s">
        <v>22</v>
      </c>
      <c r="M220" t="s">
        <v>75</v>
      </c>
      <c r="N220" s="11">
        <v>68.099999999999994</v>
      </c>
      <c r="O220" s="11">
        <v>16.570370369999999</v>
      </c>
      <c r="P220" t="s">
        <v>48</v>
      </c>
      <c r="Q220" t="s">
        <v>49</v>
      </c>
      <c r="R220" t="s">
        <v>26</v>
      </c>
      <c r="S220" t="s">
        <v>27</v>
      </c>
      <c r="T220" t="str">
        <f>VLOOKUP(B220,'[1]Plant data'!$A$1:$AB$315,2,0)</f>
        <v>Arecaceae</v>
      </c>
      <c r="U220" t="str">
        <f>VLOOKUP($B220,'[1]Plant data'!$A$1:$AB$315,3,0)</f>
        <v>NA</v>
      </c>
      <c r="V220" t="str">
        <f>VLOOKUP($B220,'[1]Plant data'!$A$1:$AB$315,4,0)</f>
        <v>black</v>
      </c>
      <c r="W220" t="str">
        <f>VLOOKUP($B220,'[1]Plant data'!$A$1:$AB$315,5,0)</f>
        <v>YES</v>
      </c>
      <c r="X220">
        <f>VLOOKUP($B220,'[1]Plant data'!$A$1:$AB$315,6,0)</f>
        <v>13.294285714285715</v>
      </c>
      <c r="Y220">
        <f>VLOOKUP($B220,'[1]Plant data'!$A$1:$AB$315,7,0)</f>
        <v>12.980000000000002</v>
      </c>
      <c r="Z220">
        <f>VLOOKUP($B220,'[1]Plant data'!$A$1:$AB$315,8,0)</f>
        <v>11.3575</v>
      </c>
      <c r="AA220">
        <f>VLOOKUP($B220,'[1]Plant data'!$A$1:$AB$315,9,0)</f>
        <v>11.62275</v>
      </c>
      <c r="AB220">
        <f>VLOOKUP($B220,'[1]Plant data'!$A$1:$AB$315,10,0)</f>
        <v>1.4212800000000001</v>
      </c>
      <c r="AC220">
        <f>VLOOKUP($B220,'[1]Plant data'!$A$1:$AB$315,11,0)</f>
        <v>0.46</v>
      </c>
      <c r="AD220">
        <f>VLOOKUP($B220,'[1]Plant data'!$A$1:$AB$315,12,0)</f>
        <v>1.06515</v>
      </c>
      <c r="AE220">
        <f>VLOOKUP($B220,'[1]Plant data'!$A$1:$AB$315,13,0)</f>
        <v>0.32305000000000006</v>
      </c>
      <c r="AF220">
        <f>VLOOKUP($B220,'[1]Plant data'!$A$1:$AB$315,14,0)</f>
        <v>0.96343333333333325</v>
      </c>
      <c r="AG220">
        <f>VLOOKUP($B220,'[1]Plant data'!$A$1:$AB$315,15,0)</f>
        <v>1</v>
      </c>
      <c r="AH220" t="str">
        <f>VLOOKUP($B220,'[1]Plant data'!$A$1:$AB$315,16,0)</f>
        <v>NA</v>
      </c>
      <c r="AI220">
        <f>VLOOKUP($B220,'[1]Plant data'!$A$1:$AB$315,17,0)</f>
        <v>0.36819721900926922</v>
      </c>
      <c r="AJ220" t="str">
        <f>VLOOKUP($B220,'[1]Plant data'!$A$1:$AB$315,18,0)</f>
        <v>Castro &amp; Galetti 2004, Cazetta 2007, Erica&amp;Wesley, Intervales_morfo, Mikich 2002, Santana et al. 2013, Alves 2008</v>
      </c>
      <c r="AK220">
        <f>VLOOKUP($B220,'[1]Plant data'!$A$1:$AB$315,19,0)</f>
        <v>0.67774999999999996</v>
      </c>
      <c r="AL220">
        <f>VLOOKUP($B220,'[1]Plant data'!$A$1:$AB$315,20,0)</f>
        <v>0.13617499999999999</v>
      </c>
      <c r="AM220">
        <f>VLOOKUP($B220,'[1]Plant data'!$A$1:$AB$315,21,0)</f>
        <v>5.0733332999999999E-2</v>
      </c>
      <c r="AN220">
        <f>VLOOKUP($B220,'[1]Plant data'!$A$1:$AB$315,22,0)</f>
        <v>3.65E-3</v>
      </c>
      <c r="AO220">
        <f>VLOOKUP($B220,'[1]Plant data'!$A$1:$AB$315,23,0)</f>
        <v>0.182</v>
      </c>
      <c r="AP220" t="str">
        <f>VLOOKUP($B220,'[1]Plant data'!$A$1:$AB$315,24,0)</f>
        <v>NA</v>
      </c>
      <c r="AQ220">
        <f>VLOOKUP($B220,'[1]Plant data'!$A$1:$AB$315,25,0)</f>
        <v>0.69899999999999995</v>
      </c>
      <c r="AR220">
        <f>VLOOKUP($B220,'[1]Plant data'!$A$1:$AB$315,26,0)</f>
        <v>2.7E-2</v>
      </c>
      <c r="AS220" t="str">
        <f>VLOOKUP($B220,'[1]Plant data'!$A$1:$AB$315,27,0)</f>
        <v>NA</v>
      </c>
      <c r="AT220" t="str">
        <f>VLOOKUP($B220,'[1]Plant data'!$A$1:$AB$315,28,0)</f>
        <v>Cazetta 2007, Erica &amp; Wesley, unpubl., Saibadela, Santana et al. 2013</v>
      </c>
    </row>
    <row r="221" spans="1:46">
      <c r="A221" s="5" t="s">
        <v>107</v>
      </c>
      <c r="B221" s="32" t="s">
        <v>97</v>
      </c>
      <c r="C221">
        <v>6</v>
      </c>
      <c r="D221">
        <v>750</v>
      </c>
      <c r="E221" s="8">
        <f>C221/750</f>
        <v>8.0000000000000002E-3</v>
      </c>
      <c r="F221" s="27" t="s">
        <v>19</v>
      </c>
      <c r="G221" s="41">
        <v>5.6297108066971084</v>
      </c>
      <c r="H221" s="41"/>
      <c r="I221" s="8">
        <f t="shared" si="19"/>
        <v>4.5037686453576871E-2</v>
      </c>
      <c r="J221" t="s">
        <v>208</v>
      </c>
      <c r="K221" t="s">
        <v>123</v>
      </c>
      <c r="L221" t="s">
        <v>108</v>
      </c>
      <c r="M221" t="s">
        <v>109</v>
      </c>
      <c r="N221" s="11">
        <v>89.7</v>
      </c>
      <c r="O221" s="11">
        <v>20.489000000000001</v>
      </c>
      <c r="P221" t="s">
        <v>48</v>
      </c>
      <c r="Q221" t="s">
        <v>25</v>
      </c>
      <c r="R221" t="s">
        <v>26</v>
      </c>
      <c r="S221" t="s">
        <v>31</v>
      </c>
      <c r="T221" t="str">
        <f>VLOOKUP(B221,'[1]Plant data'!$A$1:$AB$315,2,0)</f>
        <v>Arecaceae</v>
      </c>
      <c r="U221" t="str">
        <f>VLOOKUP($B221,'[1]Plant data'!$A$1:$AB$315,3,0)</f>
        <v>NA</v>
      </c>
      <c r="V221" t="str">
        <f>VLOOKUP($B221,'[1]Plant data'!$A$1:$AB$315,4,0)</f>
        <v>black</v>
      </c>
      <c r="W221" t="str">
        <f>VLOOKUP($B221,'[1]Plant data'!$A$1:$AB$315,5,0)</f>
        <v>YES</v>
      </c>
      <c r="X221">
        <f>VLOOKUP($B221,'[1]Plant data'!$A$1:$AB$315,6,0)</f>
        <v>13.294285714285715</v>
      </c>
      <c r="Y221">
        <f>VLOOKUP($B221,'[1]Plant data'!$A$1:$AB$315,7,0)</f>
        <v>12.980000000000002</v>
      </c>
      <c r="Z221">
        <f>VLOOKUP($B221,'[1]Plant data'!$A$1:$AB$315,8,0)</f>
        <v>11.3575</v>
      </c>
      <c r="AA221">
        <f>VLOOKUP($B221,'[1]Plant data'!$A$1:$AB$315,9,0)</f>
        <v>11.62275</v>
      </c>
      <c r="AB221">
        <f>VLOOKUP($B221,'[1]Plant data'!$A$1:$AB$315,10,0)</f>
        <v>1.4212800000000001</v>
      </c>
      <c r="AC221">
        <f>VLOOKUP($B221,'[1]Plant data'!$A$1:$AB$315,11,0)</f>
        <v>0.46</v>
      </c>
      <c r="AD221">
        <f>VLOOKUP($B221,'[1]Plant data'!$A$1:$AB$315,12,0)</f>
        <v>1.06515</v>
      </c>
      <c r="AE221">
        <f>VLOOKUP($B221,'[1]Plant data'!$A$1:$AB$315,13,0)</f>
        <v>0.32305000000000006</v>
      </c>
      <c r="AF221">
        <f>VLOOKUP($B221,'[1]Plant data'!$A$1:$AB$315,14,0)</f>
        <v>0.96343333333333325</v>
      </c>
      <c r="AG221">
        <f>VLOOKUP($B221,'[1]Plant data'!$A$1:$AB$315,15,0)</f>
        <v>1</v>
      </c>
      <c r="AH221" t="str">
        <f>VLOOKUP($B221,'[1]Plant data'!$A$1:$AB$315,16,0)</f>
        <v>NA</v>
      </c>
      <c r="AI221">
        <f>VLOOKUP($B221,'[1]Plant data'!$A$1:$AB$315,17,0)</f>
        <v>0.36819721900926922</v>
      </c>
      <c r="AJ221" t="str">
        <f>VLOOKUP($B221,'[1]Plant data'!$A$1:$AB$315,18,0)</f>
        <v>Castro &amp; Galetti 2004, Cazetta 2007, Erica&amp;Wesley, Intervales_morfo, Mikich 2002, Santana et al. 2013, Alves 2008</v>
      </c>
      <c r="AK221">
        <f>VLOOKUP($B221,'[1]Plant data'!$A$1:$AB$315,19,0)</f>
        <v>0.67774999999999996</v>
      </c>
      <c r="AL221">
        <f>VLOOKUP($B221,'[1]Plant data'!$A$1:$AB$315,20,0)</f>
        <v>0.13617499999999999</v>
      </c>
      <c r="AM221">
        <f>VLOOKUP($B221,'[1]Plant data'!$A$1:$AB$315,21,0)</f>
        <v>5.0733332999999999E-2</v>
      </c>
      <c r="AN221">
        <f>VLOOKUP($B221,'[1]Plant data'!$A$1:$AB$315,22,0)</f>
        <v>3.65E-3</v>
      </c>
      <c r="AO221">
        <f>VLOOKUP($B221,'[1]Plant data'!$A$1:$AB$315,23,0)</f>
        <v>0.182</v>
      </c>
      <c r="AP221" t="str">
        <f>VLOOKUP($B221,'[1]Plant data'!$A$1:$AB$315,24,0)</f>
        <v>NA</v>
      </c>
      <c r="AQ221">
        <f>VLOOKUP($B221,'[1]Plant data'!$A$1:$AB$315,25,0)</f>
        <v>0.69899999999999995</v>
      </c>
      <c r="AR221">
        <f>VLOOKUP($B221,'[1]Plant data'!$A$1:$AB$315,26,0)</f>
        <v>2.7E-2</v>
      </c>
      <c r="AS221" t="str">
        <f>VLOOKUP($B221,'[1]Plant data'!$A$1:$AB$315,27,0)</f>
        <v>NA</v>
      </c>
      <c r="AT221" t="str">
        <f>VLOOKUP($B221,'[1]Plant data'!$A$1:$AB$315,28,0)</f>
        <v>Cazetta 2007, Erica &amp; Wesley, unpubl., Saibadela, Santana et al. 2013</v>
      </c>
    </row>
    <row r="222" spans="1:46">
      <c r="A222" s="5" t="s">
        <v>107</v>
      </c>
      <c r="B222" s="32" t="s">
        <v>97</v>
      </c>
      <c r="C222">
        <v>6</v>
      </c>
      <c r="D222" s="25">
        <v>330</v>
      </c>
      <c r="E222" s="8">
        <f>(C222/330)*1.5</f>
        <v>2.7272727272727271E-2</v>
      </c>
      <c r="F222" s="27" t="s">
        <v>19</v>
      </c>
      <c r="G222" s="9">
        <v>3.6</v>
      </c>
      <c r="H222" s="9"/>
      <c r="I222" s="8">
        <f t="shared" si="19"/>
        <v>9.8181818181818176E-2</v>
      </c>
      <c r="J222" t="s">
        <v>208</v>
      </c>
      <c r="K222" t="s">
        <v>123</v>
      </c>
      <c r="L222" t="s">
        <v>108</v>
      </c>
      <c r="M222" t="s">
        <v>109</v>
      </c>
      <c r="N222" s="11">
        <v>89.7</v>
      </c>
      <c r="O222" s="11">
        <v>20.489000000000001</v>
      </c>
      <c r="P222" t="s">
        <v>48</v>
      </c>
      <c r="Q222" t="s">
        <v>25</v>
      </c>
      <c r="R222" t="s">
        <v>26</v>
      </c>
      <c r="S222" t="s">
        <v>31</v>
      </c>
      <c r="T222" t="str">
        <f>VLOOKUP(B222,'[1]Plant data'!$A$1:$AB$315,2,0)</f>
        <v>Arecaceae</v>
      </c>
      <c r="U222" t="str">
        <f>VLOOKUP($B222,'[1]Plant data'!$A$1:$AB$315,3,0)</f>
        <v>NA</v>
      </c>
      <c r="V222" t="str">
        <f>VLOOKUP($B222,'[1]Plant data'!$A$1:$AB$315,4,0)</f>
        <v>black</v>
      </c>
      <c r="W222" t="str">
        <f>VLOOKUP($B222,'[1]Plant data'!$A$1:$AB$315,5,0)</f>
        <v>YES</v>
      </c>
      <c r="X222">
        <f>VLOOKUP($B222,'[1]Plant data'!$A$1:$AB$315,6,0)</f>
        <v>13.294285714285715</v>
      </c>
      <c r="Y222">
        <f>VLOOKUP($B222,'[1]Plant data'!$A$1:$AB$315,7,0)</f>
        <v>12.980000000000002</v>
      </c>
      <c r="Z222">
        <f>VLOOKUP($B222,'[1]Plant data'!$A$1:$AB$315,8,0)</f>
        <v>11.3575</v>
      </c>
      <c r="AA222">
        <f>VLOOKUP($B222,'[1]Plant data'!$A$1:$AB$315,9,0)</f>
        <v>11.62275</v>
      </c>
      <c r="AB222">
        <f>VLOOKUP($B222,'[1]Plant data'!$A$1:$AB$315,10,0)</f>
        <v>1.4212800000000001</v>
      </c>
      <c r="AC222">
        <f>VLOOKUP($B222,'[1]Plant data'!$A$1:$AB$315,11,0)</f>
        <v>0.46</v>
      </c>
      <c r="AD222">
        <f>VLOOKUP($B222,'[1]Plant data'!$A$1:$AB$315,12,0)</f>
        <v>1.06515</v>
      </c>
      <c r="AE222">
        <f>VLOOKUP($B222,'[1]Plant data'!$A$1:$AB$315,13,0)</f>
        <v>0.32305000000000006</v>
      </c>
      <c r="AF222">
        <f>VLOOKUP($B222,'[1]Plant data'!$A$1:$AB$315,14,0)</f>
        <v>0.96343333333333325</v>
      </c>
      <c r="AG222">
        <f>VLOOKUP($B222,'[1]Plant data'!$A$1:$AB$315,15,0)</f>
        <v>1</v>
      </c>
      <c r="AH222" t="str">
        <f>VLOOKUP($B222,'[1]Plant data'!$A$1:$AB$315,16,0)</f>
        <v>NA</v>
      </c>
      <c r="AI222">
        <f>VLOOKUP($B222,'[1]Plant data'!$A$1:$AB$315,17,0)</f>
        <v>0.36819721900926922</v>
      </c>
      <c r="AJ222" t="str">
        <f>VLOOKUP($B222,'[1]Plant data'!$A$1:$AB$315,18,0)</f>
        <v>Castro &amp; Galetti 2004, Cazetta 2007, Erica&amp;Wesley, Intervales_morfo, Mikich 2002, Santana et al. 2013, Alves 2008</v>
      </c>
      <c r="AK222">
        <f>VLOOKUP($B222,'[1]Plant data'!$A$1:$AB$315,19,0)</f>
        <v>0.67774999999999996</v>
      </c>
      <c r="AL222">
        <f>VLOOKUP($B222,'[1]Plant data'!$A$1:$AB$315,20,0)</f>
        <v>0.13617499999999999</v>
      </c>
      <c r="AM222">
        <f>VLOOKUP($B222,'[1]Plant data'!$A$1:$AB$315,21,0)</f>
        <v>5.0733332999999999E-2</v>
      </c>
      <c r="AN222">
        <f>VLOOKUP($B222,'[1]Plant data'!$A$1:$AB$315,22,0)</f>
        <v>3.65E-3</v>
      </c>
      <c r="AO222">
        <f>VLOOKUP($B222,'[1]Plant data'!$A$1:$AB$315,23,0)</f>
        <v>0.182</v>
      </c>
      <c r="AP222" t="str">
        <f>VLOOKUP($B222,'[1]Plant data'!$A$1:$AB$315,24,0)</f>
        <v>NA</v>
      </c>
      <c r="AQ222">
        <f>VLOOKUP($B222,'[1]Plant data'!$A$1:$AB$315,25,0)</f>
        <v>0.69899999999999995</v>
      </c>
      <c r="AR222">
        <f>VLOOKUP($B222,'[1]Plant data'!$A$1:$AB$315,26,0)</f>
        <v>2.7E-2</v>
      </c>
      <c r="AS222" t="str">
        <f>VLOOKUP($B222,'[1]Plant data'!$A$1:$AB$315,27,0)</f>
        <v>NA</v>
      </c>
      <c r="AT222" t="str">
        <f>VLOOKUP($B222,'[1]Plant data'!$A$1:$AB$315,28,0)</f>
        <v>Cazetta 2007, Erica &amp; Wesley, unpubl., Saibadela, Santana et al. 2013</v>
      </c>
    </row>
    <row r="223" spans="1:46">
      <c r="A223" s="5" t="s">
        <v>107</v>
      </c>
      <c r="B223" s="32" t="s">
        <v>97</v>
      </c>
      <c r="C223">
        <v>2</v>
      </c>
      <c r="D223">
        <v>33</v>
      </c>
      <c r="E223" s="8">
        <f>C223/33</f>
        <v>6.0606060606060608E-2</v>
      </c>
      <c r="F223" s="27" t="s">
        <v>19</v>
      </c>
      <c r="G223" s="9">
        <v>38.5</v>
      </c>
      <c r="H223" s="9"/>
      <c r="I223" s="8">
        <f t="shared" si="19"/>
        <v>2.3333333333333335</v>
      </c>
      <c r="J223" t="s">
        <v>208</v>
      </c>
      <c r="K223" t="s">
        <v>123</v>
      </c>
      <c r="L223" t="s">
        <v>108</v>
      </c>
      <c r="M223" t="s">
        <v>109</v>
      </c>
      <c r="N223" s="11">
        <v>89.7</v>
      </c>
      <c r="O223" s="11">
        <v>20.489000000000001</v>
      </c>
      <c r="P223" t="s">
        <v>48</v>
      </c>
      <c r="Q223" t="s">
        <v>25</v>
      </c>
      <c r="R223" t="s">
        <v>26</v>
      </c>
      <c r="S223" t="s">
        <v>31</v>
      </c>
      <c r="T223" t="str">
        <f>VLOOKUP(B223,'[1]Plant data'!$A$1:$AB$315,2,0)</f>
        <v>Arecaceae</v>
      </c>
      <c r="U223" t="str">
        <f>VLOOKUP($B223,'[1]Plant data'!$A$1:$AB$315,3,0)</f>
        <v>NA</v>
      </c>
      <c r="V223" t="str">
        <f>VLOOKUP($B223,'[1]Plant data'!$A$1:$AB$315,4,0)</f>
        <v>black</v>
      </c>
      <c r="W223" t="str">
        <f>VLOOKUP($B223,'[1]Plant data'!$A$1:$AB$315,5,0)</f>
        <v>YES</v>
      </c>
      <c r="X223">
        <f>VLOOKUP($B223,'[1]Plant data'!$A$1:$AB$315,6,0)</f>
        <v>13.294285714285715</v>
      </c>
      <c r="Y223">
        <f>VLOOKUP($B223,'[1]Plant data'!$A$1:$AB$315,7,0)</f>
        <v>12.980000000000002</v>
      </c>
      <c r="Z223">
        <f>VLOOKUP($B223,'[1]Plant data'!$A$1:$AB$315,8,0)</f>
        <v>11.3575</v>
      </c>
      <c r="AA223">
        <f>VLOOKUP($B223,'[1]Plant data'!$A$1:$AB$315,9,0)</f>
        <v>11.62275</v>
      </c>
      <c r="AB223">
        <f>VLOOKUP($B223,'[1]Plant data'!$A$1:$AB$315,10,0)</f>
        <v>1.4212800000000001</v>
      </c>
      <c r="AC223">
        <f>VLOOKUP($B223,'[1]Plant data'!$A$1:$AB$315,11,0)</f>
        <v>0.46</v>
      </c>
      <c r="AD223">
        <f>VLOOKUP($B223,'[1]Plant data'!$A$1:$AB$315,12,0)</f>
        <v>1.06515</v>
      </c>
      <c r="AE223">
        <f>VLOOKUP($B223,'[1]Plant data'!$A$1:$AB$315,13,0)</f>
        <v>0.32305000000000006</v>
      </c>
      <c r="AF223">
        <f>VLOOKUP($B223,'[1]Plant data'!$A$1:$AB$315,14,0)</f>
        <v>0.96343333333333325</v>
      </c>
      <c r="AG223">
        <f>VLOOKUP($B223,'[1]Plant data'!$A$1:$AB$315,15,0)</f>
        <v>1</v>
      </c>
      <c r="AH223" t="str">
        <f>VLOOKUP($B223,'[1]Plant data'!$A$1:$AB$315,16,0)</f>
        <v>NA</v>
      </c>
      <c r="AI223">
        <f>VLOOKUP($B223,'[1]Plant data'!$A$1:$AB$315,17,0)</f>
        <v>0.36819721900926922</v>
      </c>
      <c r="AJ223" t="str">
        <f>VLOOKUP($B223,'[1]Plant data'!$A$1:$AB$315,18,0)</f>
        <v>Castro &amp; Galetti 2004, Cazetta 2007, Erica&amp;Wesley, Intervales_morfo, Mikich 2002, Santana et al. 2013, Alves 2008</v>
      </c>
      <c r="AK223">
        <f>VLOOKUP($B223,'[1]Plant data'!$A$1:$AB$315,19,0)</f>
        <v>0.67774999999999996</v>
      </c>
      <c r="AL223">
        <f>VLOOKUP($B223,'[1]Plant data'!$A$1:$AB$315,20,0)</f>
        <v>0.13617499999999999</v>
      </c>
      <c r="AM223">
        <f>VLOOKUP($B223,'[1]Plant data'!$A$1:$AB$315,21,0)</f>
        <v>5.0733332999999999E-2</v>
      </c>
      <c r="AN223">
        <f>VLOOKUP($B223,'[1]Plant data'!$A$1:$AB$315,22,0)</f>
        <v>3.65E-3</v>
      </c>
      <c r="AO223">
        <f>VLOOKUP($B223,'[1]Plant data'!$A$1:$AB$315,23,0)</f>
        <v>0.182</v>
      </c>
      <c r="AP223" t="str">
        <f>VLOOKUP($B223,'[1]Plant data'!$A$1:$AB$315,24,0)</f>
        <v>NA</v>
      </c>
      <c r="AQ223">
        <f>VLOOKUP($B223,'[1]Plant data'!$A$1:$AB$315,25,0)</f>
        <v>0.69899999999999995</v>
      </c>
      <c r="AR223">
        <f>VLOOKUP($B223,'[1]Plant data'!$A$1:$AB$315,26,0)</f>
        <v>2.7E-2</v>
      </c>
      <c r="AS223" t="str">
        <f>VLOOKUP($B223,'[1]Plant data'!$A$1:$AB$315,27,0)</f>
        <v>NA</v>
      </c>
      <c r="AT223" t="str">
        <f>VLOOKUP($B223,'[1]Plant data'!$A$1:$AB$315,28,0)</f>
        <v>Cazetta 2007, Erica &amp; Wesley, unpubl., Saibadela, Santana et al. 2013</v>
      </c>
    </row>
    <row r="224" spans="1:46">
      <c r="A224" s="5" t="s">
        <v>46</v>
      </c>
      <c r="B224" s="33" t="s">
        <v>97</v>
      </c>
      <c r="C224">
        <v>4</v>
      </c>
      <c r="D224">
        <v>750</v>
      </c>
      <c r="E224" s="8">
        <f>C224/750</f>
        <v>5.3333333333333332E-3</v>
      </c>
      <c r="F224" s="27" t="s">
        <v>19</v>
      </c>
      <c r="G224" s="41">
        <v>2.08</v>
      </c>
      <c r="H224" s="41"/>
      <c r="I224" s="8">
        <f t="shared" si="19"/>
        <v>1.1093333333333334E-2</v>
      </c>
      <c r="J224" s="10" t="s">
        <v>208</v>
      </c>
      <c r="K224" t="s">
        <v>123</v>
      </c>
      <c r="L224" t="s">
        <v>22</v>
      </c>
      <c r="M224" t="s">
        <v>47</v>
      </c>
      <c r="N224" s="11">
        <v>54</v>
      </c>
      <c r="O224" s="11">
        <v>11.14875</v>
      </c>
      <c r="P224" t="s">
        <v>48</v>
      </c>
      <c r="Q224" t="s">
        <v>49</v>
      </c>
      <c r="R224" t="s">
        <v>26</v>
      </c>
      <c r="S224" t="s">
        <v>31</v>
      </c>
      <c r="T224" t="str">
        <f>VLOOKUP(B224,'[1]Plant data'!$A$1:$AB$315,2,0)</f>
        <v>Arecaceae</v>
      </c>
      <c r="U224" t="str">
        <f>VLOOKUP($B224,'[1]Plant data'!$A$1:$AB$315,3,0)</f>
        <v>NA</v>
      </c>
      <c r="V224" t="str">
        <f>VLOOKUP($B224,'[1]Plant data'!$A$1:$AB$315,4,0)</f>
        <v>black</v>
      </c>
      <c r="W224" t="str">
        <f>VLOOKUP($B224,'[1]Plant data'!$A$1:$AB$315,5,0)</f>
        <v>YES</v>
      </c>
      <c r="X224">
        <f>VLOOKUP($B224,'[1]Plant data'!$A$1:$AB$315,6,0)</f>
        <v>13.294285714285715</v>
      </c>
      <c r="Y224">
        <f>VLOOKUP($B224,'[1]Plant data'!$A$1:$AB$315,7,0)</f>
        <v>12.980000000000002</v>
      </c>
      <c r="Z224">
        <f>VLOOKUP($B224,'[1]Plant data'!$A$1:$AB$315,8,0)</f>
        <v>11.3575</v>
      </c>
      <c r="AA224">
        <f>VLOOKUP($B224,'[1]Plant data'!$A$1:$AB$315,9,0)</f>
        <v>11.62275</v>
      </c>
      <c r="AB224">
        <f>VLOOKUP($B224,'[1]Plant data'!$A$1:$AB$315,10,0)</f>
        <v>1.4212800000000001</v>
      </c>
      <c r="AC224">
        <f>VLOOKUP($B224,'[1]Plant data'!$A$1:$AB$315,11,0)</f>
        <v>0.46</v>
      </c>
      <c r="AD224">
        <f>VLOOKUP($B224,'[1]Plant data'!$A$1:$AB$315,12,0)</f>
        <v>1.06515</v>
      </c>
      <c r="AE224">
        <f>VLOOKUP($B224,'[1]Plant data'!$A$1:$AB$315,13,0)</f>
        <v>0.32305000000000006</v>
      </c>
      <c r="AF224">
        <f>VLOOKUP($B224,'[1]Plant data'!$A$1:$AB$315,14,0)</f>
        <v>0.96343333333333325</v>
      </c>
      <c r="AG224">
        <f>VLOOKUP($B224,'[1]Plant data'!$A$1:$AB$315,15,0)</f>
        <v>1</v>
      </c>
      <c r="AH224" t="str">
        <f>VLOOKUP($B224,'[1]Plant data'!$A$1:$AB$315,16,0)</f>
        <v>NA</v>
      </c>
      <c r="AI224">
        <f>VLOOKUP($B224,'[1]Plant data'!$A$1:$AB$315,17,0)</f>
        <v>0.36819721900926922</v>
      </c>
      <c r="AJ224" t="str">
        <f>VLOOKUP($B224,'[1]Plant data'!$A$1:$AB$315,18,0)</f>
        <v>Castro &amp; Galetti 2004, Cazetta 2007, Erica&amp;Wesley, Intervales_morfo, Mikich 2002, Santana et al. 2013, Alves 2008</v>
      </c>
      <c r="AK224">
        <f>VLOOKUP($B224,'[1]Plant data'!$A$1:$AB$315,19,0)</f>
        <v>0.67774999999999996</v>
      </c>
      <c r="AL224">
        <f>VLOOKUP($B224,'[1]Plant data'!$A$1:$AB$315,20,0)</f>
        <v>0.13617499999999999</v>
      </c>
      <c r="AM224">
        <f>VLOOKUP($B224,'[1]Plant data'!$A$1:$AB$315,21,0)</f>
        <v>5.0733332999999999E-2</v>
      </c>
      <c r="AN224">
        <f>VLOOKUP($B224,'[1]Plant data'!$A$1:$AB$315,22,0)</f>
        <v>3.65E-3</v>
      </c>
      <c r="AO224">
        <f>VLOOKUP($B224,'[1]Plant data'!$A$1:$AB$315,23,0)</f>
        <v>0.182</v>
      </c>
      <c r="AP224" t="str">
        <f>VLOOKUP($B224,'[1]Plant data'!$A$1:$AB$315,24,0)</f>
        <v>NA</v>
      </c>
      <c r="AQ224">
        <f>VLOOKUP($B224,'[1]Plant data'!$A$1:$AB$315,25,0)</f>
        <v>0.69899999999999995</v>
      </c>
      <c r="AR224">
        <f>VLOOKUP($B224,'[1]Plant data'!$A$1:$AB$315,26,0)</f>
        <v>2.7E-2</v>
      </c>
      <c r="AS224" t="str">
        <f>VLOOKUP($B224,'[1]Plant data'!$A$1:$AB$315,27,0)</f>
        <v>NA</v>
      </c>
      <c r="AT224" t="str">
        <f>VLOOKUP($B224,'[1]Plant data'!$A$1:$AB$315,28,0)</f>
        <v>Cazetta 2007, Erica &amp; Wesley, unpubl., Saibadela, Santana et al. 2013</v>
      </c>
    </row>
    <row r="225" spans="1:46">
      <c r="A225" s="5" t="s">
        <v>46</v>
      </c>
      <c r="B225" s="33" t="s">
        <v>97</v>
      </c>
      <c r="C225">
        <v>4</v>
      </c>
      <c r="D225">
        <v>330</v>
      </c>
      <c r="E225" s="8">
        <f>C225/330</f>
        <v>1.2121212121212121E-2</v>
      </c>
      <c r="F225" s="27" t="s">
        <v>19</v>
      </c>
      <c r="G225" s="9">
        <v>1.5</v>
      </c>
      <c r="H225" s="9"/>
      <c r="I225" s="8">
        <f t="shared" si="19"/>
        <v>1.8181818181818181E-2</v>
      </c>
      <c r="J225" s="10" t="s">
        <v>208</v>
      </c>
      <c r="K225" t="s">
        <v>123</v>
      </c>
      <c r="L225" t="s">
        <v>22</v>
      </c>
      <c r="M225" t="s">
        <v>47</v>
      </c>
      <c r="N225" s="11">
        <v>54</v>
      </c>
      <c r="O225" s="11">
        <v>11.14875</v>
      </c>
      <c r="P225" t="s">
        <v>48</v>
      </c>
      <c r="Q225" t="s">
        <v>49</v>
      </c>
      <c r="R225" t="s">
        <v>26</v>
      </c>
      <c r="S225" t="s">
        <v>31</v>
      </c>
      <c r="T225" t="str">
        <f>VLOOKUP(B225,'[1]Plant data'!$A$1:$AB$315,2,0)</f>
        <v>Arecaceae</v>
      </c>
      <c r="U225" t="str">
        <f>VLOOKUP($B225,'[1]Plant data'!$A$1:$AB$315,3,0)</f>
        <v>NA</v>
      </c>
      <c r="V225" t="str">
        <f>VLOOKUP($B225,'[1]Plant data'!$A$1:$AB$315,4,0)</f>
        <v>black</v>
      </c>
      <c r="W225" t="str">
        <f>VLOOKUP($B225,'[1]Plant data'!$A$1:$AB$315,5,0)</f>
        <v>YES</v>
      </c>
      <c r="X225">
        <f>VLOOKUP($B225,'[1]Plant data'!$A$1:$AB$315,6,0)</f>
        <v>13.294285714285715</v>
      </c>
      <c r="Y225">
        <f>VLOOKUP($B225,'[1]Plant data'!$A$1:$AB$315,7,0)</f>
        <v>12.980000000000002</v>
      </c>
      <c r="Z225">
        <f>VLOOKUP($B225,'[1]Plant data'!$A$1:$AB$315,8,0)</f>
        <v>11.3575</v>
      </c>
      <c r="AA225">
        <f>VLOOKUP($B225,'[1]Plant data'!$A$1:$AB$315,9,0)</f>
        <v>11.62275</v>
      </c>
      <c r="AB225">
        <f>VLOOKUP($B225,'[1]Plant data'!$A$1:$AB$315,10,0)</f>
        <v>1.4212800000000001</v>
      </c>
      <c r="AC225">
        <f>VLOOKUP($B225,'[1]Plant data'!$A$1:$AB$315,11,0)</f>
        <v>0.46</v>
      </c>
      <c r="AD225">
        <f>VLOOKUP($B225,'[1]Plant data'!$A$1:$AB$315,12,0)</f>
        <v>1.06515</v>
      </c>
      <c r="AE225">
        <f>VLOOKUP($B225,'[1]Plant data'!$A$1:$AB$315,13,0)</f>
        <v>0.32305000000000006</v>
      </c>
      <c r="AF225">
        <f>VLOOKUP($B225,'[1]Plant data'!$A$1:$AB$315,14,0)</f>
        <v>0.96343333333333325</v>
      </c>
      <c r="AG225">
        <f>VLOOKUP($B225,'[1]Plant data'!$A$1:$AB$315,15,0)</f>
        <v>1</v>
      </c>
      <c r="AH225" t="str">
        <f>VLOOKUP($B225,'[1]Plant data'!$A$1:$AB$315,16,0)</f>
        <v>NA</v>
      </c>
      <c r="AI225">
        <f>VLOOKUP($B225,'[1]Plant data'!$A$1:$AB$315,17,0)</f>
        <v>0.36819721900926922</v>
      </c>
      <c r="AJ225" t="str">
        <f>VLOOKUP($B225,'[1]Plant data'!$A$1:$AB$315,18,0)</f>
        <v>Castro &amp; Galetti 2004, Cazetta 2007, Erica&amp;Wesley, Intervales_morfo, Mikich 2002, Santana et al. 2013, Alves 2008</v>
      </c>
      <c r="AK225">
        <f>VLOOKUP($B225,'[1]Plant data'!$A$1:$AB$315,19,0)</f>
        <v>0.67774999999999996</v>
      </c>
      <c r="AL225">
        <f>VLOOKUP($B225,'[1]Plant data'!$A$1:$AB$315,20,0)</f>
        <v>0.13617499999999999</v>
      </c>
      <c r="AM225">
        <f>VLOOKUP($B225,'[1]Plant data'!$A$1:$AB$315,21,0)</f>
        <v>5.0733332999999999E-2</v>
      </c>
      <c r="AN225">
        <f>VLOOKUP($B225,'[1]Plant data'!$A$1:$AB$315,22,0)</f>
        <v>3.65E-3</v>
      </c>
      <c r="AO225">
        <f>VLOOKUP($B225,'[1]Plant data'!$A$1:$AB$315,23,0)</f>
        <v>0.182</v>
      </c>
      <c r="AP225" t="str">
        <f>VLOOKUP($B225,'[1]Plant data'!$A$1:$AB$315,24,0)</f>
        <v>NA</v>
      </c>
      <c r="AQ225">
        <f>VLOOKUP($B225,'[1]Plant data'!$A$1:$AB$315,25,0)</f>
        <v>0.69899999999999995</v>
      </c>
      <c r="AR225">
        <f>VLOOKUP($B225,'[1]Plant data'!$A$1:$AB$315,26,0)</f>
        <v>2.7E-2</v>
      </c>
      <c r="AS225" t="str">
        <f>VLOOKUP($B225,'[1]Plant data'!$A$1:$AB$315,27,0)</f>
        <v>NA</v>
      </c>
      <c r="AT225" t="str">
        <f>VLOOKUP($B225,'[1]Plant data'!$A$1:$AB$315,28,0)</f>
        <v>Cazetta 2007, Erica &amp; Wesley, unpubl., Saibadela, Santana et al. 2013</v>
      </c>
    </row>
    <row r="226" spans="1:46">
      <c r="A226" s="5" t="s">
        <v>50</v>
      </c>
      <c r="B226" s="32" t="s">
        <v>97</v>
      </c>
      <c r="C226">
        <v>2</v>
      </c>
      <c r="D226">
        <v>750</v>
      </c>
      <c r="E226" s="8">
        <f>C226/750</f>
        <v>2.6666666666666666E-3</v>
      </c>
      <c r="F226" s="27" t="s">
        <v>19</v>
      </c>
      <c r="G226" s="41">
        <v>1.6008333333333331</v>
      </c>
      <c r="H226" s="41"/>
      <c r="I226" s="8">
        <f t="shared" si="19"/>
        <v>4.268888888888888E-3</v>
      </c>
      <c r="J226" t="s">
        <v>208</v>
      </c>
      <c r="K226" t="s">
        <v>123</v>
      </c>
      <c r="L226" t="s">
        <v>22</v>
      </c>
      <c r="M226" t="s">
        <v>47</v>
      </c>
      <c r="N226" s="11">
        <v>69.5</v>
      </c>
      <c r="O226" s="11">
        <v>13.253214290000001</v>
      </c>
      <c r="P226" t="s">
        <v>48</v>
      </c>
      <c r="Q226" t="s">
        <v>25</v>
      </c>
      <c r="R226" t="s">
        <v>26</v>
      </c>
      <c r="S226" t="s">
        <v>31</v>
      </c>
      <c r="T226" t="str">
        <f>VLOOKUP(B226,'[1]Plant data'!$A$1:$AB$315,2,0)</f>
        <v>Arecaceae</v>
      </c>
      <c r="U226" t="str">
        <f>VLOOKUP($B226,'[1]Plant data'!$A$1:$AB$315,3,0)</f>
        <v>NA</v>
      </c>
      <c r="V226" t="str">
        <f>VLOOKUP($B226,'[1]Plant data'!$A$1:$AB$315,4,0)</f>
        <v>black</v>
      </c>
      <c r="W226" t="str">
        <f>VLOOKUP($B226,'[1]Plant data'!$A$1:$AB$315,5,0)</f>
        <v>YES</v>
      </c>
      <c r="X226">
        <f>VLOOKUP($B226,'[1]Plant data'!$A$1:$AB$315,6,0)</f>
        <v>13.294285714285715</v>
      </c>
      <c r="Y226">
        <f>VLOOKUP($B226,'[1]Plant data'!$A$1:$AB$315,7,0)</f>
        <v>12.980000000000002</v>
      </c>
      <c r="Z226">
        <f>VLOOKUP($B226,'[1]Plant data'!$A$1:$AB$315,8,0)</f>
        <v>11.3575</v>
      </c>
      <c r="AA226">
        <f>VLOOKUP($B226,'[1]Plant data'!$A$1:$AB$315,9,0)</f>
        <v>11.62275</v>
      </c>
      <c r="AB226">
        <f>VLOOKUP($B226,'[1]Plant data'!$A$1:$AB$315,10,0)</f>
        <v>1.4212800000000001</v>
      </c>
      <c r="AC226">
        <f>VLOOKUP($B226,'[1]Plant data'!$A$1:$AB$315,11,0)</f>
        <v>0.46</v>
      </c>
      <c r="AD226">
        <f>VLOOKUP($B226,'[1]Plant data'!$A$1:$AB$315,12,0)</f>
        <v>1.06515</v>
      </c>
      <c r="AE226">
        <f>VLOOKUP($B226,'[1]Plant data'!$A$1:$AB$315,13,0)</f>
        <v>0.32305000000000006</v>
      </c>
      <c r="AF226">
        <f>VLOOKUP($B226,'[1]Plant data'!$A$1:$AB$315,14,0)</f>
        <v>0.96343333333333325</v>
      </c>
      <c r="AG226">
        <f>VLOOKUP($B226,'[1]Plant data'!$A$1:$AB$315,15,0)</f>
        <v>1</v>
      </c>
      <c r="AH226" t="str">
        <f>VLOOKUP($B226,'[1]Plant data'!$A$1:$AB$315,16,0)</f>
        <v>NA</v>
      </c>
      <c r="AI226">
        <f>VLOOKUP($B226,'[1]Plant data'!$A$1:$AB$315,17,0)</f>
        <v>0.36819721900926922</v>
      </c>
      <c r="AJ226" t="str">
        <f>VLOOKUP($B226,'[1]Plant data'!$A$1:$AB$315,18,0)</f>
        <v>Castro &amp; Galetti 2004, Cazetta 2007, Erica&amp;Wesley, Intervales_morfo, Mikich 2002, Santana et al. 2013, Alves 2008</v>
      </c>
      <c r="AK226">
        <f>VLOOKUP($B226,'[1]Plant data'!$A$1:$AB$315,19,0)</f>
        <v>0.67774999999999996</v>
      </c>
      <c r="AL226">
        <f>VLOOKUP($B226,'[1]Plant data'!$A$1:$AB$315,20,0)</f>
        <v>0.13617499999999999</v>
      </c>
      <c r="AM226">
        <f>VLOOKUP($B226,'[1]Plant data'!$A$1:$AB$315,21,0)</f>
        <v>5.0733332999999999E-2</v>
      </c>
      <c r="AN226">
        <f>VLOOKUP($B226,'[1]Plant data'!$A$1:$AB$315,22,0)</f>
        <v>3.65E-3</v>
      </c>
      <c r="AO226">
        <f>VLOOKUP($B226,'[1]Plant data'!$A$1:$AB$315,23,0)</f>
        <v>0.182</v>
      </c>
      <c r="AP226" t="str">
        <f>VLOOKUP($B226,'[1]Plant data'!$A$1:$AB$315,24,0)</f>
        <v>NA</v>
      </c>
      <c r="AQ226">
        <f>VLOOKUP($B226,'[1]Plant data'!$A$1:$AB$315,25,0)</f>
        <v>0.69899999999999995</v>
      </c>
      <c r="AR226">
        <f>VLOOKUP($B226,'[1]Plant data'!$A$1:$AB$315,26,0)</f>
        <v>2.7E-2</v>
      </c>
      <c r="AS226" t="str">
        <f>VLOOKUP($B226,'[1]Plant data'!$A$1:$AB$315,27,0)</f>
        <v>NA</v>
      </c>
      <c r="AT226" t="str">
        <f>VLOOKUP($B226,'[1]Plant data'!$A$1:$AB$315,28,0)</f>
        <v>Cazetta 2007, Erica &amp; Wesley, unpubl., Saibadela, Santana et al. 2013</v>
      </c>
    </row>
    <row r="227" spans="1:46">
      <c r="A227" s="5" t="s">
        <v>50</v>
      </c>
      <c r="B227" s="32" t="s">
        <v>97</v>
      </c>
      <c r="C227">
        <v>3</v>
      </c>
      <c r="D227">
        <v>330</v>
      </c>
      <c r="E227" s="8">
        <f>C227/330</f>
        <v>9.0909090909090905E-3</v>
      </c>
      <c r="F227" s="27" t="s">
        <v>19</v>
      </c>
      <c r="G227" s="9">
        <v>2</v>
      </c>
      <c r="H227" s="9"/>
      <c r="I227" s="8">
        <f t="shared" si="19"/>
        <v>1.8181818181818181E-2</v>
      </c>
      <c r="J227" t="s">
        <v>208</v>
      </c>
      <c r="K227" t="s">
        <v>123</v>
      </c>
      <c r="L227" t="s">
        <v>22</v>
      </c>
      <c r="M227" t="s">
        <v>47</v>
      </c>
      <c r="N227" s="11">
        <v>69.5</v>
      </c>
      <c r="O227" s="11">
        <v>13.253214290000001</v>
      </c>
      <c r="P227" t="s">
        <v>48</v>
      </c>
      <c r="Q227" t="s">
        <v>25</v>
      </c>
      <c r="R227" t="s">
        <v>26</v>
      </c>
      <c r="S227" t="s">
        <v>31</v>
      </c>
      <c r="T227" t="str">
        <f>VLOOKUP(B227,'[1]Plant data'!$A$1:$AB$315,2,0)</f>
        <v>Arecaceae</v>
      </c>
      <c r="U227" t="str">
        <f>VLOOKUP($B227,'[1]Plant data'!$A$1:$AB$315,3,0)</f>
        <v>NA</v>
      </c>
      <c r="V227" t="str">
        <f>VLOOKUP($B227,'[1]Plant data'!$A$1:$AB$315,4,0)</f>
        <v>black</v>
      </c>
      <c r="W227" t="str">
        <f>VLOOKUP($B227,'[1]Plant data'!$A$1:$AB$315,5,0)</f>
        <v>YES</v>
      </c>
      <c r="X227">
        <f>VLOOKUP($B227,'[1]Plant data'!$A$1:$AB$315,6,0)</f>
        <v>13.294285714285715</v>
      </c>
      <c r="Y227">
        <f>VLOOKUP($B227,'[1]Plant data'!$A$1:$AB$315,7,0)</f>
        <v>12.980000000000002</v>
      </c>
      <c r="Z227">
        <f>VLOOKUP($B227,'[1]Plant data'!$A$1:$AB$315,8,0)</f>
        <v>11.3575</v>
      </c>
      <c r="AA227">
        <f>VLOOKUP($B227,'[1]Plant data'!$A$1:$AB$315,9,0)</f>
        <v>11.62275</v>
      </c>
      <c r="AB227">
        <f>VLOOKUP($B227,'[1]Plant data'!$A$1:$AB$315,10,0)</f>
        <v>1.4212800000000001</v>
      </c>
      <c r="AC227">
        <f>VLOOKUP($B227,'[1]Plant data'!$A$1:$AB$315,11,0)</f>
        <v>0.46</v>
      </c>
      <c r="AD227">
        <f>VLOOKUP($B227,'[1]Plant data'!$A$1:$AB$315,12,0)</f>
        <v>1.06515</v>
      </c>
      <c r="AE227">
        <f>VLOOKUP($B227,'[1]Plant data'!$A$1:$AB$315,13,0)</f>
        <v>0.32305000000000006</v>
      </c>
      <c r="AF227">
        <f>VLOOKUP($B227,'[1]Plant data'!$A$1:$AB$315,14,0)</f>
        <v>0.96343333333333325</v>
      </c>
      <c r="AG227">
        <f>VLOOKUP($B227,'[1]Plant data'!$A$1:$AB$315,15,0)</f>
        <v>1</v>
      </c>
      <c r="AH227" t="str">
        <f>VLOOKUP($B227,'[1]Plant data'!$A$1:$AB$315,16,0)</f>
        <v>NA</v>
      </c>
      <c r="AI227">
        <f>VLOOKUP($B227,'[1]Plant data'!$A$1:$AB$315,17,0)</f>
        <v>0.36819721900926922</v>
      </c>
      <c r="AJ227" t="str">
        <f>VLOOKUP($B227,'[1]Plant data'!$A$1:$AB$315,18,0)</f>
        <v>Castro &amp; Galetti 2004, Cazetta 2007, Erica&amp;Wesley, Intervales_morfo, Mikich 2002, Santana et al. 2013, Alves 2008</v>
      </c>
      <c r="AK227">
        <f>VLOOKUP($B227,'[1]Plant data'!$A$1:$AB$315,19,0)</f>
        <v>0.67774999999999996</v>
      </c>
      <c r="AL227">
        <f>VLOOKUP($B227,'[1]Plant data'!$A$1:$AB$315,20,0)</f>
        <v>0.13617499999999999</v>
      </c>
      <c r="AM227">
        <f>VLOOKUP($B227,'[1]Plant data'!$A$1:$AB$315,21,0)</f>
        <v>5.0733332999999999E-2</v>
      </c>
      <c r="AN227">
        <f>VLOOKUP($B227,'[1]Plant data'!$A$1:$AB$315,22,0)</f>
        <v>3.65E-3</v>
      </c>
      <c r="AO227">
        <f>VLOOKUP($B227,'[1]Plant data'!$A$1:$AB$315,23,0)</f>
        <v>0.182</v>
      </c>
      <c r="AP227" t="str">
        <f>VLOOKUP($B227,'[1]Plant data'!$A$1:$AB$315,24,0)</f>
        <v>NA</v>
      </c>
      <c r="AQ227">
        <f>VLOOKUP($B227,'[1]Plant data'!$A$1:$AB$315,25,0)</f>
        <v>0.69899999999999995</v>
      </c>
      <c r="AR227">
        <f>VLOOKUP($B227,'[1]Plant data'!$A$1:$AB$315,26,0)</f>
        <v>2.7E-2</v>
      </c>
      <c r="AS227" t="str">
        <f>VLOOKUP($B227,'[1]Plant data'!$A$1:$AB$315,27,0)</f>
        <v>NA</v>
      </c>
      <c r="AT227" t="str">
        <f>VLOOKUP($B227,'[1]Plant data'!$A$1:$AB$315,28,0)</f>
        <v>Cazetta 2007, Erica &amp; Wesley, unpubl., Saibadela, Santana et al. 2013</v>
      </c>
    </row>
    <row r="228" spans="1:46">
      <c r="A228" s="5" t="s">
        <v>50</v>
      </c>
      <c r="B228" s="32" t="s">
        <v>97</v>
      </c>
      <c r="C228">
        <v>5</v>
      </c>
      <c r="D228">
        <v>33</v>
      </c>
      <c r="E228" s="8">
        <f>C228/33</f>
        <v>0.15151515151515152</v>
      </c>
      <c r="F228" s="27" t="s">
        <v>19</v>
      </c>
      <c r="G228" s="9">
        <v>1.6</v>
      </c>
      <c r="H228" s="9"/>
      <c r="I228" s="8">
        <f t="shared" si="19"/>
        <v>0.24242424242424243</v>
      </c>
      <c r="J228" t="s">
        <v>208</v>
      </c>
      <c r="K228" t="s">
        <v>123</v>
      </c>
      <c r="L228" t="s">
        <v>22</v>
      </c>
      <c r="M228" t="s">
        <v>47</v>
      </c>
      <c r="N228" s="11">
        <v>69.5</v>
      </c>
      <c r="O228" s="11">
        <v>13.253214290000001</v>
      </c>
      <c r="P228" t="s">
        <v>48</v>
      </c>
      <c r="Q228" t="s">
        <v>25</v>
      </c>
      <c r="R228" t="s">
        <v>26</v>
      </c>
      <c r="S228" t="s">
        <v>31</v>
      </c>
      <c r="T228" t="str">
        <f>VLOOKUP(B228,'[1]Plant data'!$A$1:$AB$315,2,0)</f>
        <v>Arecaceae</v>
      </c>
      <c r="U228" t="str">
        <f>VLOOKUP($B228,'[1]Plant data'!$A$1:$AB$315,3,0)</f>
        <v>NA</v>
      </c>
      <c r="V228" t="str">
        <f>VLOOKUP($B228,'[1]Plant data'!$A$1:$AB$315,4,0)</f>
        <v>black</v>
      </c>
      <c r="W228" t="str">
        <f>VLOOKUP($B228,'[1]Plant data'!$A$1:$AB$315,5,0)</f>
        <v>YES</v>
      </c>
      <c r="X228">
        <f>VLOOKUP($B228,'[1]Plant data'!$A$1:$AB$315,6,0)</f>
        <v>13.294285714285715</v>
      </c>
      <c r="Y228">
        <f>VLOOKUP($B228,'[1]Plant data'!$A$1:$AB$315,7,0)</f>
        <v>12.980000000000002</v>
      </c>
      <c r="Z228">
        <f>VLOOKUP($B228,'[1]Plant data'!$A$1:$AB$315,8,0)</f>
        <v>11.3575</v>
      </c>
      <c r="AA228">
        <f>VLOOKUP($B228,'[1]Plant data'!$A$1:$AB$315,9,0)</f>
        <v>11.62275</v>
      </c>
      <c r="AB228">
        <f>VLOOKUP($B228,'[1]Plant data'!$A$1:$AB$315,10,0)</f>
        <v>1.4212800000000001</v>
      </c>
      <c r="AC228">
        <f>VLOOKUP($B228,'[1]Plant data'!$A$1:$AB$315,11,0)</f>
        <v>0.46</v>
      </c>
      <c r="AD228">
        <f>VLOOKUP($B228,'[1]Plant data'!$A$1:$AB$315,12,0)</f>
        <v>1.06515</v>
      </c>
      <c r="AE228">
        <f>VLOOKUP($B228,'[1]Plant data'!$A$1:$AB$315,13,0)</f>
        <v>0.32305000000000006</v>
      </c>
      <c r="AF228">
        <f>VLOOKUP($B228,'[1]Plant data'!$A$1:$AB$315,14,0)</f>
        <v>0.96343333333333325</v>
      </c>
      <c r="AG228">
        <f>VLOOKUP($B228,'[1]Plant data'!$A$1:$AB$315,15,0)</f>
        <v>1</v>
      </c>
      <c r="AH228" t="str">
        <f>VLOOKUP($B228,'[1]Plant data'!$A$1:$AB$315,16,0)</f>
        <v>NA</v>
      </c>
      <c r="AI228">
        <f>VLOOKUP($B228,'[1]Plant data'!$A$1:$AB$315,17,0)</f>
        <v>0.36819721900926922</v>
      </c>
      <c r="AJ228" t="str">
        <f>VLOOKUP($B228,'[1]Plant data'!$A$1:$AB$315,18,0)</f>
        <v>Castro &amp; Galetti 2004, Cazetta 2007, Erica&amp;Wesley, Intervales_morfo, Mikich 2002, Santana et al. 2013, Alves 2008</v>
      </c>
      <c r="AK228">
        <f>VLOOKUP($B228,'[1]Plant data'!$A$1:$AB$315,19,0)</f>
        <v>0.67774999999999996</v>
      </c>
      <c r="AL228">
        <f>VLOOKUP($B228,'[1]Plant data'!$A$1:$AB$315,20,0)</f>
        <v>0.13617499999999999</v>
      </c>
      <c r="AM228">
        <f>VLOOKUP($B228,'[1]Plant data'!$A$1:$AB$315,21,0)</f>
        <v>5.0733332999999999E-2</v>
      </c>
      <c r="AN228">
        <f>VLOOKUP($B228,'[1]Plant data'!$A$1:$AB$315,22,0)</f>
        <v>3.65E-3</v>
      </c>
      <c r="AO228">
        <f>VLOOKUP($B228,'[1]Plant data'!$A$1:$AB$315,23,0)</f>
        <v>0.182</v>
      </c>
      <c r="AP228" t="str">
        <f>VLOOKUP($B228,'[1]Plant data'!$A$1:$AB$315,24,0)</f>
        <v>NA</v>
      </c>
      <c r="AQ228">
        <f>VLOOKUP($B228,'[1]Plant data'!$A$1:$AB$315,25,0)</f>
        <v>0.69899999999999995</v>
      </c>
      <c r="AR228">
        <f>VLOOKUP($B228,'[1]Plant data'!$A$1:$AB$315,26,0)</f>
        <v>2.7E-2</v>
      </c>
      <c r="AS228" t="str">
        <f>VLOOKUP($B228,'[1]Plant data'!$A$1:$AB$315,27,0)</f>
        <v>NA</v>
      </c>
      <c r="AT228" t="str">
        <f>VLOOKUP($B228,'[1]Plant data'!$A$1:$AB$315,28,0)</f>
        <v>Cazetta 2007, Erica &amp; Wesley, unpubl., Saibadela, Santana et al. 2013</v>
      </c>
    </row>
    <row r="229" spans="1:46">
      <c r="A229" s="5" t="s">
        <v>96</v>
      </c>
      <c r="B229" s="34" t="s">
        <v>97</v>
      </c>
      <c r="C229" s="7">
        <v>3</v>
      </c>
      <c r="D229" s="7">
        <v>330</v>
      </c>
      <c r="E229" s="8">
        <f>(C229/330)*2</f>
        <v>1.8181818181818181E-2</v>
      </c>
      <c r="F229" s="27" t="s">
        <v>19</v>
      </c>
      <c r="G229" s="9">
        <v>8</v>
      </c>
      <c r="H229" s="9"/>
      <c r="I229" s="8">
        <f t="shared" si="19"/>
        <v>0.14545454545454545</v>
      </c>
      <c r="J229" t="s">
        <v>209</v>
      </c>
      <c r="K229" t="s">
        <v>123</v>
      </c>
      <c r="L229" t="s">
        <v>100</v>
      </c>
      <c r="M229" t="s">
        <v>101</v>
      </c>
      <c r="N229" s="11">
        <v>1770</v>
      </c>
      <c r="O229" s="11">
        <v>22.349</v>
      </c>
      <c r="P229" t="s">
        <v>48</v>
      </c>
      <c r="Q229" t="s">
        <v>25</v>
      </c>
      <c r="R229" t="s">
        <v>26</v>
      </c>
      <c r="S229" t="s">
        <v>27</v>
      </c>
      <c r="T229" t="str">
        <f>VLOOKUP(B229,'[1]Plant data'!$A$1:$AB$315,2,0)</f>
        <v>Arecaceae</v>
      </c>
      <c r="U229" t="str">
        <f>VLOOKUP($B229,'[1]Plant data'!$A$1:$AB$315,3,0)</f>
        <v>NA</v>
      </c>
      <c r="V229" t="str">
        <f>VLOOKUP($B229,'[1]Plant data'!$A$1:$AB$315,4,0)</f>
        <v>black</v>
      </c>
      <c r="W229" t="str">
        <f>VLOOKUP($B229,'[1]Plant data'!$A$1:$AB$315,5,0)</f>
        <v>YES</v>
      </c>
      <c r="X229">
        <f>VLOOKUP($B229,'[1]Plant data'!$A$1:$AB$315,6,0)</f>
        <v>13.294285714285715</v>
      </c>
      <c r="Y229">
        <f>VLOOKUP($B229,'[1]Plant data'!$A$1:$AB$315,7,0)</f>
        <v>12.980000000000002</v>
      </c>
      <c r="Z229">
        <f>VLOOKUP($B229,'[1]Plant data'!$A$1:$AB$315,8,0)</f>
        <v>11.3575</v>
      </c>
      <c r="AA229">
        <f>VLOOKUP($B229,'[1]Plant data'!$A$1:$AB$315,9,0)</f>
        <v>11.62275</v>
      </c>
      <c r="AB229">
        <f>VLOOKUP($B229,'[1]Plant data'!$A$1:$AB$315,10,0)</f>
        <v>1.4212800000000001</v>
      </c>
      <c r="AC229">
        <f>VLOOKUP($B229,'[1]Plant data'!$A$1:$AB$315,11,0)</f>
        <v>0.46</v>
      </c>
      <c r="AD229">
        <f>VLOOKUP($B229,'[1]Plant data'!$A$1:$AB$315,12,0)</f>
        <v>1.06515</v>
      </c>
      <c r="AE229">
        <f>VLOOKUP($B229,'[1]Plant data'!$A$1:$AB$315,13,0)</f>
        <v>0.32305000000000006</v>
      </c>
      <c r="AF229">
        <f>VLOOKUP($B229,'[1]Plant data'!$A$1:$AB$315,14,0)</f>
        <v>0.96343333333333325</v>
      </c>
      <c r="AG229">
        <f>VLOOKUP($B229,'[1]Plant data'!$A$1:$AB$315,15,0)</f>
        <v>1</v>
      </c>
      <c r="AH229" t="str">
        <f>VLOOKUP($B229,'[1]Plant data'!$A$1:$AB$315,16,0)</f>
        <v>NA</v>
      </c>
      <c r="AI229">
        <f>VLOOKUP($B229,'[1]Plant data'!$A$1:$AB$315,17,0)</f>
        <v>0.36819721900926922</v>
      </c>
      <c r="AJ229" t="str">
        <f>VLOOKUP($B229,'[1]Plant data'!$A$1:$AB$315,18,0)</f>
        <v>Castro &amp; Galetti 2004, Cazetta 2007, Erica&amp;Wesley, Intervales_morfo, Mikich 2002, Santana et al. 2013, Alves 2008</v>
      </c>
      <c r="AK229">
        <f>VLOOKUP($B229,'[1]Plant data'!$A$1:$AB$315,19,0)</f>
        <v>0.67774999999999996</v>
      </c>
      <c r="AL229">
        <f>VLOOKUP($B229,'[1]Plant data'!$A$1:$AB$315,20,0)</f>
        <v>0.13617499999999999</v>
      </c>
      <c r="AM229">
        <f>VLOOKUP($B229,'[1]Plant data'!$A$1:$AB$315,21,0)</f>
        <v>5.0733332999999999E-2</v>
      </c>
      <c r="AN229">
        <f>VLOOKUP($B229,'[1]Plant data'!$A$1:$AB$315,22,0)</f>
        <v>3.65E-3</v>
      </c>
      <c r="AO229">
        <f>VLOOKUP($B229,'[1]Plant data'!$A$1:$AB$315,23,0)</f>
        <v>0.182</v>
      </c>
      <c r="AP229" t="str">
        <f>VLOOKUP($B229,'[1]Plant data'!$A$1:$AB$315,24,0)</f>
        <v>NA</v>
      </c>
      <c r="AQ229">
        <f>VLOOKUP($B229,'[1]Plant data'!$A$1:$AB$315,25,0)</f>
        <v>0.69899999999999995</v>
      </c>
      <c r="AR229">
        <f>VLOOKUP($B229,'[1]Plant data'!$A$1:$AB$315,26,0)</f>
        <v>2.7E-2</v>
      </c>
      <c r="AS229" t="str">
        <f>VLOOKUP($B229,'[1]Plant data'!$A$1:$AB$315,27,0)</f>
        <v>NA</v>
      </c>
      <c r="AT229" t="str">
        <f>VLOOKUP($B229,'[1]Plant data'!$A$1:$AB$315,28,0)</f>
        <v>Cazetta 2007, Erica &amp; Wesley, unpubl., Saibadela, Santana et al. 2013</v>
      </c>
    </row>
    <row r="230" spans="1:46">
      <c r="A230" s="5" t="s">
        <v>110</v>
      </c>
      <c r="B230" s="32" t="s">
        <v>97</v>
      </c>
      <c r="C230">
        <v>7</v>
      </c>
      <c r="D230">
        <v>276</v>
      </c>
      <c r="E230" s="8">
        <f>0.225/10</f>
        <v>2.2499999999999999E-2</v>
      </c>
      <c r="F230">
        <v>76</v>
      </c>
      <c r="G230" s="9">
        <f>F230/C230</f>
        <v>10.857142857142858</v>
      </c>
      <c r="H230" s="9"/>
      <c r="I230" s="8">
        <f t="shared" si="19"/>
        <v>0.2442857142857143</v>
      </c>
      <c r="J230" t="s">
        <v>277</v>
      </c>
      <c r="K230" t="s">
        <v>92</v>
      </c>
      <c r="L230" t="s">
        <v>100</v>
      </c>
      <c r="M230" t="s">
        <v>101</v>
      </c>
      <c r="N230" s="11">
        <v>1250</v>
      </c>
      <c r="O230" s="11">
        <v>19.114999999999998</v>
      </c>
      <c r="P230" t="s">
        <v>48</v>
      </c>
      <c r="Q230" t="s">
        <v>95</v>
      </c>
      <c r="R230" t="s">
        <v>114</v>
      </c>
      <c r="S230" t="s">
        <v>27</v>
      </c>
      <c r="T230" t="str">
        <f>VLOOKUP(B230,'[1]Plant data'!$A$1:$AB$315,2,0)</f>
        <v>Arecaceae</v>
      </c>
      <c r="U230" t="str">
        <f>VLOOKUP($B230,'[1]Plant data'!$A$1:$AB$315,3,0)</f>
        <v>NA</v>
      </c>
      <c r="V230" t="str">
        <f>VLOOKUP($B230,'[1]Plant data'!$A$1:$AB$315,4,0)</f>
        <v>black</v>
      </c>
      <c r="W230" t="str">
        <f>VLOOKUP($B230,'[1]Plant data'!$A$1:$AB$315,5,0)</f>
        <v>YES</v>
      </c>
      <c r="X230">
        <f>VLOOKUP($B230,'[1]Plant data'!$A$1:$AB$315,6,0)</f>
        <v>13.294285714285715</v>
      </c>
      <c r="Y230">
        <f>VLOOKUP($B230,'[1]Plant data'!$A$1:$AB$315,7,0)</f>
        <v>12.980000000000002</v>
      </c>
      <c r="Z230">
        <f>VLOOKUP($B230,'[1]Plant data'!$A$1:$AB$315,8,0)</f>
        <v>11.3575</v>
      </c>
      <c r="AA230">
        <f>VLOOKUP($B230,'[1]Plant data'!$A$1:$AB$315,9,0)</f>
        <v>11.62275</v>
      </c>
      <c r="AB230">
        <f>VLOOKUP($B230,'[1]Plant data'!$A$1:$AB$315,10,0)</f>
        <v>1.4212800000000001</v>
      </c>
      <c r="AC230">
        <f>VLOOKUP($B230,'[1]Plant data'!$A$1:$AB$315,11,0)</f>
        <v>0.46</v>
      </c>
      <c r="AD230">
        <f>VLOOKUP($B230,'[1]Plant data'!$A$1:$AB$315,12,0)</f>
        <v>1.06515</v>
      </c>
      <c r="AE230">
        <f>VLOOKUP($B230,'[1]Plant data'!$A$1:$AB$315,13,0)</f>
        <v>0.32305000000000006</v>
      </c>
      <c r="AF230">
        <f>VLOOKUP($B230,'[1]Plant data'!$A$1:$AB$315,14,0)</f>
        <v>0.96343333333333325</v>
      </c>
      <c r="AG230">
        <f>VLOOKUP($B230,'[1]Plant data'!$A$1:$AB$315,15,0)</f>
        <v>1</v>
      </c>
      <c r="AH230" t="str">
        <f>VLOOKUP($B230,'[1]Plant data'!$A$1:$AB$315,16,0)</f>
        <v>NA</v>
      </c>
      <c r="AI230">
        <f>VLOOKUP($B230,'[1]Plant data'!$A$1:$AB$315,17,0)</f>
        <v>0.36819721900926922</v>
      </c>
      <c r="AJ230" t="str">
        <f>VLOOKUP($B230,'[1]Plant data'!$A$1:$AB$315,18,0)</f>
        <v>Castro &amp; Galetti 2004, Cazetta 2007, Erica&amp;Wesley, Intervales_morfo, Mikich 2002, Santana et al. 2013, Alves 2008</v>
      </c>
      <c r="AK230">
        <f>VLOOKUP($B230,'[1]Plant data'!$A$1:$AB$315,19,0)</f>
        <v>0.67774999999999996</v>
      </c>
      <c r="AL230">
        <f>VLOOKUP($B230,'[1]Plant data'!$A$1:$AB$315,20,0)</f>
        <v>0.13617499999999999</v>
      </c>
      <c r="AM230">
        <f>VLOOKUP($B230,'[1]Plant data'!$A$1:$AB$315,21,0)</f>
        <v>5.0733332999999999E-2</v>
      </c>
      <c r="AN230">
        <f>VLOOKUP($B230,'[1]Plant data'!$A$1:$AB$315,22,0)</f>
        <v>3.65E-3</v>
      </c>
      <c r="AO230">
        <f>VLOOKUP($B230,'[1]Plant data'!$A$1:$AB$315,23,0)</f>
        <v>0.182</v>
      </c>
      <c r="AP230" t="str">
        <f>VLOOKUP($B230,'[1]Plant data'!$A$1:$AB$315,24,0)</f>
        <v>NA</v>
      </c>
      <c r="AQ230">
        <f>VLOOKUP($B230,'[1]Plant data'!$A$1:$AB$315,25,0)</f>
        <v>0.69899999999999995</v>
      </c>
      <c r="AR230">
        <f>VLOOKUP($B230,'[1]Plant data'!$A$1:$AB$315,26,0)</f>
        <v>2.7E-2</v>
      </c>
      <c r="AS230" t="str">
        <f>VLOOKUP($B230,'[1]Plant data'!$A$1:$AB$315,27,0)</f>
        <v>NA</v>
      </c>
      <c r="AT230" t="str">
        <f>VLOOKUP($B230,'[1]Plant data'!$A$1:$AB$315,28,0)</f>
        <v>Cazetta 2007, Erica &amp; Wesley, unpubl., Saibadela, Santana et al. 2013</v>
      </c>
    </row>
    <row r="231" spans="1:46">
      <c r="A231" s="5" t="s">
        <v>74</v>
      </c>
      <c r="B231" s="32" t="s">
        <v>97</v>
      </c>
      <c r="C231">
        <v>5</v>
      </c>
      <c r="D231">
        <v>276</v>
      </c>
      <c r="E231" s="8">
        <f>0.161/10</f>
        <v>1.61E-2</v>
      </c>
      <c r="F231">
        <v>49</v>
      </c>
      <c r="G231" s="9">
        <v>8.8000000000000007</v>
      </c>
      <c r="H231" s="9"/>
      <c r="I231" s="8">
        <f t="shared" si="19"/>
        <v>0.14168</v>
      </c>
      <c r="J231" t="s">
        <v>277</v>
      </c>
      <c r="K231" t="s">
        <v>92</v>
      </c>
      <c r="L231" t="s">
        <v>22</v>
      </c>
      <c r="M231" t="s">
        <v>75</v>
      </c>
      <c r="N231" s="11">
        <v>200</v>
      </c>
      <c r="O231" s="11">
        <v>23.614285710000001</v>
      </c>
      <c r="P231" t="s">
        <v>48</v>
      </c>
      <c r="Q231" t="s">
        <v>25</v>
      </c>
      <c r="R231" t="s">
        <v>76</v>
      </c>
      <c r="S231" t="s">
        <v>27</v>
      </c>
      <c r="T231" t="str">
        <f>VLOOKUP(B231,'[1]Plant data'!$A$1:$AB$315,2,0)</f>
        <v>Arecaceae</v>
      </c>
      <c r="U231" t="str">
        <f>VLOOKUP($B231,'[1]Plant data'!$A$1:$AB$315,3,0)</f>
        <v>NA</v>
      </c>
      <c r="V231" t="str">
        <f>VLOOKUP($B231,'[1]Plant data'!$A$1:$AB$315,4,0)</f>
        <v>black</v>
      </c>
      <c r="W231" t="str">
        <f>VLOOKUP($B231,'[1]Plant data'!$A$1:$AB$315,5,0)</f>
        <v>YES</v>
      </c>
      <c r="X231">
        <f>VLOOKUP($B231,'[1]Plant data'!$A$1:$AB$315,6,0)</f>
        <v>13.294285714285715</v>
      </c>
      <c r="Y231">
        <f>VLOOKUP($B231,'[1]Plant data'!$A$1:$AB$315,7,0)</f>
        <v>12.980000000000002</v>
      </c>
      <c r="Z231">
        <f>VLOOKUP($B231,'[1]Plant data'!$A$1:$AB$315,8,0)</f>
        <v>11.3575</v>
      </c>
      <c r="AA231">
        <f>VLOOKUP($B231,'[1]Plant data'!$A$1:$AB$315,9,0)</f>
        <v>11.62275</v>
      </c>
      <c r="AB231">
        <f>VLOOKUP($B231,'[1]Plant data'!$A$1:$AB$315,10,0)</f>
        <v>1.4212800000000001</v>
      </c>
      <c r="AC231">
        <f>VLOOKUP($B231,'[1]Plant data'!$A$1:$AB$315,11,0)</f>
        <v>0.46</v>
      </c>
      <c r="AD231">
        <f>VLOOKUP($B231,'[1]Plant data'!$A$1:$AB$315,12,0)</f>
        <v>1.06515</v>
      </c>
      <c r="AE231">
        <f>VLOOKUP($B231,'[1]Plant data'!$A$1:$AB$315,13,0)</f>
        <v>0.32305000000000006</v>
      </c>
      <c r="AF231">
        <f>VLOOKUP($B231,'[1]Plant data'!$A$1:$AB$315,14,0)</f>
        <v>0.96343333333333325</v>
      </c>
      <c r="AG231">
        <f>VLOOKUP($B231,'[1]Plant data'!$A$1:$AB$315,15,0)</f>
        <v>1</v>
      </c>
      <c r="AH231" t="str">
        <f>VLOOKUP($B231,'[1]Plant data'!$A$1:$AB$315,16,0)</f>
        <v>NA</v>
      </c>
      <c r="AI231">
        <f>VLOOKUP($B231,'[1]Plant data'!$A$1:$AB$315,17,0)</f>
        <v>0.36819721900926922</v>
      </c>
      <c r="AJ231" t="str">
        <f>VLOOKUP($B231,'[1]Plant data'!$A$1:$AB$315,18,0)</f>
        <v>Castro &amp; Galetti 2004, Cazetta 2007, Erica&amp;Wesley, Intervales_morfo, Mikich 2002, Santana et al. 2013, Alves 2008</v>
      </c>
      <c r="AK231">
        <f>VLOOKUP($B231,'[1]Plant data'!$A$1:$AB$315,19,0)</f>
        <v>0.67774999999999996</v>
      </c>
      <c r="AL231">
        <f>VLOOKUP($B231,'[1]Plant data'!$A$1:$AB$315,20,0)</f>
        <v>0.13617499999999999</v>
      </c>
      <c r="AM231">
        <f>VLOOKUP($B231,'[1]Plant data'!$A$1:$AB$315,21,0)</f>
        <v>5.0733332999999999E-2</v>
      </c>
      <c r="AN231">
        <f>VLOOKUP($B231,'[1]Plant data'!$A$1:$AB$315,22,0)</f>
        <v>3.65E-3</v>
      </c>
      <c r="AO231">
        <f>VLOOKUP($B231,'[1]Plant data'!$A$1:$AB$315,23,0)</f>
        <v>0.182</v>
      </c>
      <c r="AP231" t="str">
        <f>VLOOKUP($B231,'[1]Plant data'!$A$1:$AB$315,24,0)</f>
        <v>NA</v>
      </c>
      <c r="AQ231">
        <f>VLOOKUP($B231,'[1]Plant data'!$A$1:$AB$315,25,0)</f>
        <v>0.69899999999999995</v>
      </c>
      <c r="AR231">
        <f>VLOOKUP($B231,'[1]Plant data'!$A$1:$AB$315,26,0)</f>
        <v>2.7E-2</v>
      </c>
      <c r="AS231" t="str">
        <f>VLOOKUP($B231,'[1]Plant data'!$A$1:$AB$315,27,0)</f>
        <v>NA</v>
      </c>
      <c r="AT231" t="str">
        <f>VLOOKUP($B231,'[1]Plant data'!$A$1:$AB$315,28,0)</f>
        <v>Cazetta 2007, Erica &amp; Wesley, unpubl., Saibadela, Santana et al. 2013</v>
      </c>
    </row>
    <row r="232" spans="1:46">
      <c r="A232" s="5" t="s">
        <v>90</v>
      </c>
      <c r="B232" s="33" t="s">
        <v>97</v>
      </c>
      <c r="C232" s="25">
        <v>3</v>
      </c>
      <c r="D232">
        <v>276</v>
      </c>
      <c r="E232" s="26">
        <f>0.096/10</f>
        <v>9.6000000000000009E-3</v>
      </c>
      <c r="F232" s="25">
        <v>14</v>
      </c>
      <c r="G232" s="27">
        <f>F232/C232</f>
        <v>4.666666666666667</v>
      </c>
      <c r="H232" s="27"/>
      <c r="I232" s="8">
        <f t="shared" si="19"/>
        <v>4.4800000000000006E-2</v>
      </c>
      <c r="J232" s="24" t="s">
        <v>277</v>
      </c>
      <c r="K232" t="s">
        <v>92</v>
      </c>
      <c r="L232" t="s">
        <v>93</v>
      </c>
      <c r="M232" t="s">
        <v>94</v>
      </c>
      <c r="N232" s="11">
        <v>331</v>
      </c>
      <c r="O232" s="11">
        <v>30.7</v>
      </c>
      <c r="P232" t="s">
        <v>48</v>
      </c>
      <c r="Q232" t="s">
        <v>95</v>
      </c>
      <c r="R232" t="s">
        <v>26</v>
      </c>
      <c r="S232" t="s">
        <v>27</v>
      </c>
      <c r="T232" t="str">
        <f>VLOOKUP(B232,'[1]Plant data'!$A$1:$AB$315,2,0)</f>
        <v>Arecaceae</v>
      </c>
      <c r="U232" t="str">
        <f>VLOOKUP($B232,'[1]Plant data'!$A$1:$AB$315,3,0)</f>
        <v>NA</v>
      </c>
      <c r="V232" t="str">
        <f>VLOOKUP($B232,'[1]Plant data'!$A$1:$AB$315,4,0)</f>
        <v>black</v>
      </c>
      <c r="W232" t="str">
        <f>VLOOKUP($B232,'[1]Plant data'!$A$1:$AB$315,5,0)</f>
        <v>YES</v>
      </c>
      <c r="X232">
        <f>VLOOKUP($B232,'[1]Plant data'!$A$1:$AB$315,6,0)</f>
        <v>13.294285714285715</v>
      </c>
      <c r="Y232">
        <f>VLOOKUP($B232,'[1]Plant data'!$A$1:$AB$315,7,0)</f>
        <v>12.980000000000002</v>
      </c>
      <c r="Z232">
        <f>VLOOKUP($B232,'[1]Plant data'!$A$1:$AB$315,8,0)</f>
        <v>11.3575</v>
      </c>
      <c r="AA232">
        <f>VLOOKUP($B232,'[1]Plant data'!$A$1:$AB$315,9,0)</f>
        <v>11.62275</v>
      </c>
      <c r="AB232">
        <f>VLOOKUP($B232,'[1]Plant data'!$A$1:$AB$315,10,0)</f>
        <v>1.4212800000000001</v>
      </c>
      <c r="AC232">
        <f>VLOOKUP($B232,'[1]Plant data'!$A$1:$AB$315,11,0)</f>
        <v>0.46</v>
      </c>
      <c r="AD232">
        <f>VLOOKUP($B232,'[1]Plant data'!$A$1:$AB$315,12,0)</f>
        <v>1.06515</v>
      </c>
      <c r="AE232">
        <f>VLOOKUP($B232,'[1]Plant data'!$A$1:$AB$315,13,0)</f>
        <v>0.32305000000000006</v>
      </c>
      <c r="AF232">
        <f>VLOOKUP($B232,'[1]Plant data'!$A$1:$AB$315,14,0)</f>
        <v>0.96343333333333325</v>
      </c>
      <c r="AG232">
        <f>VLOOKUP($B232,'[1]Plant data'!$A$1:$AB$315,15,0)</f>
        <v>1</v>
      </c>
      <c r="AH232" t="str">
        <f>VLOOKUP($B232,'[1]Plant data'!$A$1:$AB$315,16,0)</f>
        <v>NA</v>
      </c>
      <c r="AI232">
        <f>VLOOKUP($B232,'[1]Plant data'!$A$1:$AB$315,17,0)</f>
        <v>0.36819721900926922</v>
      </c>
      <c r="AJ232" t="str">
        <f>VLOOKUP($B232,'[1]Plant data'!$A$1:$AB$315,18,0)</f>
        <v>Castro &amp; Galetti 2004, Cazetta 2007, Erica&amp;Wesley, Intervales_morfo, Mikich 2002, Santana et al. 2013, Alves 2008</v>
      </c>
      <c r="AK232">
        <f>VLOOKUP($B232,'[1]Plant data'!$A$1:$AB$315,19,0)</f>
        <v>0.67774999999999996</v>
      </c>
      <c r="AL232">
        <f>VLOOKUP($B232,'[1]Plant data'!$A$1:$AB$315,20,0)</f>
        <v>0.13617499999999999</v>
      </c>
      <c r="AM232">
        <f>VLOOKUP($B232,'[1]Plant data'!$A$1:$AB$315,21,0)</f>
        <v>5.0733332999999999E-2</v>
      </c>
      <c r="AN232">
        <f>VLOOKUP($B232,'[1]Plant data'!$A$1:$AB$315,22,0)</f>
        <v>3.65E-3</v>
      </c>
      <c r="AO232">
        <f>VLOOKUP($B232,'[1]Plant data'!$A$1:$AB$315,23,0)</f>
        <v>0.182</v>
      </c>
      <c r="AP232" t="str">
        <f>VLOOKUP($B232,'[1]Plant data'!$A$1:$AB$315,24,0)</f>
        <v>NA</v>
      </c>
      <c r="AQ232">
        <f>VLOOKUP($B232,'[1]Plant data'!$A$1:$AB$315,25,0)</f>
        <v>0.69899999999999995</v>
      </c>
      <c r="AR232">
        <f>VLOOKUP($B232,'[1]Plant data'!$A$1:$AB$315,26,0)</f>
        <v>2.7E-2</v>
      </c>
      <c r="AS232" t="str">
        <f>VLOOKUP($B232,'[1]Plant data'!$A$1:$AB$315,27,0)</f>
        <v>NA</v>
      </c>
      <c r="AT232" t="str">
        <f>VLOOKUP($B232,'[1]Plant data'!$A$1:$AB$315,28,0)</f>
        <v>Cazetta 2007, Erica &amp; Wesley, unpubl., Saibadela, Santana et al. 2013</v>
      </c>
    </row>
    <row r="233" spans="1:46">
      <c r="A233" s="5" t="s">
        <v>104</v>
      </c>
      <c r="B233" s="32" t="s">
        <v>97</v>
      </c>
      <c r="C233">
        <v>1</v>
      </c>
      <c r="D233">
        <v>276</v>
      </c>
      <c r="E233" s="8">
        <f>0.032/10</f>
        <v>3.2000000000000002E-3</v>
      </c>
      <c r="F233">
        <v>8</v>
      </c>
      <c r="G233" s="9">
        <v>8</v>
      </c>
      <c r="H233" s="9"/>
      <c r="I233" s="8">
        <f t="shared" si="19"/>
        <v>2.5600000000000001E-2</v>
      </c>
      <c r="J233" t="s">
        <v>277</v>
      </c>
      <c r="K233" t="s">
        <v>92</v>
      </c>
      <c r="L233" t="s">
        <v>93</v>
      </c>
      <c r="M233" t="s">
        <v>94</v>
      </c>
      <c r="N233" s="11">
        <v>343.5</v>
      </c>
      <c r="O233" s="11">
        <v>30.107272729999998</v>
      </c>
      <c r="P233" t="s">
        <v>48</v>
      </c>
      <c r="Q233" t="s">
        <v>25</v>
      </c>
      <c r="R233" t="s">
        <v>76</v>
      </c>
      <c r="S233" t="s">
        <v>27</v>
      </c>
      <c r="T233" t="str">
        <f>VLOOKUP(B233,'[1]Plant data'!$A$1:$AB$315,2,0)</f>
        <v>Arecaceae</v>
      </c>
      <c r="U233" t="str">
        <f>VLOOKUP($B233,'[1]Plant data'!$A$1:$AB$315,3,0)</f>
        <v>NA</v>
      </c>
      <c r="V233" t="str">
        <f>VLOOKUP($B233,'[1]Plant data'!$A$1:$AB$315,4,0)</f>
        <v>black</v>
      </c>
      <c r="W233" t="str">
        <f>VLOOKUP($B233,'[1]Plant data'!$A$1:$AB$315,5,0)</f>
        <v>YES</v>
      </c>
      <c r="X233">
        <f>VLOOKUP($B233,'[1]Plant data'!$A$1:$AB$315,6,0)</f>
        <v>13.294285714285715</v>
      </c>
      <c r="Y233">
        <f>VLOOKUP($B233,'[1]Plant data'!$A$1:$AB$315,7,0)</f>
        <v>12.980000000000002</v>
      </c>
      <c r="Z233">
        <f>VLOOKUP($B233,'[1]Plant data'!$A$1:$AB$315,8,0)</f>
        <v>11.3575</v>
      </c>
      <c r="AA233">
        <f>VLOOKUP($B233,'[1]Plant data'!$A$1:$AB$315,9,0)</f>
        <v>11.62275</v>
      </c>
      <c r="AB233">
        <f>VLOOKUP($B233,'[1]Plant data'!$A$1:$AB$315,10,0)</f>
        <v>1.4212800000000001</v>
      </c>
      <c r="AC233">
        <f>VLOOKUP($B233,'[1]Plant data'!$A$1:$AB$315,11,0)</f>
        <v>0.46</v>
      </c>
      <c r="AD233">
        <f>VLOOKUP($B233,'[1]Plant data'!$A$1:$AB$315,12,0)</f>
        <v>1.06515</v>
      </c>
      <c r="AE233">
        <f>VLOOKUP($B233,'[1]Plant data'!$A$1:$AB$315,13,0)</f>
        <v>0.32305000000000006</v>
      </c>
      <c r="AF233">
        <f>VLOOKUP($B233,'[1]Plant data'!$A$1:$AB$315,14,0)</f>
        <v>0.96343333333333325</v>
      </c>
      <c r="AG233">
        <f>VLOOKUP($B233,'[1]Plant data'!$A$1:$AB$315,15,0)</f>
        <v>1</v>
      </c>
      <c r="AH233" t="str">
        <f>VLOOKUP($B233,'[1]Plant data'!$A$1:$AB$315,16,0)</f>
        <v>NA</v>
      </c>
      <c r="AI233">
        <f>VLOOKUP($B233,'[1]Plant data'!$A$1:$AB$315,17,0)</f>
        <v>0.36819721900926922</v>
      </c>
      <c r="AJ233" t="str">
        <f>VLOOKUP($B233,'[1]Plant data'!$A$1:$AB$315,18,0)</f>
        <v>Castro &amp; Galetti 2004, Cazetta 2007, Erica&amp;Wesley, Intervales_morfo, Mikich 2002, Santana et al. 2013, Alves 2008</v>
      </c>
      <c r="AK233">
        <f>VLOOKUP($B233,'[1]Plant data'!$A$1:$AB$315,19,0)</f>
        <v>0.67774999999999996</v>
      </c>
      <c r="AL233">
        <f>VLOOKUP($B233,'[1]Plant data'!$A$1:$AB$315,20,0)</f>
        <v>0.13617499999999999</v>
      </c>
      <c r="AM233">
        <f>VLOOKUP($B233,'[1]Plant data'!$A$1:$AB$315,21,0)</f>
        <v>5.0733332999999999E-2</v>
      </c>
      <c r="AN233">
        <f>VLOOKUP($B233,'[1]Plant data'!$A$1:$AB$315,22,0)</f>
        <v>3.65E-3</v>
      </c>
      <c r="AO233">
        <f>VLOOKUP($B233,'[1]Plant data'!$A$1:$AB$315,23,0)</f>
        <v>0.182</v>
      </c>
      <c r="AP233" t="str">
        <f>VLOOKUP($B233,'[1]Plant data'!$A$1:$AB$315,24,0)</f>
        <v>NA</v>
      </c>
      <c r="AQ233">
        <f>VLOOKUP($B233,'[1]Plant data'!$A$1:$AB$315,25,0)</f>
        <v>0.69899999999999995</v>
      </c>
      <c r="AR233">
        <f>VLOOKUP($B233,'[1]Plant data'!$A$1:$AB$315,26,0)</f>
        <v>2.7E-2</v>
      </c>
      <c r="AS233" t="str">
        <f>VLOOKUP($B233,'[1]Plant data'!$A$1:$AB$315,27,0)</f>
        <v>NA</v>
      </c>
      <c r="AT233" t="str">
        <f>VLOOKUP($B233,'[1]Plant data'!$A$1:$AB$315,28,0)</f>
        <v>Cazetta 2007, Erica &amp; Wesley, unpubl., Saibadela, Santana et al. 2013</v>
      </c>
    </row>
    <row r="234" spans="1:46">
      <c r="A234" s="5" t="s">
        <v>105</v>
      </c>
      <c r="B234" s="32" t="s">
        <v>97</v>
      </c>
      <c r="C234">
        <v>26</v>
      </c>
      <c r="D234">
        <v>276</v>
      </c>
      <c r="E234" s="8">
        <v>8.3500000000000005E-2</v>
      </c>
      <c r="F234">
        <v>166</v>
      </c>
      <c r="G234" s="9">
        <v>6.31</v>
      </c>
      <c r="H234" s="9"/>
      <c r="I234" s="8">
        <f t="shared" si="19"/>
        <v>0.52688500000000005</v>
      </c>
      <c r="J234" t="s">
        <v>277</v>
      </c>
      <c r="K234" t="s">
        <v>92</v>
      </c>
      <c r="L234" t="s">
        <v>93</v>
      </c>
      <c r="M234" t="s">
        <v>94</v>
      </c>
      <c r="N234" s="11">
        <v>164</v>
      </c>
      <c r="O234" s="11">
        <v>25.039000000000001</v>
      </c>
      <c r="P234" t="s">
        <v>48</v>
      </c>
      <c r="Q234" t="s">
        <v>25</v>
      </c>
      <c r="R234" t="s">
        <v>26</v>
      </c>
      <c r="S234" t="s">
        <v>27</v>
      </c>
      <c r="T234" t="str">
        <f>VLOOKUP(B234,'[1]Plant data'!$A$1:$AB$315,2,0)</f>
        <v>Arecaceae</v>
      </c>
      <c r="U234" t="str">
        <f>VLOOKUP($B234,'[1]Plant data'!$A$1:$AB$315,3,0)</f>
        <v>NA</v>
      </c>
      <c r="V234" t="str">
        <f>VLOOKUP($B234,'[1]Plant data'!$A$1:$AB$315,4,0)</f>
        <v>black</v>
      </c>
      <c r="W234" t="str">
        <f>VLOOKUP($B234,'[1]Plant data'!$A$1:$AB$315,5,0)</f>
        <v>YES</v>
      </c>
      <c r="X234">
        <f>VLOOKUP($B234,'[1]Plant data'!$A$1:$AB$315,6,0)</f>
        <v>13.294285714285715</v>
      </c>
      <c r="Y234">
        <f>VLOOKUP($B234,'[1]Plant data'!$A$1:$AB$315,7,0)</f>
        <v>12.980000000000002</v>
      </c>
      <c r="Z234">
        <f>VLOOKUP($B234,'[1]Plant data'!$A$1:$AB$315,8,0)</f>
        <v>11.3575</v>
      </c>
      <c r="AA234">
        <f>VLOOKUP($B234,'[1]Plant data'!$A$1:$AB$315,9,0)</f>
        <v>11.62275</v>
      </c>
      <c r="AB234">
        <f>VLOOKUP($B234,'[1]Plant data'!$A$1:$AB$315,10,0)</f>
        <v>1.4212800000000001</v>
      </c>
      <c r="AC234">
        <f>VLOOKUP($B234,'[1]Plant data'!$A$1:$AB$315,11,0)</f>
        <v>0.46</v>
      </c>
      <c r="AD234">
        <f>VLOOKUP($B234,'[1]Plant data'!$A$1:$AB$315,12,0)</f>
        <v>1.06515</v>
      </c>
      <c r="AE234">
        <f>VLOOKUP($B234,'[1]Plant data'!$A$1:$AB$315,13,0)</f>
        <v>0.32305000000000006</v>
      </c>
      <c r="AF234">
        <f>VLOOKUP($B234,'[1]Plant data'!$A$1:$AB$315,14,0)</f>
        <v>0.96343333333333325</v>
      </c>
      <c r="AG234">
        <f>VLOOKUP($B234,'[1]Plant data'!$A$1:$AB$315,15,0)</f>
        <v>1</v>
      </c>
      <c r="AH234" t="str">
        <f>VLOOKUP($B234,'[1]Plant data'!$A$1:$AB$315,16,0)</f>
        <v>NA</v>
      </c>
      <c r="AI234">
        <f>VLOOKUP($B234,'[1]Plant data'!$A$1:$AB$315,17,0)</f>
        <v>0.36819721900926922</v>
      </c>
      <c r="AJ234" t="str">
        <f>VLOOKUP($B234,'[1]Plant data'!$A$1:$AB$315,18,0)</f>
        <v>Castro &amp; Galetti 2004, Cazetta 2007, Erica&amp;Wesley, Intervales_morfo, Mikich 2002, Santana et al. 2013, Alves 2008</v>
      </c>
      <c r="AK234">
        <f>VLOOKUP($B234,'[1]Plant data'!$A$1:$AB$315,19,0)</f>
        <v>0.67774999999999996</v>
      </c>
      <c r="AL234">
        <f>VLOOKUP($B234,'[1]Plant data'!$A$1:$AB$315,20,0)</f>
        <v>0.13617499999999999</v>
      </c>
      <c r="AM234">
        <f>VLOOKUP($B234,'[1]Plant data'!$A$1:$AB$315,21,0)</f>
        <v>5.0733332999999999E-2</v>
      </c>
      <c r="AN234">
        <f>VLOOKUP($B234,'[1]Plant data'!$A$1:$AB$315,22,0)</f>
        <v>3.65E-3</v>
      </c>
      <c r="AO234">
        <f>VLOOKUP($B234,'[1]Plant data'!$A$1:$AB$315,23,0)</f>
        <v>0.182</v>
      </c>
      <c r="AP234" t="str">
        <f>VLOOKUP($B234,'[1]Plant data'!$A$1:$AB$315,24,0)</f>
        <v>NA</v>
      </c>
      <c r="AQ234">
        <f>VLOOKUP($B234,'[1]Plant data'!$A$1:$AB$315,25,0)</f>
        <v>0.69899999999999995</v>
      </c>
      <c r="AR234">
        <f>VLOOKUP($B234,'[1]Plant data'!$A$1:$AB$315,26,0)</f>
        <v>2.7E-2</v>
      </c>
      <c r="AS234" t="str">
        <f>VLOOKUP($B234,'[1]Plant data'!$A$1:$AB$315,27,0)</f>
        <v>NA</v>
      </c>
      <c r="AT234" t="str">
        <f>VLOOKUP($B234,'[1]Plant data'!$A$1:$AB$315,28,0)</f>
        <v>Cazetta 2007, Erica &amp; Wesley, unpubl., Saibadela, Santana et al. 2013</v>
      </c>
    </row>
    <row r="235" spans="1:46">
      <c r="A235" s="5" t="s">
        <v>62</v>
      </c>
      <c r="B235" s="33" t="s">
        <v>97</v>
      </c>
      <c r="C235" s="7">
        <v>5</v>
      </c>
      <c r="D235">
        <v>276</v>
      </c>
      <c r="E235" s="8">
        <v>1.61E-2</v>
      </c>
      <c r="F235">
        <v>6</v>
      </c>
      <c r="G235" s="9">
        <v>1.2</v>
      </c>
      <c r="H235" s="9"/>
      <c r="I235" s="8">
        <f t="shared" si="19"/>
        <v>1.932E-2</v>
      </c>
      <c r="J235" t="s">
        <v>277</v>
      </c>
      <c r="K235" t="s">
        <v>92</v>
      </c>
      <c r="L235" t="s">
        <v>22</v>
      </c>
      <c r="M235" t="s">
        <v>30</v>
      </c>
      <c r="N235" s="11">
        <v>18.7</v>
      </c>
      <c r="O235" s="11">
        <v>6.1185714290000002</v>
      </c>
      <c r="P235" t="s">
        <v>24</v>
      </c>
      <c r="Q235" t="s">
        <v>25</v>
      </c>
      <c r="R235" t="s">
        <v>26</v>
      </c>
      <c r="S235" t="s">
        <v>31</v>
      </c>
      <c r="T235" t="str">
        <f>VLOOKUP(B235,'[1]Plant data'!$A$1:$AB$315,2,0)</f>
        <v>Arecaceae</v>
      </c>
      <c r="U235" t="str">
        <f>VLOOKUP($B235,'[1]Plant data'!$A$1:$AB$315,3,0)</f>
        <v>NA</v>
      </c>
      <c r="V235" t="str">
        <f>VLOOKUP($B235,'[1]Plant data'!$A$1:$AB$315,4,0)</f>
        <v>black</v>
      </c>
      <c r="W235" t="str">
        <f>VLOOKUP($B235,'[1]Plant data'!$A$1:$AB$315,5,0)</f>
        <v>YES</v>
      </c>
      <c r="X235">
        <f>VLOOKUP($B235,'[1]Plant data'!$A$1:$AB$315,6,0)</f>
        <v>13.294285714285715</v>
      </c>
      <c r="Y235">
        <f>VLOOKUP($B235,'[1]Plant data'!$A$1:$AB$315,7,0)</f>
        <v>12.980000000000002</v>
      </c>
      <c r="Z235">
        <f>VLOOKUP($B235,'[1]Plant data'!$A$1:$AB$315,8,0)</f>
        <v>11.3575</v>
      </c>
      <c r="AA235">
        <f>VLOOKUP($B235,'[1]Plant data'!$A$1:$AB$315,9,0)</f>
        <v>11.62275</v>
      </c>
      <c r="AB235">
        <f>VLOOKUP($B235,'[1]Plant data'!$A$1:$AB$315,10,0)</f>
        <v>1.4212800000000001</v>
      </c>
      <c r="AC235">
        <f>VLOOKUP($B235,'[1]Plant data'!$A$1:$AB$315,11,0)</f>
        <v>0.46</v>
      </c>
      <c r="AD235">
        <f>VLOOKUP($B235,'[1]Plant data'!$A$1:$AB$315,12,0)</f>
        <v>1.06515</v>
      </c>
      <c r="AE235">
        <f>VLOOKUP($B235,'[1]Plant data'!$A$1:$AB$315,13,0)</f>
        <v>0.32305000000000006</v>
      </c>
      <c r="AF235">
        <f>VLOOKUP($B235,'[1]Plant data'!$A$1:$AB$315,14,0)</f>
        <v>0.96343333333333325</v>
      </c>
      <c r="AG235">
        <f>VLOOKUP($B235,'[1]Plant data'!$A$1:$AB$315,15,0)</f>
        <v>1</v>
      </c>
      <c r="AH235" t="str">
        <f>VLOOKUP($B235,'[1]Plant data'!$A$1:$AB$315,16,0)</f>
        <v>NA</v>
      </c>
      <c r="AI235">
        <f>VLOOKUP($B235,'[1]Plant data'!$A$1:$AB$315,17,0)</f>
        <v>0.36819721900926922</v>
      </c>
      <c r="AJ235" t="str">
        <f>VLOOKUP($B235,'[1]Plant data'!$A$1:$AB$315,18,0)</f>
        <v>Castro &amp; Galetti 2004, Cazetta 2007, Erica&amp;Wesley, Intervales_morfo, Mikich 2002, Santana et al. 2013, Alves 2008</v>
      </c>
      <c r="AK235">
        <f>VLOOKUP($B235,'[1]Plant data'!$A$1:$AB$315,19,0)</f>
        <v>0.67774999999999996</v>
      </c>
      <c r="AL235">
        <f>VLOOKUP($B235,'[1]Plant data'!$A$1:$AB$315,20,0)</f>
        <v>0.13617499999999999</v>
      </c>
      <c r="AM235">
        <f>VLOOKUP($B235,'[1]Plant data'!$A$1:$AB$315,21,0)</f>
        <v>5.0733332999999999E-2</v>
      </c>
      <c r="AN235">
        <f>VLOOKUP($B235,'[1]Plant data'!$A$1:$AB$315,22,0)</f>
        <v>3.65E-3</v>
      </c>
      <c r="AO235">
        <f>VLOOKUP($B235,'[1]Plant data'!$A$1:$AB$315,23,0)</f>
        <v>0.182</v>
      </c>
      <c r="AP235" t="str">
        <f>VLOOKUP($B235,'[1]Plant data'!$A$1:$AB$315,24,0)</f>
        <v>NA</v>
      </c>
      <c r="AQ235">
        <f>VLOOKUP($B235,'[1]Plant data'!$A$1:$AB$315,25,0)</f>
        <v>0.69899999999999995</v>
      </c>
      <c r="AR235">
        <f>VLOOKUP($B235,'[1]Plant data'!$A$1:$AB$315,26,0)</f>
        <v>2.7E-2</v>
      </c>
      <c r="AS235" t="str">
        <f>VLOOKUP($B235,'[1]Plant data'!$A$1:$AB$315,27,0)</f>
        <v>NA</v>
      </c>
      <c r="AT235" t="str">
        <f>VLOOKUP($B235,'[1]Plant data'!$A$1:$AB$315,28,0)</f>
        <v>Cazetta 2007, Erica &amp; Wesley, unpubl., Saibadela, Santana et al. 2013</v>
      </c>
    </row>
    <row r="236" spans="1:46">
      <c r="A236" s="5" t="s">
        <v>107</v>
      </c>
      <c r="B236" s="32" t="s">
        <v>97</v>
      </c>
      <c r="C236">
        <v>73</v>
      </c>
      <c r="D236">
        <v>276</v>
      </c>
      <c r="E236" s="8">
        <v>0.2344</v>
      </c>
      <c r="F236">
        <v>75</v>
      </c>
      <c r="G236" s="9">
        <f>F236/C236</f>
        <v>1.0273972602739727</v>
      </c>
      <c r="H236" s="9"/>
      <c r="I236" s="8">
        <f t="shared" si="19"/>
        <v>0.24082191780821921</v>
      </c>
      <c r="J236" t="s">
        <v>277</v>
      </c>
      <c r="K236" t="s">
        <v>92</v>
      </c>
      <c r="L236" t="s">
        <v>108</v>
      </c>
      <c r="M236" t="s">
        <v>109</v>
      </c>
      <c r="N236" s="11">
        <v>89.7</v>
      </c>
      <c r="O236" s="11">
        <v>20.489000000000001</v>
      </c>
      <c r="P236" t="s">
        <v>48</v>
      </c>
      <c r="Q236" t="s">
        <v>25</v>
      </c>
      <c r="R236" t="s">
        <v>26</v>
      </c>
      <c r="S236" t="s">
        <v>31</v>
      </c>
      <c r="T236" t="str">
        <f>VLOOKUP(B236,'[1]Plant data'!$A$1:$AB$315,2,0)</f>
        <v>Arecaceae</v>
      </c>
      <c r="U236" t="str">
        <f>VLOOKUP($B236,'[1]Plant data'!$A$1:$AB$315,3,0)</f>
        <v>NA</v>
      </c>
      <c r="V236" t="str">
        <f>VLOOKUP($B236,'[1]Plant data'!$A$1:$AB$315,4,0)</f>
        <v>black</v>
      </c>
      <c r="W236" t="str">
        <f>VLOOKUP($B236,'[1]Plant data'!$A$1:$AB$315,5,0)</f>
        <v>YES</v>
      </c>
      <c r="X236">
        <f>VLOOKUP($B236,'[1]Plant data'!$A$1:$AB$315,6,0)</f>
        <v>13.294285714285715</v>
      </c>
      <c r="Y236">
        <f>VLOOKUP($B236,'[1]Plant data'!$A$1:$AB$315,7,0)</f>
        <v>12.980000000000002</v>
      </c>
      <c r="Z236">
        <f>VLOOKUP($B236,'[1]Plant data'!$A$1:$AB$315,8,0)</f>
        <v>11.3575</v>
      </c>
      <c r="AA236">
        <f>VLOOKUP($B236,'[1]Plant data'!$A$1:$AB$315,9,0)</f>
        <v>11.62275</v>
      </c>
      <c r="AB236">
        <f>VLOOKUP($B236,'[1]Plant data'!$A$1:$AB$315,10,0)</f>
        <v>1.4212800000000001</v>
      </c>
      <c r="AC236">
        <f>VLOOKUP($B236,'[1]Plant data'!$A$1:$AB$315,11,0)</f>
        <v>0.46</v>
      </c>
      <c r="AD236">
        <f>VLOOKUP($B236,'[1]Plant data'!$A$1:$AB$315,12,0)</f>
        <v>1.06515</v>
      </c>
      <c r="AE236">
        <f>VLOOKUP($B236,'[1]Plant data'!$A$1:$AB$315,13,0)</f>
        <v>0.32305000000000006</v>
      </c>
      <c r="AF236">
        <f>VLOOKUP($B236,'[1]Plant data'!$A$1:$AB$315,14,0)</f>
        <v>0.96343333333333325</v>
      </c>
      <c r="AG236">
        <f>VLOOKUP($B236,'[1]Plant data'!$A$1:$AB$315,15,0)</f>
        <v>1</v>
      </c>
      <c r="AH236" t="str">
        <f>VLOOKUP($B236,'[1]Plant data'!$A$1:$AB$315,16,0)</f>
        <v>NA</v>
      </c>
      <c r="AI236">
        <f>VLOOKUP($B236,'[1]Plant data'!$A$1:$AB$315,17,0)</f>
        <v>0.36819721900926922</v>
      </c>
      <c r="AJ236" t="str">
        <f>VLOOKUP($B236,'[1]Plant data'!$A$1:$AB$315,18,0)</f>
        <v>Castro &amp; Galetti 2004, Cazetta 2007, Erica&amp;Wesley, Intervales_morfo, Mikich 2002, Santana et al. 2013, Alves 2008</v>
      </c>
      <c r="AK236">
        <f>VLOOKUP($B236,'[1]Plant data'!$A$1:$AB$315,19,0)</f>
        <v>0.67774999999999996</v>
      </c>
      <c r="AL236">
        <f>VLOOKUP($B236,'[1]Plant data'!$A$1:$AB$315,20,0)</f>
        <v>0.13617499999999999</v>
      </c>
      <c r="AM236">
        <f>VLOOKUP($B236,'[1]Plant data'!$A$1:$AB$315,21,0)</f>
        <v>5.0733332999999999E-2</v>
      </c>
      <c r="AN236">
        <f>VLOOKUP($B236,'[1]Plant data'!$A$1:$AB$315,22,0)</f>
        <v>3.65E-3</v>
      </c>
      <c r="AO236">
        <f>VLOOKUP($B236,'[1]Plant data'!$A$1:$AB$315,23,0)</f>
        <v>0.182</v>
      </c>
      <c r="AP236" t="str">
        <f>VLOOKUP($B236,'[1]Plant data'!$A$1:$AB$315,24,0)</f>
        <v>NA</v>
      </c>
      <c r="AQ236">
        <f>VLOOKUP($B236,'[1]Plant data'!$A$1:$AB$315,25,0)</f>
        <v>0.69899999999999995</v>
      </c>
      <c r="AR236">
        <f>VLOOKUP($B236,'[1]Plant data'!$A$1:$AB$315,26,0)</f>
        <v>2.7E-2</v>
      </c>
      <c r="AS236" t="str">
        <f>VLOOKUP($B236,'[1]Plant data'!$A$1:$AB$315,27,0)</f>
        <v>NA</v>
      </c>
      <c r="AT236" t="str">
        <f>VLOOKUP($B236,'[1]Plant data'!$A$1:$AB$315,28,0)</f>
        <v>Cazetta 2007, Erica &amp; Wesley, unpubl., Saibadela, Santana et al. 2013</v>
      </c>
    </row>
    <row r="237" spans="1:46">
      <c r="A237" s="5" t="s">
        <v>46</v>
      </c>
      <c r="B237" s="33" t="s">
        <v>97</v>
      </c>
      <c r="C237">
        <v>52</v>
      </c>
      <c r="D237">
        <v>276</v>
      </c>
      <c r="E237" s="8">
        <v>0.16700000000000001</v>
      </c>
      <c r="F237">
        <v>110</v>
      </c>
      <c r="G237" s="9">
        <f>F237/C237</f>
        <v>2.1153846153846154</v>
      </c>
      <c r="H237" s="9"/>
      <c r="I237" s="8">
        <f t="shared" si="19"/>
        <v>0.35326923076923078</v>
      </c>
      <c r="J237" t="s">
        <v>277</v>
      </c>
      <c r="K237" t="s">
        <v>92</v>
      </c>
      <c r="L237" t="s">
        <v>22</v>
      </c>
      <c r="M237" t="s">
        <v>47</v>
      </c>
      <c r="N237" s="11">
        <v>54</v>
      </c>
      <c r="O237" s="11">
        <v>11.14875</v>
      </c>
      <c r="P237" t="s">
        <v>48</v>
      </c>
      <c r="Q237" t="s">
        <v>49</v>
      </c>
      <c r="R237" t="s">
        <v>26</v>
      </c>
      <c r="S237" t="s">
        <v>31</v>
      </c>
      <c r="T237" t="str">
        <f>VLOOKUP(B237,'[1]Plant data'!$A$1:$AB$315,2,0)</f>
        <v>Arecaceae</v>
      </c>
      <c r="U237" t="str">
        <f>VLOOKUP($B237,'[1]Plant data'!$A$1:$AB$315,3,0)</f>
        <v>NA</v>
      </c>
      <c r="V237" t="str">
        <f>VLOOKUP($B237,'[1]Plant data'!$A$1:$AB$315,4,0)</f>
        <v>black</v>
      </c>
      <c r="W237" t="str">
        <f>VLOOKUP($B237,'[1]Plant data'!$A$1:$AB$315,5,0)</f>
        <v>YES</v>
      </c>
      <c r="X237">
        <f>VLOOKUP($B237,'[1]Plant data'!$A$1:$AB$315,6,0)</f>
        <v>13.294285714285715</v>
      </c>
      <c r="Y237">
        <f>VLOOKUP($B237,'[1]Plant data'!$A$1:$AB$315,7,0)</f>
        <v>12.980000000000002</v>
      </c>
      <c r="Z237">
        <f>VLOOKUP($B237,'[1]Plant data'!$A$1:$AB$315,8,0)</f>
        <v>11.3575</v>
      </c>
      <c r="AA237">
        <f>VLOOKUP($B237,'[1]Plant data'!$A$1:$AB$315,9,0)</f>
        <v>11.62275</v>
      </c>
      <c r="AB237">
        <f>VLOOKUP($B237,'[1]Plant data'!$A$1:$AB$315,10,0)</f>
        <v>1.4212800000000001</v>
      </c>
      <c r="AC237">
        <f>VLOOKUP($B237,'[1]Plant data'!$A$1:$AB$315,11,0)</f>
        <v>0.46</v>
      </c>
      <c r="AD237">
        <f>VLOOKUP($B237,'[1]Plant data'!$A$1:$AB$315,12,0)</f>
        <v>1.06515</v>
      </c>
      <c r="AE237">
        <f>VLOOKUP($B237,'[1]Plant data'!$A$1:$AB$315,13,0)</f>
        <v>0.32305000000000006</v>
      </c>
      <c r="AF237">
        <f>VLOOKUP($B237,'[1]Plant data'!$A$1:$AB$315,14,0)</f>
        <v>0.96343333333333325</v>
      </c>
      <c r="AG237">
        <f>VLOOKUP($B237,'[1]Plant data'!$A$1:$AB$315,15,0)</f>
        <v>1</v>
      </c>
      <c r="AH237" t="str">
        <f>VLOOKUP($B237,'[1]Plant data'!$A$1:$AB$315,16,0)</f>
        <v>NA</v>
      </c>
      <c r="AI237">
        <f>VLOOKUP($B237,'[1]Plant data'!$A$1:$AB$315,17,0)</f>
        <v>0.36819721900926922</v>
      </c>
      <c r="AJ237" t="str">
        <f>VLOOKUP($B237,'[1]Plant data'!$A$1:$AB$315,18,0)</f>
        <v>Castro &amp; Galetti 2004, Cazetta 2007, Erica&amp;Wesley, Intervales_morfo, Mikich 2002, Santana et al. 2013, Alves 2008</v>
      </c>
      <c r="AK237">
        <f>VLOOKUP($B237,'[1]Plant data'!$A$1:$AB$315,19,0)</f>
        <v>0.67774999999999996</v>
      </c>
      <c r="AL237">
        <f>VLOOKUP($B237,'[1]Plant data'!$A$1:$AB$315,20,0)</f>
        <v>0.13617499999999999</v>
      </c>
      <c r="AM237">
        <f>VLOOKUP($B237,'[1]Plant data'!$A$1:$AB$315,21,0)</f>
        <v>5.0733332999999999E-2</v>
      </c>
      <c r="AN237">
        <f>VLOOKUP($B237,'[1]Plant data'!$A$1:$AB$315,22,0)</f>
        <v>3.65E-3</v>
      </c>
      <c r="AO237">
        <f>VLOOKUP($B237,'[1]Plant data'!$A$1:$AB$315,23,0)</f>
        <v>0.182</v>
      </c>
      <c r="AP237" t="str">
        <f>VLOOKUP($B237,'[1]Plant data'!$A$1:$AB$315,24,0)</f>
        <v>NA</v>
      </c>
      <c r="AQ237">
        <f>VLOOKUP($B237,'[1]Plant data'!$A$1:$AB$315,25,0)</f>
        <v>0.69899999999999995</v>
      </c>
      <c r="AR237">
        <f>VLOOKUP($B237,'[1]Plant data'!$A$1:$AB$315,26,0)</f>
        <v>2.7E-2</v>
      </c>
      <c r="AS237" t="str">
        <f>VLOOKUP($B237,'[1]Plant data'!$A$1:$AB$315,27,0)</f>
        <v>NA</v>
      </c>
      <c r="AT237" t="str">
        <f>VLOOKUP($B237,'[1]Plant data'!$A$1:$AB$315,28,0)</f>
        <v>Cazetta 2007, Erica &amp; Wesley, unpubl., Saibadela, Santana et al. 2013</v>
      </c>
    </row>
    <row r="238" spans="1:46">
      <c r="A238" s="5" t="s">
        <v>50</v>
      </c>
      <c r="B238" s="32" t="s">
        <v>97</v>
      </c>
      <c r="C238">
        <v>3</v>
      </c>
      <c r="D238">
        <v>276</v>
      </c>
      <c r="E238" s="8">
        <v>9.5999999999999992E-3</v>
      </c>
      <c r="F238">
        <v>6</v>
      </c>
      <c r="G238" s="9">
        <f>F238/C238</f>
        <v>2</v>
      </c>
      <c r="H238" s="9"/>
      <c r="I238" s="8">
        <f t="shared" si="19"/>
        <v>1.9199999999999998E-2</v>
      </c>
      <c r="J238" t="s">
        <v>277</v>
      </c>
      <c r="K238" t="s">
        <v>92</v>
      </c>
      <c r="L238" t="s">
        <v>22</v>
      </c>
      <c r="M238" t="s">
        <v>47</v>
      </c>
      <c r="N238" s="11">
        <v>69.5</v>
      </c>
      <c r="O238" s="11">
        <v>13.253214290000001</v>
      </c>
      <c r="P238" t="s">
        <v>48</v>
      </c>
      <c r="Q238" t="s">
        <v>25</v>
      </c>
      <c r="R238" t="s">
        <v>26</v>
      </c>
      <c r="S238" t="s">
        <v>31</v>
      </c>
      <c r="T238" t="str">
        <f>VLOOKUP(B238,'[1]Plant data'!$A$1:$AB$315,2,0)</f>
        <v>Arecaceae</v>
      </c>
      <c r="U238" t="str">
        <f>VLOOKUP($B238,'[1]Plant data'!$A$1:$AB$315,3,0)</f>
        <v>NA</v>
      </c>
      <c r="V238" t="str">
        <f>VLOOKUP($B238,'[1]Plant data'!$A$1:$AB$315,4,0)</f>
        <v>black</v>
      </c>
      <c r="W238" t="str">
        <f>VLOOKUP($B238,'[1]Plant data'!$A$1:$AB$315,5,0)</f>
        <v>YES</v>
      </c>
      <c r="X238">
        <f>VLOOKUP($B238,'[1]Plant data'!$A$1:$AB$315,6,0)</f>
        <v>13.294285714285715</v>
      </c>
      <c r="Y238">
        <f>VLOOKUP($B238,'[1]Plant data'!$A$1:$AB$315,7,0)</f>
        <v>12.980000000000002</v>
      </c>
      <c r="Z238">
        <f>VLOOKUP($B238,'[1]Plant data'!$A$1:$AB$315,8,0)</f>
        <v>11.3575</v>
      </c>
      <c r="AA238">
        <f>VLOOKUP($B238,'[1]Plant data'!$A$1:$AB$315,9,0)</f>
        <v>11.62275</v>
      </c>
      <c r="AB238">
        <f>VLOOKUP($B238,'[1]Plant data'!$A$1:$AB$315,10,0)</f>
        <v>1.4212800000000001</v>
      </c>
      <c r="AC238">
        <f>VLOOKUP($B238,'[1]Plant data'!$A$1:$AB$315,11,0)</f>
        <v>0.46</v>
      </c>
      <c r="AD238">
        <f>VLOOKUP($B238,'[1]Plant data'!$A$1:$AB$315,12,0)</f>
        <v>1.06515</v>
      </c>
      <c r="AE238">
        <f>VLOOKUP($B238,'[1]Plant data'!$A$1:$AB$315,13,0)</f>
        <v>0.32305000000000006</v>
      </c>
      <c r="AF238">
        <f>VLOOKUP($B238,'[1]Plant data'!$A$1:$AB$315,14,0)</f>
        <v>0.96343333333333325</v>
      </c>
      <c r="AG238">
        <f>VLOOKUP($B238,'[1]Plant data'!$A$1:$AB$315,15,0)</f>
        <v>1</v>
      </c>
      <c r="AH238" t="str">
        <f>VLOOKUP($B238,'[1]Plant data'!$A$1:$AB$315,16,0)</f>
        <v>NA</v>
      </c>
      <c r="AI238">
        <f>VLOOKUP($B238,'[1]Plant data'!$A$1:$AB$315,17,0)</f>
        <v>0.36819721900926922</v>
      </c>
      <c r="AJ238" t="str">
        <f>VLOOKUP($B238,'[1]Plant data'!$A$1:$AB$315,18,0)</f>
        <v>Castro &amp; Galetti 2004, Cazetta 2007, Erica&amp;Wesley, Intervales_morfo, Mikich 2002, Santana et al. 2013, Alves 2008</v>
      </c>
      <c r="AK238">
        <f>VLOOKUP($B238,'[1]Plant data'!$A$1:$AB$315,19,0)</f>
        <v>0.67774999999999996</v>
      </c>
      <c r="AL238">
        <f>VLOOKUP($B238,'[1]Plant data'!$A$1:$AB$315,20,0)</f>
        <v>0.13617499999999999</v>
      </c>
      <c r="AM238">
        <f>VLOOKUP($B238,'[1]Plant data'!$A$1:$AB$315,21,0)</f>
        <v>5.0733332999999999E-2</v>
      </c>
      <c r="AN238">
        <f>VLOOKUP($B238,'[1]Plant data'!$A$1:$AB$315,22,0)</f>
        <v>3.65E-3</v>
      </c>
      <c r="AO238">
        <f>VLOOKUP($B238,'[1]Plant data'!$A$1:$AB$315,23,0)</f>
        <v>0.182</v>
      </c>
      <c r="AP238" t="str">
        <f>VLOOKUP($B238,'[1]Plant data'!$A$1:$AB$315,24,0)</f>
        <v>NA</v>
      </c>
      <c r="AQ238">
        <f>VLOOKUP($B238,'[1]Plant data'!$A$1:$AB$315,25,0)</f>
        <v>0.69899999999999995</v>
      </c>
      <c r="AR238">
        <f>VLOOKUP($B238,'[1]Plant data'!$A$1:$AB$315,26,0)</f>
        <v>2.7E-2</v>
      </c>
      <c r="AS238" t="str">
        <f>VLOOKUP($B238,'[1]Plant data'!$A$1:$AB$315,27,0)</f>
        <v>NA</v>
      </c>
      <c r="AT238" t="str">
        <f>VLOOKUP($B238,'[1]Plant data'!$A$1:$AB$315,28,0)</f>
        <v>Cazetta 2007, Erica &amp; Wesley, unpubl., Saibadela, Santana et al. 2013</v>
      </c>
    </row>
    <row r="239" spans="1:46">
      <c r="A239" s="5" t="s">
        <v>43</v>
      </c>
      <c r="B239" s="33" t="s">
        <v>45</v>
      </c>
      <c r="C239" s="7">
        <v>1</v>
      </c>
      <c r="D239" s="7">
        <v>8</v>
      </c>
      <c r="E239" s="8">
        <f>C239/D239</f>
        <v>0.125</v>
      </c>
      <c r="F239" t="s">
        <v>19</v>
      </c>
      <c r="G239" s="9" t="s">
        <v>19</v>
      </c>
      <c r="H239" s="9"/>
      <c r="I239" s="8" t="s">
        <v>19</v>
      </c>
      <c r="J239" s="10" t="s">
        <v>20</v>
      </c>
      <c r="K239" t="s">
        <v>21</v>
      </c>
      <c r="L239" t="s">
        <v>22</v>
      </c>
      <c r="M239" t="s">
        <v>30</v>
      </c>
      <c r="N239" s="11">
        <v>32.5</v>
      </c>
      <c r="O239" s="11">
        <v>8.9205555560000001</v>
      </c>
      <c r="P239" t="s">
        <v>24</v>
      </c>
      <c r="Q239" t="s">
        <v>25</v>
      </c>
      <c r="R239" t="s">
        <v>26</v>
      </c>
      <c r="S239" t="s">
        <v>31</v>
      </c>
      <c r="T239" t="str">
        <f>VLOOKUP(B239,'[1]Plant data'!$A$1:$AB$315,2,0)</f>
        <v>Arecaceae</v>
      </c>
      <c r="U239" t="str">
        <f>VLOOKUP($B239,'[1]Plant data'!$A$1:$AB$315,3,0)</f>
        <v>NA</v>
      </c>
      <c r="V239" t="str">
        <f>VLOOKUP($B239,'[1]Plant data'!$A$1:$AB$315,4,0)</f>
        <v>black</v>
      </c>
      <c r="W239" t="str">
        <f>VLOOKUP($B239,'[1]Plant data'!$A$1:$AB$315,5,0)</f>
        <v>YES</v>
      </c>
      <c r="X239">
        <f>VLOOKUP($B239,'[1]Plant data'!$A$1:$AB$315,6,0)</f>
        <v>12.3</v>
      </c>
      <c r="Y239">
        <f>VLOOKUP($B239,'[1]Plant data'!$A$1:$AB$315,7,0)</f>
        <v>12.4</v>
      </c>
      <c r="Z239">
        <f>VLOOKUP($B239,'[1]Plant data'!$A$1:$AB$315,8,0)</f>
        <v>9.6300000000000008</v>
      </c>
      <c r="AA239">
        <f>VLOOKUP($B239,'[1]Plant data'!$A$1:$AB$315,9,0)</f>
        <v>10.18</v>
      </c>
      <c r="AB239" t="str">
        <f>VLOOKUP($B239,'[1]Plant data'!$A$1:$AB$315,10,0)</f>
        <v>NA</v>
      </c>
      <c r="AC239" t="str">
        <f>VLOOKUP($B239,'[1]Plant data'!$A$1:$AB$315,11,0)</f>
        <v>NA</v>
      </c>
      <c r="AD239" t="str">
        <f>VLOOKUP($B239,'[1]Plant data'!$A$1:$AB$315,12,0)</f>
        <v>NA</v>
      </c>
      <c r="AE239" t="str">
        <f>VLOOKUP($B239,'[1]Plant data'!$A$1:$AB$315,13,0)</f>
        <v>NA</v>
      </c>
      <c r="AF239" t="str">
        <f>VLOOKUP($B239,'[1]Plant data'!$A$1:$AB$315,14,0)</f>
        <v>NA</v>
      </c>
      <c r="AG239">
        <f>VLOOKUP($B239,'[1]Plant data'!$A$1:$AB$315,15,0)</f>
        <v>1</v>
      </c>
      <c r="AH239" t="str">
        <f>VLOOKUP($B239,'[1]Plant data'!$A$1:$AB$315,16,0)</f>
        <v>NA</v>
      </c>
      <c r="AI239" t="str">
        <f>VLOOKUP($B239,'[1]Plant data'!$A$1:$AB$315,17,0)</f>
        <v>NA</v>
      </c>
      <c r="AJ239" t="str">
        <f>VLOOKUP($B239,'[1]Plant data'!$A$1:$AB$315,18,0)</f>
        <v>ATLANTIC, Alves 2008</v>
      </c>
      <c r="AK239" t="str">
        <f>VLOOKUP($B239,'[1]Plant data'!$A$1:$AB$315,19,0)</f>
        <v>NA</v>
      </c>
      <c r="AL239">
        <f>VLOOKUP($B239,'[1]Plant data'!$A$1:$AB$315,20,0)</f>
        <v>0.40749999999999997</v>
      </c>
      <c r="AM239">
        <f>VLOOKUP($B239,'[1]Plant data'!$A$1:$AB$315,21,0)</f>
        <v>8.1299999999999997E-2</v>
      </c>
      <c r="AN239" t="str">
        <f>VLOOKUP($B239,'[1]Plant data'!$A$1:$AB$315,22,0)</f>
        <v>NA</v>
      </c>
      <c r="AO239" t="str">
        <f>VLOOKUP($B239,'[1]Plant data'!$A$1:$AB$315,23,0)</f>
        <v>NA</v>
      </c>
      <c r="AP239" t="str">
        <f>VLOOKUP($B239,'[1]Plant data'!$A$1:$AB$315,24,0)</f>
        <v>NA</v>
      </c>
      <c r="AQ239">
        <f>VLOOKUP($B239,'[1]Plant data'!$A$1:$AB$315,25,0)</f>
        <v>0.42530000000000001</v>
      </c>
      <c r="AR239">
        <f>VLOOKUP($B239,'[1]Plant data'!$A$1:$AB$315,26,0)</f>
        <v>3.6799999999999999E-2</v>
      </c>
      <c r="AS239" t="str">
        <f>VLOOKUP($B239,'[1]Plant data'!$A$1:$AB$315,27,0)</f>
        <v>NA</v>
      </c>
      <c r="AT239" t="str">
        <f>VLOOKUP($B239,'[1]Plant data'!$A$1:$AB$315,28,0)</f>
        <v>Menezes et al. 2008</v>
      </c>
    </row>
    <row r="240" spans="1:46">
      <c r="A240" s="5" t="s">
        <v>50</v>
      </c>
      <c r="B240" s="77" t="s">
        <v>45</v>
      </c>
      <c r="C240" s="7">
        <v>17</v>
      </c>
      <c r="D240" s="7">
        <v>8</v>
      </c>
      <c r="E240" s="8">
        <f>C240/D240</f>
        <v>2.125</v>
      </c>
      <c r="F240" t="s">
        <v>19</v>
      </c>
      <c r="G240" s="41">
        <v>1.6008333333333331</v>
      </c>
      <c r="H240" s="41"/>
      <c r="I240" s="8">
        <f>E240*G240</f>
        <v>3.401770833333333</v>
      </c>
      <c r="J240" s="10" t="s">
        <v>20</v>
      </c>
      <c r="K240" t="s">
        <v>21</v>
      </c>
      <c r="L240" t="s">
        <v>22</v>
      </c>
      <c r="M240" t="s">
        <v>47</v>
      </c>
      <c r="N240" s="11">
        <v>69.5</v>
      </c>
      <c r="O240" s="11">
        <v>13.253214290000001</v>
      </c>
      <c r="P240" t="s">
        <v>48</v>
      </c>
      <c r="Q240" t="s">
        <v>25</v>
      </c>
      <c r="R240" t="s">
        <v>26</v>
      </c>
      <c r="S240" t="s">
        <v>31</v>
      </c>
      <c r="T240" t="str">
        <f>VLOOKUP(B240,'[1]Plant data'!$A$1:$AB$315,2,0)</f>
        <v>Arecaceae</v>
      </c>
      <c r="U240" t="str">
        <f>VLOOKUP($B240,'[1]Plant data'!$A$1:$AB$315,3,0)</f>
        <v>NA</v>
      </c>
      <c r="V240" t="str">
        <f>VLOOKUP($B240,'[1]Plant data'!$A$1:$AB$315,4,0)</f>
        <v>black</v>
      </c>
      <c r="W240" t="str">
        <f>VLOOKUP($B240,'[1]Plant data'!$A$1:$AB$315,5,0)</f>
        <v>YES</v>
      </c>
      <c r="X240">
        <f>VLOOKUP($B240,'[1]Plant data'!$A$1:$AB$315,6,0)</f>
        <v>12.3</v>
      </c>
      <c r="Y240">
        <f>VLOOKUP($B240,'[1]Plant data'!$A$1:$AB$315,7,0)</f>
        <v>12.4</v>
      </c>
      <c r="Z240">
        <f>VLOOKUP($B240,'[1]Plant data'!$A$1:$AB$315,8,0)</f>
        <v>9.6300000000000008</v>
      </c>
      <c r="AA240">
        <f>VLOOKUP($B240,'[1]Plant data'!$A$1:$AB$315,9,0)</f>
        <v>10.18</v>
      </c>
      <c r="AB240" t="str">
        <f>VLOOKUP($B240,'[1]Plant data'!$A$1:$AB$315,10,0)</f>
        <v>NA</v>
      </c>
      <c r="AC240" t="str">
        <f>VLOOKUP($B240,'[1]Plant data'!$A$1:$AB$315,11,0)</f>
        <v>NA</v>
      </c>
      <c r="AD240" t="str">
        <f>VLOOKUP($B240,'[1]Plant data'!$A$1:$AB$315,12,0)</f>
        <v>NA</v>
      </c>
      <c r="AE240" t="str">
        <f>VLOOKUP($B240,'[1]Plant data'!$A$1:$AB$315,13,0)</f>
        <v>NA</v>
      </c>
      <c r="AF240" t="str">
        <f>VLOOKUP($B240,'[1]Plant data'!$A$1:$AB$315,14,0)</f>
        <v>NA</v>
      </c>
      <c r="AG240">
        <f>VLOOKUP($B240,'[1]Plant data'!$A$1:$AB$315,15,0)</f>
        <v>1</v>
      </c>
      <c r="AH240" t="str">
        <f>VLOOKUP($B240,'[1]Plant data'!$A$1:$AB$315,16,0)</f>
        <v>NA</v>
      </c>
      <c r="AI240" t="str">
        <f>VLOOKUP($B240,'[1]Plant data'!$A$1:$AB$315,17,0)</f>
        <v>NA</v>
      </c>
      <c r="AJ240" t="str">
        <f>VLOOKUP($B240,'[1]Plant data'!$A$1:$AB$315,18,0)</f>
        <v>ATLANTIC, Alves 2008</v>
      </c>
      <c r="AK240" t="str">
        <f>VLOOKUP($B240,'[1]Plant data'!$A$1:$AB$315,19,0)</f>
        <v>NA</v>
      </c>
      <c r="AL240">
        <f>VLOOKUP($B240,'[1]Plant data'!$A$1:$AB$315,20,0)</f>
        <v>0.40749999999999997</v>
      </c>
      <c r="AM240">
        <f>VLOOKUP($B240,'[1]Plant data'!$A$1:$AB$315,21,0)</f>
        <v>8.1299999999999997E-2</v>
      </c>
      <c r="AN240" t="str">
        <f>VLOOKUP($B240,'[1]Plant data'!$A$1:$AB$315,22,0)</f>
        <v>NA</v>
      </c>
      <c r="AO240" t="str">
        <f>VLOOKUP($B240,'[1]Plant data'!$A$1:$AB$315,23,0)</f>
        <v>NA</v>
      </c>
      <c r="AP240" t="str">
        <f>VLOOKUP($B240,'[1]Plant data'!$A$1:$AB$315,24,0)</f>
        <v>NA</v>
      </c>
      <c r="AQ240">
        <f>VLOOKUP($B240,'[1]Plant data'!$A$1:$AB$315,25,0)</f>
        <v>0.42530000000000001</v>
      </c>
      <c r="AR240">
        <f>VLOOKUP($B240,'[1]Plant data'!$A$1:$AB$315,26,0)</f>
        <v>3.6799999999999999E-2</v>
      </c>
      <c r="AS240" t="str">
        <f>VLOOKUP($B240,'[1]Plant data'!$A$1:$AB$315,27,0)</f>
        <v>NA</v>
      </c>
      <c r="AT240" t="str">
        <f>VLOOKUP($B240,'[1]Plant data'!$A$1:$AB$315,28,0)</f>
        <v>Menezes et al. 2008</v>
      </c>
    </row>
    <row r="241" spans="1:46">
      <c r="A241" s="5" t="s">
        <v>41</v>
      </c>
      <c r="B241" s="39" t="s">
        <v>271</v>
      </c>
      <c r="C241" s="7">
        <v>5</v>
      </c>
      <c r="D241" s="7">
        <v>8.5500000000000007</v>
      </c>
      <c r="E241" s="8">
        <f>C241/D241</f>
        <v>0.58479532163742687</v>
      </c>
      <c r="F241">
        <v>6</v>
      </c>
      <c r="G241" s="9">
        <f>F241/3</f>
        <v>2</v>
      </c>
      <c r="H241" s="9"/>
      <c r="I241" s="8">
        <f>E241*G241</f>
        <v>1.1695906432748537</v>
      </c>
      <c r="J241" t="s">
        <v>270</v>
      </c>
      <c r="K241" t="s">
        <v>80</v>
      </c>
      <c r="L241" s="16" t="s">
        <v>22</v>
      </c>
      <c r="M241" s="16" t="s">
        <v>30</v>
      </c>
      <c r="N241" s="17">
        <v>39</v>
      </c>
      <c r="O241" s="17">
        <v>8.2839869279999991</v>
      </c>
      <c r="P241" s="16" t="s">
        <v>24</v>
      </c>
      <c r="Q241" s="16" t="s">
        <v>25</v>
      </c>
      <c r="R241" s="16" t="s">
        <v>26</v>
      </c>
      <c r="S241" s="16" t="s">
        <v>31</v>
      </c>
      <c r="T241" t="str">
        <f>VLOOKUP(B241,'[1]Plant data'!$A$1:$AB$315,2,0)</f>
        <v>Moraceae</v>
      </c>
      <c r="U241" t="str">
        <f>VLOOKUP($B241,'[1]Plant data'!$A$1:$AB$315,3,0)</f>
        <v>Ficus nitida</v>
      </c>
      <c r="V241" t="str">
        <f>VLOOKUP($B241,'[1]Plant data'!$A$1:$AB$315,4,0)</f>
        <v>green</v>
      </c>
      <c r="W241" t="str">
        <f>VLOOKUP($B241,'[1]Plant data'!$A$1:$AB$315,5,0)</f>
        <v>YES</v>
      </c>
      <c r="X241">
        <f>VLOOKUP($B241,'[1]Plant data'!$A$1:$AB$315,6,0)</f>
        <v>7.6</v>
      </c>
      <c r="Y241">
        <f>VLOOKUP($B241,'[1]Plant data'!$A$1:$AB$315,7,0)</f>
        <v>8.9</v>
      </c>
      <c r="Z241">
        <f>VLOOKUP($B241,'[1]Plant data'!$A$1:$AB$315,8,0)</f>
        <v>6.6000000000000003E-2</v>
      </c>
      <c r="AA241">
        <f>VLOOKUP($B241,'[1]Plant data'!$A$1:$AB$315,9,0)</f>
        <v>1.21</v>
      </c>
      <c r="AB241">
        <f>VLOOKUP($B241,'[1]Plant data'!$A$1:$AB$315,10,0)</f>
        <v>0.84499999999999997</v>
      </c>
      <c r="AC241" t="str">
        <f>VLOOKUP($B241,'[1]Plant data'!$A$1:$AB$315,11,0)</f>
        <v>NA</v>
      </c>
      <c r="AD241" t="str">
        <f>VLOOKUP($B241,'[1]Plant data'!$A$1:$AB$315,12,0)</f>
        <v>NA</v>
      </c>
      <c r="AE241">
        <f>VLOOKUP($B241,'[1]Plant data'!$A$1:$AB$315,13,0)</f>
        <v>8.2000000000000003E-2</v>
      </c>
      <c r="AF241">
        <f>VLOOKUP($B241,'[1]Plant data'!$A$1:$AB$315,14,0)</f>
        <v>7.5999999999999998E-2</v>
      </c>
      <c r="AG241" t="str">
        <f>VLOOKUP($B241,'[1]Plant data'!$A$1:$AB$315,15,0)</f>
        <v>NA</v>
      </c>
      <c r="AH241" t="str">
        <f>VLOOKUP($B241,'[1]Plant data'!$A$1:$AB$315,16,0)</f>
        <v>NA</v>
      </c>
      <c r="AI241">
        <f>VLOOKUP($B241,'[1]Plant data'!$A$1:$AB$315,17,0)</f>
        <v>1.0789473684210527</v>
      </c>
      <c r="AJ241" t="str">
        <f>VLOOKUP($B241,'[1]Plant data'!$A$1:$AB$315,18,0)</f>
        <v>Fábio Jacomassa, unpubl., FRUBASE</v>
      </c>
      <c r="AK241">
        <f>VLOOKUP($B241,'[1]Plant data'!$A$1:$AB$315,19,0)</f>
        <v>0.79600000000000004</v>
      </c>
      <c r="AL241">
        <f>VLOOKUP($B241,'[1]Plant data'!$A$1:$AB$315,20,0)</f>
        <v>4.4999999999999998E-2</v>
      </c>
      <c r="AM241">
        <f>VLOOKUP($B241,'[1]Plant data'!$A$1:$AB$315,21,0)</f>
        <v>6.4000000000000001E-2</v>
      </c>
      <c r="AN241" t="str">
        <f>VLOOKUP($B241,'[1]Plant data'!$A$1:$AB$315,22,0)</f>
        <v>NA</v>
      </c>
      <c r="AO241" t="str">
        <f>VLOOKUP($B241,'[1]Plant data'!$A$1:$AB$315,23,0)</f>
        <v>NA</v>
      </c>
      <c r="AP241">
        <f>VLOOKUP($B241,'[1]Plant data'!$A$1:$AB$315,24,0)</f>
        <v>0.79900000000000004</v>
      </c>
      <c r="AQ241" t="str">
        <f>VLOOKUP($B241,'[1]Plant data'!$A$1:$AB$315,25,0)</f>
        <v>NA</v>
      </c>
      <c r="AR241">
        <f>VLOOKUP($B241,'[1]Plant data'!$A$1:$AB$315,26,0)</f>
        <v>9.1999999999999998E-2</v>
      </c>
      <c r="AS241" t="str">
        <f>VLOOKUP($B241,'[1]Plant data'!$A$1:$AB$315,27,0)</f>
        <v>NA</v>
      </c>
      <c r="AT241" t="str">
        <f>VLOOKUP($B241,'[1]Plant data'!$A$1:$AB$315,28,0)</f>
        <v>FRUBASE</v>
      </c>
    </row>
    <row r="242" spans="1:46">
      <c r="A242" s="5" t="s">
        <v>43</v>
      </c>
      <c r="B242" s="39" t="s">
        <v>271</v>
      </c>
      <c r="C242" s="7">
        <v>38</v>
      </c>
      <c r="D242" s="7">
        <v>8.5500000000000007</v>
      </c>
      <c r="E242" s="8">
        <f>C242/D242</f>
        <v>4.4444444444444438</v>
      </c>
      <c r="F242">
        <v>59</v>
      </c>
      <c r="G242" s="9">
        <f>F242/31</f>
        <v>1.903225806451613</v>
      </c>
      <c r="H242" s="9"/>
      <c r="I242" s="8">
        <f>E242*G242</f>
        <v>8.4587813620071675</v>
      </c>
      <c r="J242" t="s">
        <v>270</v>
      </c>
      <c r="K242" t="s">
        <v>80</v>
      </c>
      <c r="L242" t="s">
        <v>22</v>
      </c>
      <c r="M242" t="s">
        <v>30</v>
      </c>
      <c r="N242" s="11">
        <v>32.5</v>
      </c>
      <c r="O242" s="11">
        <v>8.9205555560000001</v>
      </c>
      <c r="P242" t="s">
        <v>24</v>
      </c>
      <c r="Q242" t="s">
        <v>25</v>
      </c>
      <c r="R242" t="s">
        <v>26</v>
      </c>
      <c r="S242" t="s">
        <v>31</v>
      </c>
      <c r="T242" t="str">
        <f>VLOOKUP(B242,'[1]Plant data'!$A$1:$AB$315,2,0)</f>
        <v>Moraceae</v>
      </c>
      <c r="U242" t="str">
        <f>VLOOKUP($B242,'[1]Plant data'!$A$1:$AB$315,3,0)</f>
        <v>Ficus nitida</v>
      </c>
      <c r="V242" t="str">
        <f>VLOOKUP($B242,'[1]Plant data'!$A$1:$AB$315,4,0)</f>
        <v>green</v>
      </c>
      <c r="W242" t="str">
        <f>VLOOKUP($B242,'[1]Plant data'!$A$1:$AB$315,5,0)</f>
        <v>YES</v>
      </c>
      <c r="X242">
        <f>VLOOKUP($B242,'[1]Plant data'!$A$1:$AB$315,6,0)</f>
        <v>7.6</v>
      </c>
      <c r="Y242">
        <f>VLOOKUP($B242,'[1]Plant data'!$A$1:$AB$315,7,0)</f>
        <v>8.9</v>
      </c>
      <c r="Z242">
        <f>VLOOKUP($B242,'[1]Plant data'!$A$1:$AB$315,8,0)</f>
        <v>6.6000000000000003E-2</v>
      </c>
      <c r="AA242">
        <f>VLOOKUP($B242,'[1]Plant data'!$A$1:$AB$315,9,0)</f>
        <v>1.21</v>
      </c>
      <c r="AB242">
        <f>VLOOKUP($B242,'[1]Plant data'!$A$1:$AB$315,10,0)</f>
        <v>0.84499999999999997</v>
      </c>
      <c r="AC242" t="str">
        <f>VLOOKUP($B242,'[1]Plant data'!$A$1:$AB$315,11,0)</f>
        <v>NA</v>
      </c>
      <c r="AD242" t="str">
        <f>VLOOKUP($B242,'[1]Plant data'!$A$1:$AB$315,12,0)</f>
        <v>NA</v>
      </c>
      <c r="AE242">
        <f>VLOOKUP($B242,'[1]Plant data'!$A$1:$AB$315,13,0)</f>
        <v>8.2000000000000003E-2</v>
      </c>
      <c r="AF242">
        <f>VLOOKUP($B242,'[1]Plant data'!$A$1:$AB$315,14,0)</f>
        <v>7.5999999999999998E-2</v>
      </c>
      <c r="AG242" t="str">
        <f>VLOOKUP($B242,'[1]Plant data'!$A$1:$AB$315,15,0)</f>
        <v>NA</v>
      </c>
      <c r="AH242" t="str">
        <f>VLOOKUP($B242,'[1]Plant data'!$A$1:$AB$315,16,0)</f>
        <v>NA</v>
      </c>
      <c r="AI242">
        <f>VLOOKUP($B242,'[1]Plant data'!$A$1:$AB$315,17,0)</f>
        <v>1.0789473684210527</v>
      </c>
      <c r="AJ242" t="str">
        <f>VLOOKUP($B242,'[1]Plant data'!$A$1:$AB$315,18,0)</f>
        <v>Fábio Jacomassa, unpubl., FRUBASE</v>
      </c>
      <c r="AK242">
        <f>VLOOKUP($B242,'[1]Plant data'!$A$1:$AB$315,19,0)</f>
        <v>0.79600000000000004</v>
      </c>
      <c r="AL242">
        <f>VLOOKUP($B242,'[1]Plant data'!$A$1:$AB$315,20,0)</f>
        <v>4.4999999999999998E-2</v>
      </c>
      <c r="AM242">
        <f>VLOOKUP($B242,'[1]Plant data'!$A$1:$AB$315,21,0)</f>
        <v>6.4000000000000001E-2</v>
      </c>
      <c r="AN242" t="str">
        <f>VLOOKUP($B242,'[1]Plant data'!$A$1:$AB$315,22,0)</f>
        <v>NA</v>
      </c>
      <c r="AO242" t="str">
        <f>VLOOKUP($B242,'[1]Plant data'!$A$1:$AB$315,23,0)</f>
        <v>NA</v>
      </c>
      <c r="AP242">
        <f>VLOOKUP($B242,'[1]Plant data'!$A$1:$AB$315,24,0)</f>
        <v>0.79900000000000004</v>
      </c>
      <c r="AQ242" t="str">
        <f>VLOOKUP($B242,'[1]Plant data'!$A$1:$AB$315,25,0)</f>
        <v>NA</v>
      </c>
      <c r="AR242">
        <f>VLOOKUP($B242,'[1]Plant data'!$A$1:$AB$315,26,0)</f>
        <v>9.1999999999999998E-2</v>
      </c>
      <c r="AS242" t="str">
        <f>VLOOKUP($B242,'[1]Plant data'!$A$1:$AB$315,27,0)</f>
        <v>NA</v>
      </c>
      <c r="AT242" t="str">
        <f>VLOOKUP($B242,'[1]Plant data'!$A$1:$AB$315,28,0)</f>
        <v>FRUBASE</v>
      </c>
    </row>
    <row r="243" spans="1:46">
      <c r="A243" s="5" t="s">
        <v>110</v>
      </c>
      <c r="B243" s="37" t="s">
        <v>161</v>
      </c>
      <c r="C243">
        <v>2</v>
      </c>
      <c r="D243" t="s">
        <v>19</v>
      </c>
      <c r="E243" s="9" t="s">
        <v>19</v>
      </c>
      <c r="F243" s="9" t="s">
        <v>19</v>
      </c>
      <c r="G243" s="9" t="s">
        <v>19</v>
      </c>
      <c r="H243" s="9"/>
      <c r="I243" s="8" t="s">
        <v>19</v>
      </c>
      <c r="J243" s="25" t="s">
        <v>157</v>
      </c>
      <c r="K243" t="s">
        <v>123</v>
      </c>
      <c r="L243" t="s">
        <v>100</v>
      </c>
      <c r="M243" t="s">
        <v>101</v>
      </c>
      <c r="N243" s="11">
        <v>1250</v>
      </c>
      <c r="O243" s="11">
        <v>19.114999999999998</v>
      </c>
      <c r="P243" t="s">
        <v>48</v>
      </c>
      <c r="Q243" t="s">
        <v>95</v>
      </c>
      <c r="R243" t="s">
        <v>114</v>
      </c>
      <c r="S243" t="s">
        <v>27</v>
      </c>
      <c r="T243" t="str">
        <f>VLOOKUP(B243,'[1]Plant data'!$A$1:$AB$315,2,0)</f>
        <v>Moraceae</v>
      </c>
      <c r="U243" t="str">
        <f>VLOOKUP($B243,'[1]Plant data'!$A$1:$AB$315,3,0)</f>
        <v>NA</v>
      </c>
      <c r="V243" t="str">
        <f>VLOOKUP($B243,'[1]Plant data'!$A$1:$AB$315,4,0)</f>
        <v>green</v>
      </c>
      <c r="W243" t="str">
        <f>VLOOKUP($B243,'[1]Plant data'!$A$1:$AB$315,5,0)</f>
        <v>YES</v>
      </c>
      <c r="X243">
        <f>VLOOKUP($B243,'[1]Plant data'!$A$1:$AB$315,6,0)</f>
        <v>14</v>
      </c>
      <c r="Y243">
        <f>VLOOKUP($B243,'[1]Plant data'!$A$1:$AB$315,7,0)</f>
        <v>14</v>
      </c>
      <c r="Z243" t="str">
        <f>VLOOKUP($B243,'[1]Plant data'!$A$1:$AB$315,8,0)</f>
        <v>NA</v>
      </c>
      <c r="AA243" t="str">
        <f>VLOOKUP($B243,'[1]Plant data'!$A$1:$AB$315,9,0)</f>
        <v>NA</v>
      </c>
      <c r="AB243">
        <f>VLOOKUP($B243,'[1]Plant data'!$A$1:$AB$315,10,0)</f>
        <v>1.3</v>
      </c>
      <c r="AC243" t="str">
        <f>VLOOKUP($B243,'[1]Plant data'!$A$1:$AB$315,11,0)</f>
        <v>NA</v>
      </c>
      <c r="AD243" t="str">
        <f>VLOOKUP($B243,'[1]Plant data'!$A$1:$AB$315,12,0)</f>
        <v>NA</v>
      </c>
      <c r="AE243" t="str">
        <f>VLOOKUP($B243,'[1]Plant data'!$A$1:$AB$315,13,0)</f>
        <v>NA</v>
      </c>
      <c r="AF243" t="str">
        <f>VLOOKUP($B243,'[1]Plant data'!$A$1:$AB$315,14,0)</f>
        <v>NA</v>
      </c>
      <c r="AG243">
        <f>VLOOKUP($B243,'[1]Plant data'!$A$1:$AB$315,15,0)</f>
        <v>50</v>
      </c>
      <c r="AH243" t="str">
        <f>VLOOKUP($B243,'[1]Plant data'!$A$1:$AB$315,16,0)</f>
        <v>NA</v>
      </c>
      <c r="AI243" t="str">
        <f>VLOOKUP($B243,'[1]Plant data'!$A$1:$AB$315,17,0)</f>
        <v>NA</v>
      </c>
      <c r="AJ243" t="str">
        <f>VLOOKUP($B243,'[1]Plant data'!$A$1:$AB$315,18,0)</f>
        <v>Intervales_morfo</v>
      </c>
      <c r="AK243">
        <f>VLOOKUP($B243,'[1]Plant data'!$A$1:$AB$315,19,0)</f>
        <v>0.79500000000000004</v>
      </c>
      <c r="AL243">
        <f>VLOOKUP($B243,'[1]Plant data'!$A$1:$AB$315,20,0)</f>
        <v>5.4000000000000006E-2</v>
      </c>
      <c r="AM243">
        <f>VLOOKUP($B243,'[1]Plant data'!$A$1:$AB$315,21,0)</f>
        <v>3.5000000000000003E-2</v>
      </c>
      <c r="AN243" t="str">
        <f>VLOOKUP($B243,'[1]Plant data'!$A$1:$AB$315,22,0)</f>
        <v>NA</v>
      </c>
      <c r="AO243" t="str">
        <f>VLOOKUP($B243,'[1]Plant data'!$A$1:$AB$315,23,0)</f>
        <v>NA</v>
      </c>
      <c r="AP243" t="str">
        <f>VLOOKUP($B243,'[1]Plant data'!$A$1:$AB$315,24,0)</f>
        <v>NA</v>
      </c>
      <c r="AQ243">
        <f>VLOOKUP($B243,'[1]Plant data'!$A$1:$AB$315,25,0)</f>
        <v>0.79599999999999993</v>
      </c>
      <c r="AR243">
        <f>VLOOKUP($B243,'[1]Plant data'!$A$1:$AB$315,26,0)</f>
        <v>0.114</v>
      </c>
      <c r="AS243" t="str">
        <f>VLOOKUP($B243,'[1]Plant data'!$A$1:$AB$315,27,0)</f>
        <v>NA</v>
      </c>
      <c r="AT243" t="str">
        <f>VLOOKUP($B243,'[1]Plant data'!$A$1:$AB$315,28,0)</f>
        <v>Saibadela</v>
      </c>
    </row>
    <row r="244" spans="1:46">
      <c r="A244" s="5" t="s">
        <v>70</v>
      </c>
      <c r="B244" s="40" t="s">
        <v>72</v>
      </c>
      <c r="C244">
        <v>149</v>
      </c>
      <c r="D244">
        <v>18.100000000000001</v>
      </c>
      <c r="E244" s="8">
        <f>C244/18.1</f>
        <v>8.2320441988950268</v>
      </c>
      <c r="F244" t="s">
        <v>19</v>
      </c>
      <c r="G244" s="9" t="s">
        <v>19</v>
      </c>
      <c r="H244" s="9"/>
      <c r="I244" s="8" t="s">
        <v>19</v>
      </c>
      <c r="J244" s="25" t="s">
        <v>67</v>
      </c>
      <c r="K244" s="25" t="s">
        <v>68</v>
      </c>
      <c r="L244" t="s">
        <v>22</v>
      </c>
      <c r="M244" t="s">
        <v>23</v>
      </c>
      <c r="N244" s="11">
        <v>15</v>
      </c>
      <c r="O244" s="11">
        <v>6.9235714289999999</v>
      </c>
      <c r="P244" t="s">
        <v>24</v>
      </c>
      <c r="Q244" t="s">
        <v>25</v>
      </c>
      <c r="R244" t="s">
        <v>26</v>
      </c>
      <c r="S244" t="s">
        <v>27</v>
      </c>
      <c r="T244" t="str">
        <f>VLOOKUP(B244,'[1]Plant data'!$A$1:$AB$315,2,0)</f>
        <v>Moraceae</v>
      </c>
      <c r="U244" t="str">
        <f>VLOOKUP($B244,'[1]Plant data'!$A$1:$AB$315,3,0)</f>
        <v>Ficus hirta, Ficus villosa</v>
      </c>
      <c r="V244" t="str">
        <f>VLOOKUP($B244,'[1]Plant data'!$A$1:$AB$315,4,0)</f>
        <v>green</v>
      </c>
      <c r="W244" t="str">
        <f>VLOOKUP($B244,'[1]Plant data'!$A$1:$AB$315,5,0)</f>
        <v>YES</v>
      </c>
      <c r="X244">
        <f>VLOOKUP($B244,'[1]Plant data'!$A$1:$AB$315,6,0)</f>
        <v>8.1999999999999993</v>
      </c>
      <c r="Y244">
        <f>VLOOKUP($B244,'[1]Plant data'!$A$1:$AB$315,7,0)</f>
        <v>9.1</v>
      </c>
      <c r="Z244">
        <f>VLOOKUP($B244,'[1]Plant data'!$A$1:$AB$315,8,0)</f>
        <v>0.7</v>
      </c>
      <c r="AA244">
        <f>VLOOKUP($B244,'[1]Plant data'!$A$1:$AB$315,9,0)</f>
        <v>1</v>
      </c>
      <c r="AB244">
        <f>VLOOKUP($B244,'[1]Plant data'!$A$1:$AB$315,10,0)</f>
        <v>0.26</v>
      </c>
      <c r="AC244" t="str">
        <f>VLOOKUP($B244,'[1]Plant data'!$A$1:$AB$315,11,0)</f>
        <v>NA</v>
      </c>
      <c r="AD244">
        <f>VLOOKUP($B244,'[1]Plant data'!$A$1:$AB$315,12,0)</f>
        <v>8.0000000000000004E-4</v>
      </c>
      <c r="AE244" t="str">
        <f>VLOOKUP($B244,'[1]Plant data'!$A$1:$AB$315,13,0)</f>
        <v>NA</v>
      </c>
      <c r="AF244" t="str">
        <f>VLOOKUP($B244,'[1]Plant data'!$A$1:$AB$315,14,0)</f>
        <v>NA</v>
      </c>
      <c r="AG244">
        <f>VLOOKUP($B244,'[1]Plant data'!$A$1:$AB$315,15,0)</f>
        <v>41.7</v>
      </c>
      <c r="AH244" t="str">
        <f>VLOOKUP($B244,'[1]Plant data'!$A$1:$AB$315,16,0)</f>
        <v>NA</v>
      </c>
      <c r="AI244" t="str">
        <f>VLOOKUP($B244,'[1]Plant data'!$A$1:$AB$315,17,0)</f>
        <v>NA</v>
      </c>
      <c r="AJ244" t="str">
        <f>VLOOKUP($B244,'[1]Plant data'!$A$1:$AB$315,18,0)</f>
        <v>Angel-de-Oliveira 1999</v>
      </c>
      <c r="AK244" t="str">
        <f>VLOOKUP($B244,'[1]Plant data'!$A$1:$AB$315,19,0)</f>
        <v>NA</v>
      </c>
      <c r="AL244" t="str">
        <f>VLOOKUP($B244,'[1]Plant data'!$A$1:$AB$315,20,0)</f>
        <v>NA</v>
      </c>
      <c r="AM244" t="str">
        <f>VLOOKUP($B244,'[1]Plant data'!$A$1:$AB$315,21,0)</f>
        <v>NA</v>
      </c>
      <c r="AN244" t="str">
        <f>VLOOKUP($B244,'[1]Plant data'!$A$1:$AB$315,22,0)</f>
        <v>NA</v>
      </c>
      <c r="AO244" t="str">
        <f>VLOOKUP($B244,'[1]Plant data'!$A$1:$AB$315,23,0)</f>
        <v>NA</v>
      </c>
      <c r="AP244" t="str">
        <f>VLOOKUP($B244,'[1]Plant data'!$A$1:$AB$315,24,0)</f>
        <v>NA</v>
      </c>
      <c r="AQ244" t="str">
        <f>VLOOKUP($B244,'[1]Plant data'!$A$1:$AB$315,25,0)</f>
        <v>NA</v>
      </c>
      <c r="AR244" t="str">
        <f>VLOOKUP($B244,'[1]Plant data'!$A$1:$AB$315,26,0)</f>
        <v>NA</v>
      </c>
      <c r="AS244" t="str">
        <f>VLOOKUP($B244,'[1]Plant data'!$A$1:$AB$315,27,0)</f>
        <v>NA</v>
      </c>
      <c r="AT244" t="str">
        <f>VLOOKUP($B244,'[1]Plant data'!$A$1:$AB$315,28,0)</f>
        <v>NA</v>
      </c>
    </row>
    <row r="245" spans="1:46">
      <c r="A245" s="5" t="s">
        <v>43</v>
      </c>
      <c r="B245" s="37" t="s">
        <v>189</v>
      </c>
      <c r="C245">
        <v>3</v>
      </c>
      <c r="D245">
        <v>2</v>
      </c>
      <c r="E245" s="8">
        <f>C245/2</f>
        <v>1.5</v>
      </c>
      <c r="F245" t="s">
        <v>19</v>
      </c>
      <c r="G245" s="19">
        <v>10</v>
      </c>
      <c r="H245" s="19"/>
      <c r="I245" s="8">
        <f>E245*G245</f>
        <v>15</v>
      </c>
      <c r="J245" s="25" t="s">
        <v>180</v>
      </c>
      <c r="K245" s="25" t="s">
        <v>181</v>
      </c>
      <c r="L245" t="s">
        <v>22</v>
      </c>
      <c r="M245" t="s">
        <v>30</v>
      </c>
      <c r="N245" s="11">
        <v>32.5</v>
      </c>
      <c r="O245" s="11">
        <v>8.9205555560000001</v>
      </c>
      <c r="P245" t="s">
        <v>24</v>
      </c>
      <c r="Q245" t="s">
        <v>25</v>
      </c>
      <c r="R245" t="s">
        <v>26</v>
      </c>
      <c r="S245" t="s">
        <v>31</v>
      </c>
      <c r="T245" t="str">
        <f>VLOOKUP(B245,'[1]Plant data'!$A$1:$AB$315,2,0)</f>
        <v>Moraceae</v>
      </c>
      <c r="U245" t="str">
        <f>VLOOKUP($B245,'[1]Plant data'!$A$1:$AB$315,3,0)</f>
        <v>NA</v>
      </c>
      <c r="V245" t="str">
        <f>VLOOKUP($B245,'[1]Plant data'!$A$1:$AB$315,4,0)</f>
        <v>green</v>
      </c>
      <c r="W245" t="str">
        <f>VLOOKUP($B245,'[1]Plant data'!$A$1:$AB$315,5,0)</f>
        <v>YES</v>
      </c>
      <c r="X245">
        <f>VLOOKUP($B245,'[1]Plant data'!$A$1:$AB$315,6,0)</f>
        <v>24.310000000000002</v>
      </c>
      <c r="Y245">
        <f>VLOOKUP($B245,'[1]Plant data'!$A$1:$AB$315,7,0)</f>
        <v>24.738333333333333</v>
      </c>
      <c r="Z245">
        <f>VLOOKUP($B245,'[1]Plant data'!$A$1:$AB$315,8,0)</f>
        <v>1.5</v>
      </c>
      <c r="AA245">
        <f>VLOOKUP($B245,'[1]Plant data'!$A$1:$AB$315,9,0)</f>
        <v>2.36</v>
      </c>
      <c r="AB245">
        <f>VLOOKUP($B245,'[1]Plant data'!$A$1:$AB$315,10,0)</f>
        <v>9.7347999999999999</v>
      </c>
      <c r="AC245">
        <f>VLOOKUP($B245,'[1]Plant data'!$A$1:$AB$315,11,0)</f>
        <v>10.237</v>
      </c>
      <c r="AD245">
        <f>VLOOKUP($B245,'[1]Plant data'!$A$1:$AB$315,12,0)</f>
        <v>8.900000000000001E-2</v>
      </c>
      <c r="AE245">
        <f>VLOOKUP($B245,'[1]Plant data'!$A$1:$AB$315,13,0)</f>
        <v>2.2876250000000002</v>
      </c>
      <c r="AF245">
        <f>VLOOKUP($B245,'[1]Plant data'!$A$1:$AB$315,14,0)</f>
        <v>0.19350000000000001</v>
      </c>
      <c r="AG245">
        <f>VLOOKUP($B245,'[1]Plant data'!$A$1:$AB$315,15,0)</f>
        <v>148.9</v>
      </c>
      <c r="AH245" t="str">
        <f>VLOOKUP($B245,'[1]Plant data'!$A$1:$AB$315,16,0)</f>
        <v>NA</v>
      </c>
      <c r="AI245">
        <f>VLOOKUP($B245,'[1]Plant data'!$A$1:$AB$315,17,0)</f>
        <v>17.860238278399116</v>
      </c>
      <c r="AJ245" t="str">
        <f>VLOOKUP($B245,'[1]Plant data'!$A$1:$AB$315,18,0)</f>
        <v>ATLANTIC, Cazetta 2007, Erica&amp;Wesley, FRUBASE, Intervales_morfo, Mikich 2002, Souza 2004</v>
      </c>
      <c r="AK245">
        <f>VLOOKUP($B245,'[1]Plant data'!$A$1:$AB$315,19,0)</f>
        <v>0.85849999999999993</v>
      </c>
      <c r="AL245">
        <f>VLOOKUP($B245,'[1]Plant data'!$A$1:$AB$315,20,0)</f>
        <v>4.4947077333843483E-2</v>
      </c>
      <c r="AM245">
        <f>VLOOKUP($B245,'[1]Plant data'!$A$1:$AB$315,21,0)</f>
        <v>5.3575999999999999E-2</v>
      </c>
      <c r="AN245">
        <f>VLOOKUP($B245,'[1]Plant data'!$A$1:$AB$315,22,0)</f>
        <v>2.4763407008446025E-3</v>
      </c>
      <c r="AO245">
        <f>VLOOKUP($B245,'[1]Plant data'!$A$1:$AB$315,23,0)</f>
        <v>9.1702662701896559E-2</v>
      </c>
      <c r="AP245">
        <f>VLOOKUP($B245,'[1]Plant data'!$A$1:$AB$315,24,0)</f>
        <v>0.90800000000000003</v>
      </c>
      <c r="AQ245">
        <f>VLOOKUP($B245,'[1]Plant data'!$A$1:$AB$315,25,0)</f>
        <v>0.80799999999999994</v>
      </c>
      <c r="AR245">
        <f>VLOOKUP($B245,'[1]Plant data'!$A$1:$AB$315,26,0)</f>
        <v>6.0999999999999999E-2</v>
      </c>
      <c r="AS245" t="str">
        <f>VLOOKUP($B245,'[1]Plant data'!$A$1:$AB$315,27,0)</f>
        <v>NA</v>
      </c>
      <c r="AT245" t="str">
        <f>VLOOKUP($B245,'[1]Plant data'!$A$1:$AB$315,28,0)</f>
        <v>Cazetta 2007, Erica &amp; Wesley, unpubl., FRUBASE, Saibadela</v>
      </c>
    </row>
    <row r="246" spans="1:46">
      <c r="A246" s="18" t="s">
        <v>65</v>
      </c>
      <c r="B246" s="62" t="s">
        <v>151</v>
      </c>
      <c r="C246" s="36">
        <v>7</v>
      </c>
      <c r="D246" s="7">
        <v>30</v>
      </c>
      <c r="E246" s="8">
        <f>C246/D246</f>
        <v>0.23333333333333334</v>
      </c>
      <c r="F246" t="s">
        <v>19</v>
      </c>
      <c r="G246" t="s">
        <v>19</v>
      </c>
      <c r="I246" s="8" t="s">
        <v>19</v>
      </c>
      <c r="J246" t="s">
        <v>152</v>
      </c>
      <c r="K246" t="s">
        <v>153</v>
      </c>
      <c r="L246" t="s">
        <v>22</v>
      </c>
      <c r="M246" t="s">
        <v>23</v>
      </c>
      <c r="N246" s="11">
        <v>11</v>
      </c>
      <c r="O246" s="11">
        <v>6.1466666669999999</v>
      </c>
      <c r="P246" t="s">
        <v>24</v>
      </c>
      <c r="Q246" t="s">
        <v>25</v>
      </c>
      <c r="R246" t="s">
        <v>26</v>
      </c>
      <c r="S246" s="13" t="s">
        <v>31</v>
      </c>
      <c r="T246" t="str">
        <f>VLOOKUP(B246,'[1]Plant data'!$A$1:$AB$315,2,0)</f>
        <v>Moraceae</v>
      </c>
      <c r="U246" t="str">
        <f>VLOOKUP($B246,'[1]Plant data'!$A$1:$AB$315,3,0)</f>
        <v>Ficus thonningii, F. recurva</v>
      </c>
      <c r="V246" t="str">
        <f>VLOOKUP($B246,'[1]Plant data'!$A$1:$AB$315,4,0)</f>
        <v>green</v>
      </c>
      <c r="W246" t="str">
        <f>VLOOKUP($B246,'[1]Plant data'!$A$1:$AB$315,5,0)</f>
        <v>YES</v>
      </c>
      <c r="X246">
        <f>VLOOKUP($B246,'[1]Plant data'!$A$1:$AB$315,6,0)</f>
        <v>8</v>
      </c>
      <c r="Y246">
        <f>VLOOKUP($B246,'[1]Plant data'!$A$1:$AB$315,7,0)</f>
        <v>10</v>
      </c>
      <c r="Z246">
        <f>VLOOKUP($B246,'[1]Plant data'!$A$1:$AB$315,8,0)</f>
        <v>1</v>
      </c>
      <c r="AA246" t="str">
        <f>VLOOKUP($B246,'[1]Plant data'!$A$1:$AB$315,9,0)</f>
        <v>NA</v>
      </c>
      <c r="AB246" t="str">
        <f>VLOOKUP($B246,'[1]Plant data'!$A$1:$AB$315,10,0)</f>
        <v>NA</v>
      </c>
      <c r="AC246" t="str">
        <f>VLOOKUP($B246,'[1]Plant data'!$A$1:$AB$315,11,0)</f>
        <v>NA</v>
      </c>
      <c r="AD246" t="str">
        <f>VLOOKUP($B246,'[1]Plant data'!$A$1:$AB$315,12,0)</f>
        <v>NA</v>
      </c>
      <c r="AE246" t="str">
        <f>VLOOKUP($B246,'[1]Plant data'!$A$1:$AB$315,13,0)</f>
        <v>NA</v>
      </c>
      <c r="AF246" t="str">
        <f>VLOOKUP($B246,'[1]Plant data'!$A$1:$AB$315,14,0)</f>
        <v>NA</v>
      </c>
      <c r="AG246" t="str">
        <f>VLOOKUP($B246,'[1]Plant data'!$A$1:$AB$315,15,0)</f>
        <v>NA</v>
      </c>
      <c r="AH246" t="str">
        <f>VLOOKUP($B246,'[1]Plant data'!$A$1:$AB$315,16,0)</f>
        <v>NA</v>
      </c>
      <c r="AI246" t="str">
        <f>VLOOKUP($B246,'[1]Plant data'!$A$1:$AB$315,17,0)</f>
        <v>NA</v>
      </c>
      <c r="AJ246" t="str">
        <f>VLOOKUP($B246,'[1]Plant data'!$A$1:$AB$315,18,0)</f>
        <v>ATLANTIC</v>
      </c>
      <c r="AK246" t="str">
        <f>VLOOKUP($B246,'[1]Plant data'!$A$1:$AB$315,19,0)</f>
        <v>NA</v>
      </c>
      <c r="AL246" t="str">
        <f>VLOOKUP($B246,'[1]Plant data'!$A$1:$AB$315,20,0)</f>
        <v>NA</v>
      </c>
      <c r="AM246" t="str">
        <f>VLOOKUP($B246,'[1]Plant data'!$A$1:$AB$315,21,0)</f>
        <v>NA</v>
      </c>
      <c r="AN246" t="str">
        <f>VLOOKUP($B246,'[1]Plant data'!$A$1:$AB$315,22,0)</f>
        <v>NA</v>
      </c>
      <c r="AO246" t="str">
        <f>VLOOKUP($B246,'[1]Plant data'!$A$1:$AB$315,23,0)</f>
        <v>NA</v>
      </c>
      <c r="AP246" t="str">
        <f>VLOOKUP($B246,'[1]Plant data'!$A$1:$AB$315,24,0)</f>
        <v>NA</v>
      </c>
      <c r="AQ246" t="str">
        <f>VLOOKUP($B246,'[1]Plant data'!$A$1:$AB$315,25,0)</f>
        <v>NA</v>
      </c>
      <c r="AR246" t="str">
        <f>VLOOKUP($B246,'[1]Plant data'!$A$1:$AB$315,26,0)</f>
        <v>NA</v>
      </c>
      <c r="AS246" t="str">
        <f>VLOOKUP($B246,'[1]Plant data'!$A$1:$AB$315,27,0)</f>
        <v>NA</v>
      </c>
      <c r="AT246" t="str">
        <f>VLOOKUP($B246,'[1]Plant data'!$A$1:$AB$315,28,0)</f>
        <v>NA</v>
      </c>
    </row>
    <row r="247" spans="1:46">
      <c r="A247" s="18" t="s">
        <v>28</v>
      </c>
      <c r="B247" s="62" t="s">
        <v>151</v>
      </c>
      <c r="C247" s="36">
        <v>61</v>
      </c>
      <c r="D247" s="7">
        <v>30</v>
      </c>
      <c r="E247" s="8">
        <f>C247/D247</f>
        <v>2.0333333333333332</v>
      </c>
      <c r="F247" t="s">
        <v>19</v>
      </c>
      <c r="G247" s="41">
        <v>1</v>
      </c>
      <c r="H247" s="41"/>
      <c r="I247" s="8">
        <f t="shared" ref="I247:I253" si="20">E247*G247</f>
        <v>2.0333333333333332</v>
      </c>
      <c r="J247" t="s">
        <v>152</v>
      </c>
      <c r="K247" t="s">
        <v>153</v>
      </c>
      <c r="L247" t="s">
        <v>22</v>
      </c>
      <c r="M247" t="s">
        <v>30</v>
      </c>
      <c r="N247" s="11">
        <v>18</v>
      </c>
      <c r="O247" s="11">
        <v>7.4188405800000004</v>
      </c>
      <c r="P247" t="s">
        <v>24</v>
      </c>
      <c r="Q247" s="13" t="s">
        <v>25</v>
      </c>
      <c r="R247" s="13" t="s">
        <v>26</v>
      </c>
      <c r="S247" s="13" t="s">
        <v>31</v>
      </c>
      <c r="T247" t="str">
        <f>VLOOKUP(B247,'[1]Plant data'!$A$1:$AB$315,2,0)</f>
        <v>Moraceae</v>
      </c>
      <c r="U247" t="str">
        <f>VLOOKUP($B247,'[1]Plant data'!$A$1:$AB$315,3,0)</f>
        <v>Ficus thonningii, F. recurva</v>
      </c>
      <c r="V247" t="str">
        <f>VLOOKUP($B247,'[1]Plant data'!$A$1:$AB$315,4,0)</f>
        <v>green</v>
      </c>
      <c r="W247" t="str">
        <f>VLOOKUP($B247,'[1]Plant data'!$A$1:$AB$315,5,0)</f>
        <v>YES</v>
      </c>
      <c r="X247">
        <f>VLOOKUP($B247,'[1]Plant data'!$A$1:$AB$315,6,0)</f>
        <v>8</v>
      </c>
      <c r="Y247">
        <f>VLOOKUP($B247,'[1]Plant data'!$A$1:$AB$315,7,0)</f>
        <v>10</v>
      </c>
      <c r="Z247">
        <f>VLOOKUP($B247,'[1]Plant data'!$A$1:$AB$315,8,0)</f>
        <v>1</v>
      </c>
      <c r="AA247" t="str">
        <f>VLOOKUP($B247,'[1]Plant data'!$A$1:$AB$315,9,0)</f>
        <v>NA</v>
      </c>
      <c r="AB247" t="str">
        <f>VLOOKUP($B247,'[1]Plant data'!$A$1:$AB$315,10,0)</f>
        <v>NA</v>
      </c>
      <c r="AC247" t="str">
        <f>VLOOKUP($B247,'[1]Plant data'!$A$1:$AB$315,11,0)</f>
        <v>NA</v>
      </c>
      <c r="AD247" t="str">
        <f>VLOOKUP($B247,'[1]Plant data'!$A$1:$AB$315,12,0)</f>
        <v>NA</v>
      </c>
      <c r="AE247" t="str">
        <f>VLOOKUP($B247,'[1]Plant data'!$A$1:$AB$315,13,0)</f>
        <v>NA</v>
      </c>
      <c r="AF247" t="str">
        <f>VLOOKUP($B247,'[1]Plant data'!$A$1:$AB$315,14,0)</f>
        <v>NA</v>
      </c>
      <c r="AG247" t="str">
        <f>VLOOKUP($B247,'[1]Plant data'!$A$1:$AB$315,15,0)</f>
        <v>NA</v>
      </c>
      <c r="AH247" t="str">
        <f>VLOOKUP($B247,'[1]Plant data'!$A$1:$AB$315,16,0)</f>
        <v>NA</v>
      </c>
      <c r="AI247" t="str">
        <f>VLOOKUP($B247,'[1]Plant data'!$A$1:$AB$315,17,0)</f>
        <v>NA</v>
      </c>
      <c r="AJ247" t="str">
        <f>VLOOKUP($B247,'[1]Plant data'!$A$1:$AB$315,18,0)</f>
        <v>ATLANTIC</v>
      </c>
      <c r="AK247" t="str">
        <f>VLOOKUP($B247,'[1]Plant data'!$A$1:$AB$315,19,0)</f>
        <v>NA</v>
      </c>
      <c r="AL247" t="str">
        <f>VLOOKUP($B247,'[1]Plant data'!$A$1:$AB$315,20,0)</f>
        <v>NA</v>
      </c>
      <c r="AM247" t="str">
        <f>VLOOKUP($B247,'[1]Plant data'!$A$1:$AB$315,21,0)</f>
        <v>NA</v>
      </c>
      <c r="AN247" t="str">
        <f>VLOOKUP($B247,'[1]Plant data'!$A$1:$AB$315,22,0)</f>
        <v>NA</v>
      </c>
      <c r="AO247" t="str">
        <f>VLOOKUP($B247,'[1]Plant data'!$A$1:$AB$315,23,0)</f>
        <v>NA</v>
      </c>
      <c r="AP247" t="str">
        <f>VLOOKUP($B247,'[1]Plant data'!$A$1:$AB$315,24,0)</f>
        <v>NA</v>
      </c>
      <c r="AQ247" t="str">
        <f>VLOOKUP($B247,'[1]Plant data'!$A$1:$AB$315,25,0)</f>
        <v>NA</v>
      </c>
      <c r="AR247" t="str">
        <f>VLOOKUP($B247,'[1]Plant data'!$A$1:$AB$315,26,0)</f>
        <v>NA</v>
      </c>
      <c r="AS247" t="str">
        <f>VLOOKUP($B247,'[1]Plant data'!$A$1:$AB$315,27,0)</f>
        <v>NA</v>
      </c>
      <c r="AT247" t="str">
        <f>VLOOKUP($B247,'[1]Plant data'!$A$1:$AB$315,28,0)</f>
        <v>NA</v>
      </c>
    </row>
    <row r="248" spans="1:46">
      <c r="A248" s="18" t="s">
        <v>43</v>
      </c>
      <c r="B248" s="62" t="s">
        <v>151</v>
      </c>
      <c r="C248" s="36">
        <v>126</v>
      </c>
      <c r="D248" s="7">
        <v>30</v>
      </c>
      <c r="E248" s="8">
        <f>C248/D248</f>
        <v>4.2</v>
      </c>
      <c r="F248" t="s">
        <v>19</v>
      </c>
      <c r="G248" s="41">
        <v>1</v>
      </c>
      <c r="H248" s="41"/>
      <c r="I248" s="8">
        <f t="shared" si="20"/>
        <v>4.2</v>
      </c>
      <c r="J248" t="s">
        <v>152</v>
      </c>
      <c r="K248" t="s">
        <v>153</v>
      </c>
      <c r="L248" t="s">
        <v>22</v>
      </c>
      <c r="M248" t="s">
        <v>30</v>
      </c>
      <c r="N248" s="11">
        <v>32.5</v>
      </c>
      <c r="O248" s="11">
        <v>8.9205555560000001</v>
      </c>
      <c r="P248" t="s">
        <v>24</v>
      </c>
      <c r="Q248" t="s">
        <v>25</v>
      </c>
      <c r="R248" t="s">
        <v>26</v>
      </c>
      <c r="S248" t="s">
        <v>31</v>
      </c>
      <c r="T248" t="str">
        <f>VLOOKUP(B248,'[1]Plant data'!$A$1:$AB$315,2,0)</f>
        <v>Moraceae</v>
      </c>
      <c r="U248" t="str">
        <f>VLOOKUP($B248,'[1]Plant data'!$A$1:$AB$315,3,0)</f>
        <v>Ficus thonningii, F. recurva</v>
      </c>
      <c r="V248" t="str">
        <f>VLOOKUP($B248,'[1]Plant data'!$A$1:$AB$315,4,0)</f>
        <v>green</v>
      </c>
      <c r="W248" t="str">
        <f>VLOOKUP($B248,'[1]Plant data'!$A$1:$AB$315,5,0)</f>
        <v>YES</v>
      </c>
      <c r="X248">
        <f>VLOOKUP($B248,'[1]Plant data'!$A$1:$AB$315,6,0)</f>
        <v>8</v>
      </c>
      <c r="Y248">
        <f>VLOOKUP($B248,'[1]Plant data'!$A$1:$AB$315,7,0)</f>
        <v>10</v>
      </c>
      <c r="Z248">
        <f>VLOOKUP($B248,'[1]Plant data'!$A$1:$AB$315,8,0)</f>
        <v>1</v>
      </c>
      <c r="AA248" t="str">
        <f>VLOOKUP($B248,'[1]Plant data'!$A$1:$AB$315,9,0)</f>
        <v>NA</v>
      </c>
      <c r="AB248" t="str">
        <f>VLOOKUP($B248,'[1]Plant data'!$A$1:$AB$315,10,0)</f>
        <v>NA</v>
      </c>
      <c r="AC248" t="str">
        <f>VLOOKUP($B248,'[1]Plant data'!$A$1:$AB$315,11,0)</f>
        <v>NA</v>
      </c>
      <c r="AD248" t="str">
        <f>VLOOKUP($B248,'[1]Plant data'!$A$1:$AB$315,12,0)</f>
        <v>NA</v>
      </c>
      <c r="AE248" t="str">
        <f>VLOOKUP($B248,'[1]Plant data'!$A$1:$AB$315,13,0)</f>
        <v>NA</v>
      </c>
      <c r="AF248" t="str">
        <f>VLOOKUP($B248,'[1]Plant data'!$A$1:$AB$315,14,0)</f>
        <v>NA</v>
      </c>
      <c r="AG248" t="str">
        <f>VLOOKUP($B248,'[1]Plant data'!$A$1:$AB$315,15,0)</f>
        <v>NA</v>
      </c>
      <c r="AH248" t="str">
        <f>VLOOKUP($B248,'[1]Plant data'!$A$1:$AB$315,16,0)</f>
        <v>NA</v>
      </c>
      <c r="AI248" t="str">
        <f>VLOOKUP($B248,'[1]Plant data'!$A$1:$AB$315,17,0)</f>
        <v>NA</v>
      </c>
      <c r="AJ248" t="str">
        <f>VLOOKUP($B248,'[1]Plant data'!$A$1:$AB$315,18,0)</f>
        <v>ATLANTIC</v>
      </c>
      <c r="AK248" t="str">
        <f>VLOOKUP($B248,'[1]Plant data'!$A$1:$AB$315,19,0)</f>
        <v>NA</v>
      </c>
      <c r="AL248" t="str">
        <f>VLOOKUP($B248,'[1]Plant data'!$A$1:$AB$315,20,0)</f>
        <v>NA</v>
      </c>
      <c r="AM248" t="str">
        <f>VLOOKUP($B248,'[1]Plant data'!$A$1:$AB$315,21,0)</f>
        <v>NA</v>
      </c>
      <c r="AN248" t="str">
        <f>VLOOKUP($B248,'[1]Plant data'!$A$1:$AB$315,22,0)</f>
        <v>NA</v>
      </c>
      <c r="AO248" t="str">
        <f>VLOOKUP($B248,'[1]Plant data'!$A$1:$AB$315,23,0)</f>
        <v>NA</v>
      </c>
      <c r="AP248" t="str">
        <f>VLOOKUP($B248,'[1]Plant data'!$A$1:$AB$315,24,0)</f>
        <v>NA</v>
      </c>
      <c r="AQ248" t="str">
        <f>VLOOKUP($B248,'[1]Plant data'!$A$1:$AB$315,25,0)</f>
        <v>NA</v>
      </c>
      <c r="AR248" t="str">
        <f>VLOOKUP($B248,'[1]Plant data'!$A$1:$AB$315,26,0)</f>
        <v>NA</v>
      </c>
      <c r="AS248" t="str">
        <f>VLOOKUP($B248,'[1]Plant data'!$A$1:$AB$315,27,0)</f>
        <v>NA</v>
      </c>
      <c r="AT248" t="str">
        <f>VLOOKUP($B248,'[1]Plant data'!$A$1:$AB$315,28,0)</f>
        <v>NA</v>
      </c>
    </row>
    <row r="249" spans="1:46">
      <c r="A249" s="5" t="s">
        <v>28</v>
      </c>
      <c r="B249" s="40" t="s">
        <v>151</v>
      </c>
      <c r="C249" s="25">
        <v>4</v>
      </c>
      <c r="D249" s="25">
        <v>4.5</v>
      </c>
      <c r="E249" s="26">
        <f>C249/D249</f>
        <v>0.88888888888888884</v>
      </c>
      <c r="F249" s="25" t="s">
        <v>19</v>
      </c>
      <c r="G249" s="41">
        <v>1</v>
      </c>
      <c r="H249" s="41"/>
      <c r="I249" s="8">
        <f t="shared" si="20"/>
        <v>0.88888888888888884</v>
      </c>
      <c r="J249" s="25" t="s">
        <v>180</v>
      </c>
      <c r="K249" s="25" t="s">
        <v>181</v>
      </c>
      <c r="L249" t="s">
        <v>22</v>
      </c>
      <c r="M249" t="s">
        <v>30</v>
      </c>
      <c r="N249" s="11">
        <v>18</v>
      </c>
      <c r="O249" s="11">
        <v>7.4188405800000004</v>
      </c>
      <c r="P249" t="s">
        <v>24</v>
      </c>
      <c r="Q249" s="13" t="s">
        <v>25</v>
      </c>
      <c r="R249" s="13" t="s">
        <v>26</v>
      </c>
      <c r="S249" s="13" t="s">
        <v>31</v>
      </c>
      <c r="T249" t="str">
        <f>VLOOKUP(B249,'[1]Plant data'!$A$1:$AB$315,2,0)</f>
        <v>Moraceae</v>
      </c>
      <c r="U249" t="str">
        <f>VLOOKUP($B249,'[1]Plant data'!$A$1:$AB$315,3,0)</f>
        <v>Ficus thonningii, F. recurva</v>
      </c>
      <c r="V249" t="str">
        <f>VLOOKUP($B249,'[1]Plant data'!$A$1:$AB$315,4,0)</f>
        <v>green</v>
      </c>
      <c r="W249" t="str">
        <f>VLOOKUP($B249,'[1]Plant data'!$A$1:$AB$315,5,0)</f>
        <v>YES</v>
      </c>
      <c r="X249">
        <f>VLOOKUP($B249,'[1]Plant data'!$A$1:$AB$315,6,0)</f>
        <v>8</v>
      </c>
      <c r="Y249">
        <f>VLOOKUP($B249,'[1]Plant data'!$A$1:$AB$315,7,0)</f>
        <v>10</v>
      </c>
      <c r="Z249">
        <f>VLOOKUP($B249,'[1]Plant data'!$A$1:$AB$315,8,0)</f>
        <v>1</v>
      </c>
      <c r="AA249" t="str">
        <f>VLOOKUP($B249,'[1]Plant data'!$A$1:$AB$315,9,0)</f>
        <v>NA</v>
      </c>
      <c r="AB249" t="str">
        <f>VLOOKUP($B249,'[1]Plant data'!$A$1:$AB$315,10,0)</f>
        <v>NA</v>
      </c>
      <c r="AC249" t="str">
        <f>VLOOKUP($B249,'[1]Plant data'!$A$1:$AB$315,11,0)</f>
        <v>NA</v>
      </c>
      <c r="AD249" t="str">
        <f>VLOOKUP($B249,'[1]Plant data'!$A$1:$AB$315,12,0)</f>
        <v>NA</v>
      </c>
      <c r="AE249" t="str">
        <f>VLOOKUP($B249,'[1]Plant data'!$A$1:$AB$315,13,0)</f>
        <v>NA</v>
      </c>
      <c r="AF249" t="str">
        <f>VLOOKUP($B249,'[1]Plant data'!$A$1:$AB$315,14,0)</f>
        <v>NA</v>
      </c>
      <c r="AG249" t="str">
        <f>VLOOKUP($B249,'[1]Plant data'!$A$1:$AB$315,15,0)</f>
        <v>NA</v>
      </c>
      <c r="AH249" t="str">
        <f>VLOOKUP($B249,'[1]Plant data'!$A$1:$AB$315,16,0)</f>
        <v>NA</v>
      </c>
      <c r="AI249" t="str">
        <f>VLOOKUP($B249,'[1]Plant data'!$A$1:$AB$315,17,0)</f>
        <v>NA</v>
      </c>
      <c r="AJ249" t="str">
        <f>VLOOKUP($B249,'[1]Plant data'!$A$1:$AB$315,18,0)</f>
        <v>ATLANTIC</v>
      </c>
      <c r="AK249" t="str">
        <f>VLOOKUP($B249,'[1]Plant data'!$A$1:$AB$315,19,0)</f>
        <v>NA</v>
      </c>
      <c r="AL249" t="str">
        <f>VLOOKUP($B249,'[1]Plant data'!$A$1:$AB$315,20,0)</f>
        <v>NA</v>
      </c>
      <c r="AM249" t="str">
        <f>VLOOKUP($B249,'[1]Plant data'!$A$1:$AB$315,21,0)</f>
        <v>NA</v>
      </c>
      <c r="AN249" t="str">
        <f>VLOOKUP($B249,'[1]Plant data'!$A$1:$AB$315,22,0)</f>
        <v>NA</v>
      </c>
      <c r="AO249" t="str">
        <f>VLOOKUP($B249,'[1]Plant data'!$A$1:$AB$315,23,0)</f>
        <v>NA</v>
      </c>
      <c r="AP249" t="str">
        <f>VLOOKUP($B249,'[1]Plant data'!$A$1:$AB$315,24,0)</f>
        <v>NA</v>
      </c>
      <c r="AQ249" t="str">
        <f>VLOOKUP($B249,'[1]Plant data'!$A$1:$AB$315,25,0)</f>
        <v>NA</v>
      </c>
      <c r="AR249" t="str">
        <f>VLOOKUP($B249,'[1]Plant data'!$A$1:$AB$315,26,0)</f>
        <v>NA</v>
      </c>
      <c r="AS249" t="str">
        <f>VLOOKUP($B249,'[1]Plant data'!$A$1:$AB$315,27,0)</f>
        <v>NA</v>
      </c>
      <c r="AT249" t="str">
        <f>VLOOKUP($B249,'[1]Plant data'!$A$1:$AB$315,28,0)</f>
        <v>NA</v>
      </c>
    </row>
    <row r="250" spans="1:46">
      <c r="A250" s="5" t="s">
        <v>43</v>
      </c>
      <c r="B250" s="37" t="s">
        <v>151</v>
      </c>
      <c r="C250">
        <v>12</v>
      </c>
      <c r="D250">
        <v>4.5</v>
      </c>
      <c r="E250" s="8">
        <f>C250/4.5</f>
        <v>2.6666666666666665</v>
      </c>
      <c r="F250" t="s">
        <v>19</v>
      </c>
      <c r="G250" s="19">
        <v>1</v>
      </c>
      <c r="H250" s="19"/>
      <c r="I250" s="8">
        <f t="shared" si="20"/>
        <v>2.6666666666666665</v>
      </c>
      <c r="J250" s="25" t="s">
        <v>180</v>
      </c>
      <c r="K250" s="25" t="s">
        <v>181</v>
      </c>
      <c r="L250" t="s">
        <v>22</v>
      </c>
      <c r="M250" t="s">
        <v>30</v>
      </c>
      <c r="N250" s="11">
        <v>32.5</v>
      </c>
      <c r="O250" s="11">
        <v>8.9205555560000001</v>
      </c>
      <c r="P250" t="s">
        <v>24</v>
      </c>
      <c r="Q250" t="s">
        <v>25</v>
      </c>
      <c r="R250" t="s">
        <v>26</v>
      </c>
      <c r="S250" t="s">
        <v>31</v>
      </c>
      <c r="T250" t="str">
        <f>VLOOKUP(B250,'[1]Plant data'!$A$1:$AB$315,2,0)</f>
        <v>Moraceae</v>
      </c>
      <c r="U250" t="str">
        <f>VLOOKUP($B250,'[1]Plant data'!$A$1:$AB$315,3,0)</f>
        <v>Ficus thonningii, F. recurva</v>
      </c>
      <c r="V250" t="str">
        <f>VLOOKUP($B250,'[1]Plant data'!$A$1:$AB$315,4,0)</f>
        <v>green</v>
      </c>
      <c r="W250" t="str">
        <f>VLOOKUP($B250,'[1]Plant data'!$A$1:$AB$315,5,0)</f>
        <v>YES</v>
      </c>
      <c r="X250">
        <f>VLOOKUP($B250,'[1]Plant data'!$A$1:$AB$315,6,0)</f>
        <v>8</v>
      </c>
      <c r="Y250">
        <f>VLOOKUP($B250,'[1]Plant data'!$A$1:$AB$315,7,0)</f>
        <v>10</v>
      </c>
      <c r="Z250">
        <f>VLOOKUP($B250,'[1]Plant data'!$A$1:$AB$315,8,0)</f>
        <v>1</v>
      </c>
      <c r="AA250" t="str">
        <f>VLOOKUP($B250,'[1]Plant data'!$A$1:$AB$315,9,0)</f>
        <v>NA</v>
      </c>
      <c r="AB250" t="str">
        <f>VLOOKUP($B250,'[1]Plant data'!$A$1:$AB$315,10,0)</f>
        <v>NA</v>
      </c>
      <c r="AC250" t="str">
        <f>VLOOKUP($B250,'[1]Plant data'!$A$1:$AB$315,11,0)</f>
        <v>NA</v>
      </c>
      <c r="AD250" t="str">
        <f>VLOOKUP($B250,'[1]Plant data'!$A$1:$AB$315,12,0)</f>
        <v>NA</v>
      </c>
      <c r="AE250" t="str">
        <f>VLOOKUP($B250,'[1]Plant data'!$A$1:$AB$315,13,0)</f>
        <v>NA</v>
      </c>
      <c r="AF250" t="str">
        <f>VLOOKUP($B250,'[1]Plant data'!$A$1:$AB$315,14,0)</f>
        <v>NA</v>
      </c>
      <c r="AG250" t="str">
        <f>VLOOKUP($B250,'[1]Plant data'!$A$1:$AB$315,15,0)</f>
        <v>NA</v>
      </c>
      <c r="AH250" t="str">
        <f>VLOOKUP($B250,'[1]Plant data'!$A$1:$AB$315,16,0)</f>
        <v>NA</v>
      </c>
      <c r="AI250" t="str">
        <f>VLOOKUP($B250,'[1]Plant data'!$A$1:$AB$315,17,0)</f>
        <v>NA</v>
      </c>
      <c r="AJ250" t="str">
        <f>VLOOKUP($B250,'[1]Plant data'!$A$1:$AB$315,18,0)</f>
        <v>ATLANTIC</v>
      </c>
      <c r="AK250" t="str">
        <f>VLOOKUP($B250,'[1]Plant data'!$A$1:$AB$315,19,0)</f>
        <v>NA</v>
      </c>
      <c r="AL250" t="str">
        <f>VLOOKUP($B250,'[1]Plant data'!$A$1:$AB$315,20,0)</f>
        <v>NA</v>
      </c>
      <c r="AM250" t="str">
        <f>VLOOKUP($B250,'[1]Plant data'!$A$1:$AB$315,21,0)</f>
        <v>NA</v>
      </c>
      <c r="AN250" t="str">
        <f>VLOOKUP($B250,'[1]Plant data'!$A$1:$AB$315,22,0)</f>
        <v>NA</v>
      </c>
      <c r="AO250" t="str">
        <f>VLOOKUP($B250,'[1]Plant data'!$A$1:$AB$315,23,0)</f>
        <v>NA</v>
      </c>
      <c r="AP250" t="str">
        <f>VLOOKUP($B250,'[1]Plant data'!$A$1:$AB$315,24,0)</f>
        <v>NA</v>
      </c>
      <c r="AQ250" t="str">
        <f>VLOOKUP($B250,'[1]Plant data'!$A$1:$AB$315,25,0)</f>
        <v>NA</v>
      </c>
      <c r="AR250" t="str">
        <f>VLOOKUP($B250,'[1]Plant data'!$A$1:$AB$315,26,0)</f>
        <v>NA</v>
      </c>
      <c r="AS250" t="str">
        <f>VLOOKUP($B250,'[1]Plant data'!$A$1:$AB$315,27,0)</f>
        <v>NA</v>
      </c>
      <c r="AT250" t="str">
        <f>VLOOKUP($B250,'[1]Plant data'!$A$1:$AB$315,28,0)</f>
        <v>NA</v>
      </c>
    </row>
    <row r="251" spans="1:46">
      <c r="A251" s="5" t="s">
        <v>50</v>
      </c>
      <c r="B251" s="37" t="s">
        <v>151</v>
      </c>
      <c r="C251">
        <v>11</v>
      </c>
      <c r="D251">
        <v>4.5</v>
      </c>
      <c r="E251" s="8">
        <f>C251/4.5</f>
        <v>2.4444444444444446</v>
      </c>
      <c r="F251" t="s">
        <v>19</v>
      </c>
      <c r="G251" s="19">
        <v>5</v>
      </c>
      <c r="H251" s="19"/>
      <c r="I251" s="8">
        <f t="shared" si="20"/>
        <v>12.222222222222223</v>
      </c>
      <c r="J251" s="25" t="s">
        <v>180</v>
      </c>
      <c r="K251" s="25" t="s">
        <v>181</v>
      </c>
      <c r="L251" t="s">
        <v>22</v>
      </c>
      <c r="M251" t="s">
        <v>47</v>
      </c>
      <c r="N251" s="11">
        <v>69.5</v>
      </c>
      <c r="O251" s="11">
        <v>13.253214290000001</v>
      </c>
      <c r="P251" t="s">
        <v>48</v>
      </c>
      <c r="Q251" t="s">
        <v>25</v>
      </c>
      <c r="R251" t="s">
        <v>26</v>
      </c>
      <c r="S251" t="s">
        <v>31</v>
      </c>
      <c r="T251" t="str">
        <f>VLOOKUP(B251,'[1]Plant data'!$A$1:$AB$315,2,0)</f>
        <v>Moraceae</v>
      </c>
      <c r="U251" t="str">
        <f>VLOOKUP($B251,'[1]Plant data'!$A$1:$AB$315,3,0)</f>
        <v>Ficus thonningii, F. recurva</v>
      </c>
      <c r="V251" t="str">
        <f>VLOOKUP($B251,'[1]Plant data'!$A$1:$AB$315,4,0)</f>
        <v>green</v>
      </c>
      <c r="W251" t="str">
        <f>VLOOKUP($B251,'[1]Plant data'!$A$1:$AB$315,5,0)</f>
        <v>YES</v>
      </c>
      <c r="X251">
        <f>VLOOKUP($B251,'[1]Plant data'!$A$1:$AB$315,6,0)</f>
        <v>8</v>
      </c>
      <c r="Y251">
        <f>VLOOKUP($B251,'[1]Plant data'!$A$1:$AB$315,7,0)</f>
        <v>10</v>
      </c>
      <c r="Z251">
        <f>VLOOKUP($B251,'[1]Plant data'!$A$1:$AB$315,8,0)</f>
        <v>1</v>
      </c>
      <c r="AA251" t="str">
        <f>VLOOKUP($B251,'[1]Plant data'!$A$1:$AB$315,9,0)</f>
        <v>NA</v>
      </c>
      <c r="AB251" t="str">
        <f>VLOOKUP($B251,'[1]Plant data'!$A$1:$AB$315,10,0)</f>
        <v>NA</v>
      </c>
      <c r="AC251" t="str">
        <f>VLOOKUP($B251,'[1]Plant data'!$A$1:$AB$315,11,0)</f>
        <v>NA</v>
      </c>
      <c r="AD251" t="str">
        <f>VLOOKUP($B251,'[1]Plant data'!$A$1:$AB$315,12,0)</f>
        <v>NA</v>
      </c>
      <c r="AE251" t="str">
        <f>VLOOKUP($B251,'[1]Plant data'!$A$1:$AB$315,13,0)</f>
        <v>NA</v>
      </c>
      <c r="AF251" t="str">
        <f>VLOOKUP($B251,'[1]Plant data'!$A$1:$AB$315,14,0)</f>
        <v>NA</v>
      </c>
      <c r="AG251" t="str">
        <f>VLOOKUP($B251,'[1]Plant data'!$A$1:$AB$315,15,0)</f>
        <v>NA</v>
      </c>
      <c r="AH251" t="str">
        <f>VLOOKUP($B251,'[1]Plant data'!$A$1:$AB$315,16,0)</f>
        <v>NA</v>
      </c>
      <c r="AI251" t="str">
        <f>VLOOKUP($B251,'[1]Plant data'!$A$1:$AB$315,17,0)</f>
        <v>NA</v>
      </c>
      <c r="AJ251" t="str">
        <f>VLOOKUP($B251,'[1]Plant data'!$A$1:$AB$315,18,0)</f>
        <v>ATLANTIC</v>
      </c>
      <c r="AK251" t="str">
        <f>VLOOKUP($B251,'[1]Plant data'!$A$1:$AB$315,19,0)</f>
        <v>NA</v>
      </c>
      <c r="AL251" t="str">
        <f>VLOOKUP($B251,'[1]Plant data'!$A$1:$AB$315,20,0)</f>
        <v>NA</v>
      </c>
      <c r="AM251" t="str">
        <f>VLOOKUP($B251,'[1]Plant data'!$A$1:$AB$315,21,0)</f>
        <v>NA</v>
      </c>
      <c r="AN251" t="str">
        <f>VLOOKUP($B251,'[1]Plant data'!$A$1:$AB$315,22,0)</f>
        <v>NA</v>
      </c>
      <c r="AO251" t="str">
        <f>VLOOKUP($B251,'[1]Plant data'!$A$1:$AB$315,23,0)</f>
        <v>NA</v>
      </c>
      <c r="AP251" t="str">
        <f>VLOOKUP($B251,'[1]Plant data'!$A$1:$AB$315,24,0)</f>
        <v>NA</v>
      </c>
      <c r="AQ251" t="str">
        <f>VLOOKUP($B251,'[1]Plant data'!$A$1:$AB$315,25,0)</f>
        <v>NA</v>
      </c>
      <c r="AR251" t="str">
        <f>VLOOKUP($B251,'[1]Plant data'!$A$1:$AB$315,26,0)</f>
        <v>NA</v>
      </c>
      <c r="AS251" t="str">
        <f>VLOOKUP($B251,'[1]Plant data'!$A$1:$AB$315,27,0)</f>
        <v>NA</v>
      </c>
      <c r="AT251" t="str">
        <f>VLOOKUP($B251,'[1]Plant data'!$A$1:$AB$315,28,0)</f>
        <v>NA</v>
      </c>
    </row>
    <row r="252" spans="1:46">
      <c r="A252" s="5" t="s">
        <v>28</v>
      </c>
      <c r="B252" s="39" t="s">
        <v>84</v>
      </c>
      <c r="C252" s="7">
        <v>21</v>
      </c>
      <c r="D252" s="7">
        <v>23</v>
      </c>
      <c r="E252" s="8">
        <f>C252/D252</f>
        <v>0.91304347826086951</v>
      </c>
      <c r="F252">
        <v>37</v>
      </c>
      <c r="G252" s="9">
        <v>1.5</v>
      </c>
      <c r="H252" s="9"/>
      <c r="I252" s="8">
        <f t="shared" si="20"/>
        <v>1.3695652173913042</v>
      </c>
      <c r="J252" t="s">
        <v>79</v>
      </c>
      <c r="K252" t="s">
        <v>80</v>
      </c>
      <c r="L252" t="s">
        <v>22</v>
      </c>
      <c r="M252" t="s">
        <v>30</v>
      </c>
      <c r="N252" s="11">
        <v>18</v>
      </c>
      <c r="O252" s="11">
        <v>7.4188405800000004</v>
      </c>
      <c r="P252" t="s">
        <v>24</v>
      </c>
      <c r="Q252" s="13" t="s">
        <v>25</v>
      </c>
      <c r="R252" s="13" t="s">
        <v>26</v>
      </c>
      <c r="S252" s="13" t="s">
        <v>31</v>
      </c>
      <c r="T252" t="str">
        <f>VLOOKUP(B252,'[1]Plant data'!$A$1:$AB$315,2,0)</f>
        <v>Rhamnaceae</v>
      </c>
      <c r="U252" t="str">
        <f>VLOOKUP($B252,'[1]Plant data'!$A$1:$AB$315,3,0)</f>
        <v>Rhampus purshiana</v>
      </c>
      <c r="V252" t="str">
        <f>VLOOKUP($B252,'[1]Plant data'!$A$1:$AB$315,4,0)</f>
        <v>black</v>
      </c>
      <c r="W252" t="str">
        <f>VLOOKUP($B252,'[1]Plant data'!$A$1:$AB$315,5,0)</f>
        <v>YES</v>
      </c>
      <c r="X252">
        <f>VLOOKUP($B252,'[1]Plant data'!$A$1:$AB$315,6,0)</f>
        <v>9</v>
      </c>
      <c r="Y252">
        <f>VLOOKUP($B252,'[1]Plant data'!$A$1:$AB$315,7,0)</f>
        <v>10.6</v>
      </c>
      <c r="Z252" t="str">
        <f>VLOOKUP($B252,'[1]Plant data'!$A$1:$AB$315,8,0)</f>
        <v>NA</v>
      </c>
      <c r="AA252" t="str">
        <f>VLOOKUP($B252,'[1]Plant data'!$A$1:$AB$315,9,0)</f>
        <v>NA</v>
      </c>
      <c r="AB252">
        <f>VLOOKUP($B252,'[1]Plant data'!$A$1:$AB$315,10,0)</f>
        <v>0.6</v>
      </c>
      <c r="AC252" t="str">
        <f>VLOOKUP($B252,'[1]Plant data'!$A$1:$AB$315,11,0)</f>
        <v>NA</v>
      </c>
      <c r="AD252">
        <f>VLOOKUP($B252,'[1]Plant data'!$A$1:$AB$315,12,0)</f>
        <v>0.1</v>
      </c>
      <c r="AE252">
        <f>VLOOKUP($B252,'[1]Plant data'!$A$1:$AB$315,13,0)</f>
        <v>0.13</v>
      </c>
      <c r="AF252" t="str">
        <f>VLOOKUP($B252,'[1]Plant data'!$A$1:$AB$315,14,0)</f>
        <v>NA</v>
      </c>
      <c r="AG252">
        <f>VLOOKUP($B252,'[1]Plant data'!$A$1:$AB$315,15,0)</f>
        <v>1</v>
      </c>
      <c r="AH252" t="str">
        <f>VLOOKUP($B252,'[1]Plant data'!$A$1:$AB$315,16,0)</f>
        <v>NA</v>
      </c>
      <c r="AI252" t="str">
        <f>VLOOKUP($B252,'[1]Plant data'!$A$1:$AB$315,17,0)</f>
        <v>NA</v>
      </c>
      <c r="AJ252" t="str">
        <f>VLOOKUP($B252,'[1]Plant data'!$A$1:$AB$315,18,0)</f>
        <v>Athie &amp; Dias 2012</v>
      </c>
      <c r="AK252" t="str">
        <f>VLOOKUP($B252,'[1]Plant data'!$A$1:$AB$315,19,0)</f>
        <v>NA</v>
      </c>
      <c r="AL252" t="str">
        <f>VLOOKUP($B252,'[1]Plant data'!$A$1:$AB$315,20,0)</f>
        <v>NA</v>
      </c>
      <c r="AM252" t="str">
        <f>VLOOKUP($B252,'[1]Plant data'!$A$1:$AB$315,21,0)</f>
        <v>NA</v>
      </c>
      <c r="AN252" t="str">
        <f>VLOOKUP($B252,'[1]Plant data'!$A$1:$AB$315,22,0)</f>
        <v>NA</v>
      </c>
      <c r="AO252" t="str">
        <f>VLOOKUP($B252,'[1]Plant data'!$A$1:$AB$315,23,0)</f>
        <v>NA</v>
      </c>
      <c r="AP252" t="str">
        <f>VLOOKUP($B252,'[1]Plant data'!$A$1:$AB$315,24,0)</f>
        <v>NA</v>
      </c>
      <c r="AQ252" t="str">
        <f>VLOOKUP($B252,'[1]Plant data'!$A$1:$AB$315,25,0)</f>
        <v>NA</v>
      </c>
      <c r="AR252" t="str">
        <f>VLOOKUP($B252,'[1]Plant data'!$A$1:$AB$315,26,0)</f>
        <v>NA</v>
      </c>
      <c r="AS252" t="str">
        <f>VLOOKUP($B252,'[1]Plant data'!$A$1:$AB$315,27,0)</f>
        <v>NA</v>
      </c>
      <c r="AT252" t="str">
        <f>VLOOKUP($B252,'[1]Plant data'!$A$1:$AB$315,28,0)</f>
        <v>NA</v>
      </c>
    </row>
    <row r="253" spans="1:46">
      <c r="A253" s="5" t="s">
        <v>43</v>
      </c>
      <c r="B253" s="37" t="s">
        <v>84</v>
      </c>
      <c r="C253">
        <v>42</v>
      </c>
      <c r="D253" s="7">
        <v>23</v>
      </c>
      <c r="E253" s="8">
        <f>C253/23</f>
        <v>1.826086956521739</v>
      </c>
      <c r="F253">
        <v>104</v>
      </c>
      <c r="G253" s="9">
        <v>3.5</v>
      </c>
      <c r="H253" s="9"/>
      <c r="I253" s="8">
        <f t="shared" si="20"/>
        <v>6.3913043478260869</v>
      </c>
      <c r="J253" t="s">
        <v>79</v>
      </c>
      <c r="K253" t="s">
        <v>80</v>
      </c>
      <c r="L253" t="s">
        <v>22</v>
      </c>
      <c r="M253" t="s">
        <v>30</v>
      </c>
      <c r="N253" s="11">
        <v>32.5</v>
      </c>
      <c r="O253" s="11">
        <v>8.9205555560000001</v>
      </c>
      <c r="P253" t="s">
        <v>24</v>
      </c>
      <c r="Q253" t="s">
        <v>25</v>
      </c>
      <c r="R253" t="s">
        <v>26</v>
      </c>
      <c r="S253" t="s">
        <v>31</v>
      </c>
      <c r="T253" t="str">
        <f>VLOOKUP(B253,'[1]Plant data'!$A$1:$AB$315,2,0)</f>
        <v>Rhamnaceae</v>
      </c>
      <c r="U253" t="str">
        <f>VLOOKUP($B253,'[1]Plant data'!$A$1:$AB$315,3,0)</f>
        <v>Rhampus purshiana</v>
      </c>
      <c r="V253" t="str">
        <f>VLOOKUP($B253,'[1]Plant data'!$A$1:$AB$315,4,0)</f>
        <v>black</v>
      </c>
      <c r="W253" t="str">
        <f>VLOOKUP($B253,'[1]Plant data'!$A$1:$AB$315,5,0)</f>
        <v>YES</v>
      </c>
      <c r="X253">
        <f>VLOOKUP($B253,'[1]Plant data'!$A$1:$AB$315,6,0)</f>
        <v>9</v>
      </c>
      <c r="Y253">
        <f>VLOOKUP($B253,'[1]Plant data'!$A$1:$AB$315,7,0)</f>
        <v>10.6</v>
      </c>
      <c r="Z253" t="str">
        <f>VLOOKUP($B253,'[1]Plant data'!$A$1:$AB$315,8,0)</f>
        <v>NA</v>
      </c>
      <c r="AA253" t="str">
        <f>VLOOKUP($B253,'[1]Plant data'!$A$1:$AB$315,9,0)</f>
        <v>NA</v>
      </c>
      <c r="AB253">
        <f>VLOOKUP($B253,'[1]Plant data'!$A$1:$AB$315,10,0)</f>
        <v>0.6</v>
      </c>
      <c r="AC253" t="str">
        <f>VLOOKUP($B253,'[1]Plant data'!$A$1:$AB$315,11,0)</f>
        <v>NA</v>
      </c>
      <c r="AD253">
        <f>VLOOKUP($B253,'[1]Plant data'!$A$1:$AB$315,12,0)</f>
        <v>0.1</v>
      </c>
      <c r="AE253">
        <f>VLOOKUP($B253,'[1]Plant data'!$A$1:$AB$315,13,0)</f>
        <v>0.13</v>
      </c>
      <c r="AF253" t="str">
        <f>VLOOKUP($B253,'[1]Plant data'!$A$1:$AB$315,14,0)</f>
        <v>NA</v>
      </c>
      <c r="AG253">
        <f>VLOOKUP($B253,'[1]Plant data'!$A$1:$AB$315,15,0)</f>
        <v>1</v>
      </c>
      <c r="AH253" t="str">
        <f>VLOOKUP($B253,'[1]Plant data'!$A$1:$AB$315,16,0)</f>
        <v>NA</v>
      </c>
      <c r="AI253" t="str">
        <f>VLOOKUP($B253,'[1]Plant data'!$A$1:$AB$315,17,0)</f>
        <v>NA</v>
      </c>
      <c r="AJ253" t="str">
        <f>VLOOKUP($B253,'[1]Plant data'!$A$1:$AB$315,18,0)</f>
        <v>Athie &amp; Dias 2012</v>
      </c>
      <c r="AK253" t="str">
        <f>VLOOKUP($B253,'[1]Plant data'!$A$1:$AB$315,19,0)</f>
        <v>NA</v>
      </c>
      <c r="AL253" t="str">
        <f>VLOOKUP($B253,'[1]Plant data'!$A$1:$AB$315,20,0)</f>
        <v>NA</v>
      </c>
      <c r="AM253" t="str">
        <f>VLOOKUP($B253,'[1]Plant data'!$A$1:$AB$315,21,0)</f>
        <v>NA</v>
      </c>
      <c r="AN253" t="str">
        <f>VLOOKUP($B253,'[1]Plant data'!$A$1:$AB$315,22,0)</f>
        <v>NA</v>
      </c>
      <c r="AO253" t="str">
        <f>VLOOKUP($B253,'[1]Plant data'!$A$1:$AB$315,23,0)</f>
        <v>NA</v>
      </c>
      <c r="AP253" t="str">
        <f>VLOOKUP($B253,'[1]Plant data'!$A$1:$AB$315,24,0)</f>
        <v>NA</v>
      </c>
      <c r="AQ253" t="str">
        <f>VLOOKUP($B253,'[1]Plant data'!$A$1:$AB$315,25,0)</f>
        <v>NA</v>
      </c>
      <c r="AR253" t="str">
        <f>VLOOKUP($B253,'[1]Plant data'!$A$1:$AB$315,26,0)</f>
        <v>NA</v>
      </c>
      <c r="AS253" t="str">
        <f>VLOOKUP($B253,'[1]Plant data'!$A$1:$AB$315,27,0)</f>
        <v>NA</v>
      </c>
      <c r="AT253" t="str">
        <f>VLOOKUP($B253,'[1]Plant data'!$A$1:$AB$315,28,0)</f>
        <v>NA</v>
      </c>
    </row>
    <row r="254" spans="1:46">
      <c r="A254" s="5" t="s">
        <v>32</v>
      </c>
      <c r="B254" s="40" t="s">
        <v>35</v>
      </c>
      <c r="C254" s="7">
        <v>11</v>
      </c>
      <c r="D254" s="7">
        <v>25.2</v>
      </c>
      <c r="E254" s="8">
        <f>C254/D254</f>
        <v>0.43650793650793651</v>
      </c>
      <c r="F254" t="s">
        <v>19</v>
      </c>
      <c r="G254" s="9" t="s">
        <v>19</v>
      </c>
      <c r="H254" s="9"/>
      <c r="I254" s="8" t="s">
        <v>19</v>
      </c>
      <c r="J254" s="10" t="s">
        <v>20</v>
      </c>
      <c r="K254" t="s">
        <v>21</v>
      </c>
      <c r="L254" t="s">
        <v>22</v>
      </c>
      <c r="M254" t="s">
        <v>30</v>
      </c>
      <c r="N254" s="11">
        <v>18</v>
      </c>
      <c r="O254" s="11">
        <v>5.1684999999999999</v>
      </c>
      <c r="P254" t="s">
        <v>24</v>
      </c>
      <c r="Q254" s="13" t="s">
        <v>25</v>
      </c>
      <c r="R254" s="13" t="s">
        <v>26</v>
      </c>
      <c r="S254" s="13" t="s">
        <v>31</v>
      </c>
      <c r="T254" t="str">
        <f>VLOOKUP(B254,'[1]Plant data'!$A$1:$AB$315,2,0)</f>
        <v>Nyctaginaceae</v>
      </c>
      <c r="U254" t="str">
        <f>VLOOKUP($B254,'[1]Plant data'!$A$1:$AB$315,3,0)</f>
        <v>NA</v>
      </c>
      <c r="V254" t="str">
        <f>VLOOKUP($B254,'[1]Plant data'!$A$1:$AB$315,4,0)</f>
        <v>multicolor</v>
      </c>
      <c r="W254" t="str">
        <f>VLOOKUP($B254,'[1]Plant data'!$A$1:$AB$315,5,0)</f>
        <v>YES</v>
      </c>
      <c r="X254">
        <f>VLOOKUP($B254,'[1]Plant data'!$A$1:$AB$315,6,0)</f>
        <v>6.7537500000000001</v>
      </c>
      <c r="Y254">
        <f>VLOOKUP($B254,'[1]Plant data'!$A$1:$AB$315,7,0)</f>
        <v>8.35</v>
      </c>
      <c r="Z254">
        <f>VLOOKUP($B254,'[1]Plant data'!$A$1:$AB$315,8,0)</f>
        <v>4.1033333333333335</v>
      </c>
      <c r="AA254">
        <f>VLOOKUP($B254,'[1]Plant data'!$A$1:$AB$315,9,0)</f>
        <v>6.7766666666666664</v>
      </c>
      <c r="AB254">
        <f>VLOOKUP($B254,'[1]Plant data'!$A$1:$AB$315,10,0)</f>
        <v>0.19342499999999999</v>
      </c>
      <c r="AC254">
        <f>VLOOKUP($B254,'[1]Plant data'!$A$1:$AB$315,11,0)</f>
        <v>0.16</v>
      </c>
      <c r="AD254">
        <f>VLOOKUP($B254,'[1]Plant data'!$A$1:$AB$315,12,0)</f>
        <v>4.4450000000000003E-2</v>
      </c>
      <c r="AE254">
        <f>VLOOKUP($B254,'[1]Plant data'!$A$1:$AB$315,13,0)</f>
        <v>6.094999999999999E-2</v>
      </c>
      <c r="AF254">
        <f>VLOOKUP($B254,'[1]Plant data'!$A$1:$AB$315,14,0)</f>
        <v>3.1800000000000009E-2</v>
      </c>
      <c r="AG254">
        <f>VLOOKUP($B254,'[1]Plant data'!$A$1:$AB$315,15,0)</f>
        <v>1</v>
      </c>
      <c r="AH254">
        <f>VLOOKUP($B254,'[1]Plant data'!$A$1:$AB$315,16,0)</f>
        <v>1.75</v>
      </c>
      <c r="AI254">
        <f>VLOOKUP($B254,'[1]Plant data'!$A$1:$AB$315,17,0)</f>
        <v>1.7449685534591188</v>
      </c>
      <c r="AJ254" t="str">
        <f>VLOOKUP($B254,'[1]Plant data'!$A$1:$AB$315,18,0)</f>
        <v>ATLANTIC, Cazetta 2007, Erica&amp;Wesley, Intervales_morfo, Passos &amp; Oliveira 2003, Alves 2008, Angel-de-Oliveira 1999, Camargo 2014</v>
      </c>
      <c r="AK254">
        <f>VLOOKUP($B254,'[1]Plant data'!$A$1:$AB$315,19,0)</f>
        <v>0.76200000000000001</v>
      </c>
      <c r="AL254">
        <f>VLOOKUP($B254,'[1]Plant data'!$A$1:$AB$315,20,0)</f>
        <v>2.4614824629022293E-2</v>
      </c>
      <c r="AM254">
        <f>VLOOKUP($B254,'[1]Plant data'!$A$1:$AB$315,21,0)</f>
        <v>0.18857499999999999</v>
      </c>
      <c r="AN254">
        <f>VLOOKUP($B254,'[1]Plant data'!$A$1:$AB$315,22,0)</f>
        <v>3.0427057790241518E-2</v>
      </c>
      <c r="AO254">
        <f>VLOOKUP($B254,'[1]Plant data'!$A$1:$AB$315,23,0)</f>
        <v>9.273965188665384E-2</v>
      </c>
      <c r="AP254" t="str">
        <f>VLOOKUP($B254,'[1]Plant data'!$A$1:$AB$315,24,0)</f>
        <v>NA</v>
      </c>
      <c r="AQ254">
        <f>VLOOKUP($B254,'[1]Plant data'!$A$1:$AB$315,25,0)</f>
        <v>0.6915</v>
      </c>
      <c r="AR254">
        <f>VLOOKUP($B254,'[1]Plant data'!$A$1:$AB$315,26,0)</f>
        <v>5.3499999999999999E-2</v>
      </c>
      <c r="AS254" t="str">
        <f>VLOOKUP($B254,'[1]Plant data'!$A$1:$AB$315,27,0)</f>
        <v>NA</v>
      </c>
      <c r="AT254" t="str">
        <f>VLOOKUP($B254,'[1]Plant data'!$A$1:$AB$315,28,0)</f>
        <v>Cazetta 2007, Erica &amp; Wesley, unpubl., Saibadela, Passos 2001</v>
      </c>
    </row>
    <row r="255" spans="1:46">
      <c r="A255" s="5" t="s">
        <v>46</v>
      </c>
      <c r="B255" s="40" t="s">
        <v>35</v>
      </c>
      <c r="C255" s="7">
        <v>16</v>
      </c>
      <c r="D255" s="7">
        <v>25.2</v>
      </c>
      <c r="E255" s="8">
        <f>C255/D255</f>
        <v>0.63492063492063489</v>
      </c>
      <c r="F255" t="s">
        <v>19</v>
      </c>
      <c r="G255" s="9" t="s">
        <v>19</v>
      </c>
      <c r="H255" s="9"/>
      <c r="I255" s="8" t="s">
        <v>19</v>
      </c>
      <c r="J255" s="10" t="s">
        <v>20</v>
      </c>
      <c r="K255" t="s">
        <v>21</v>
      </c>
      <c r="L255" t="s">
        <v>22</v>
      </c>
      <c r="M255" t="s">
        <v>47</v>
      </c>
      <c r="N255" s="11">
        <v>54</v>
      </c>
      <c r="O255" s="11">
        <v>11.14875</v>
      </c>
      <c r="P255" t="s">
        <v>48</v>
      </c>
      <c r="Q255" t="s">
        <v>49</v>
      </c>
      <c r="R255" t="s">
        <v>26</v>
      </c>
      <c r="S255" t="s">
        <v>31</v>
      </c>
      <c r="T255" t="str">
        <f>VLOOKUP(B255,'[1]Plant data'!$A$1:$AB$315,2,0)</f>
        <v>Nyctaginaceae</v>
      </c>
      <c r="U255" t="str">
        <f>VLOOKUP($B255,'[1]Plant data'!$A$1:$AB$315,3,0)</f>
        <v>NA</v>
      </c>
      <c r="V255" t="str">
        <f>VLOOKUP($B255,'[1]Plant data'!$A$1:$AB$315,4,0)</f>
        <v>multicolor</v>
      </c>
      <c r="W255" t="str">
        <f>VLOOKUP($B255,'[1]Plant data'!$A$1:$AB$315,5,0)</f>
        <v>YES</v>
      </c>
      <c r="X255">
        <f>VLOOKUP($B255,'[1]Plant data'!$A$1:$AB$315,6,0)</f>
        <v>6.7537500000000001</v>
      </c>
      <c r="Y255">
        <f>VLOOKUP($B255,'[1]Plant data'!$A$1:$AB$315,7,0)</f>
        <v>8.35</v>
      </c>
      <c r="Z255">
        <f>VLOOKUP($B255,'[1]Plant data'!$A$1:$AB$315,8,0)</f>
        <v>4.1033333333333335</v>
      </c>
      <c r="AA255">
        <f>VLOOKUP($B255,'[1]Plant data'!$A$1:$AB$315,9,0)</f>
        <v>6.7766666666666664</v>
      </c>
      <c r="AB255">
        <f>VLOOKUP($B255,'[1]Plant data'!$A$1:$AB$315,10,0)</f>
        <v>0.19342499999999999</v>
      </c>
      <c r="AC255">
        <f>VLOOKUP($B255,'[1]Plant data'!$A$1:$AB$315,11,0)</f>
        <v>0.16</v>
      </c>
      <c r="AD255">
        <f>VLOOKUP($B255,'[1]Plant data'!$A$1:$AB$315,12,0)</f>
        <v>4.4450000000000003E-2</v>
      </c>
      <c r="AE255">
        <f>VLOOKUP($B255,'[1]Plant data'!$A$1:$AB$315,13,0)</f>
        <v>6.094999999999999E-2</v>
      </c>
      <c r="AF255">
        <f>VLOOKUP($B255,'[1]Plant data'!$A$1:$AB$315,14,0)</f>
        <v>3.1800000000000009E-2</v>
      </c>
      <c r="AG255">
        <f>VLOOKUP($B255,'[1]Plant data'!$A$1:$AB$315,15,0)</f>
        <v>1</v>
      </c>
      <c r="AH255">
        <f>VLOOKUP($B255,'[1]Plant data'!$A$1:$AB$315,16,0)</f>
        <v>1.75</v>
      </c>
      <c r="AI255">
        <f>VLOOKUP($B255,'[1]Plant data'!$A$1:$AB$315,17,0)</f>
        <v>1.7449685534591188</v>
      </c>
      <c r="AJ255" t="str">
        <f>VLOOKUP($B255,'[1]Plant data'!$A$1:$AB$315,18,0)</f>
        <v>ATLANTIC, Cazetta 2007, Erica&amp;Wesley, Intervales_morfo, Passos &amp; Oliveira 2003, Alves 2008, Angel-de-Oliveira 1999, Camargo 2014</v>
      </c>
      <c r="AK255">
        <f>VLOOKUP($B255,'[1]Plant data'!$A$1:$AB$315,19,0)</f>
        <v>0.76200000000000001</v>
      </c>
      <c r="AL255">
        <f>VLOOKUP($B255,'[1]Plant data'!$A$1:$AB$315,20,0)</f>
        <v>2.4614824629022293E-2</v>
      </c>
      <c r="AM255">
        <f>VLOOKUP($B255,'[1]Plant data'!$A$1:$AB$315,21,0)</f>
        <v>0.18857499999999999</v>
      </c>
      <c r="AN255">
        <f>VLOOKUP($B255,'[1]Plant data'!$A$1:$AB$315,22,0)</f>
        <v>3.0427057790241518E-2</v>
      </c>
      <c r="AO255">
        <f>VLOOKUP($B255,'[1]Plant data'!$A$1:$AB$315,23,0)</f>
        <v>9.273965188665384E-2</v>
      </c>
      <c r="AP255" t="str">
        <f>VLOOKUP($B255,'[1]Plant data'!$A$1:$AB$315,24,0)</f>
        <v>NA</v>
      </c>
      <c r="AQ255">
        <f>VLOOKUP($B255,'[1]Plant data'!$A$1:$AB$315,25,0)</f>
        <v>0.6915</v>
      </c>
      <c r="AR255">
        <f>VLOOKUP($B255,'[1]Plant data'!$A$1:$AB$315,26,0)</f>
        <v>5.3499999999999999E-2</v>
      </c>
      <c r="AS255" t="str">
        <f>VLOOKUP($B255,'[1]Plant data'!$A$1:$AB$315,27,0)</f>
        <v>NA</v>
      </c>
      <c r="AT255" t="str">
        <f>VLOOKUP($B255,'[1]Plant data'!$A$1:$AB$315,28,0)</f>
        <v>Cazetta 2007, Erica &amp; Wesley, unpubl., Saibadela, Passos 2001</v>
      </c>
    </row>
    <row r="256" spans="1:46">
      <c r="A256" s="5" t="s">
        <v>50</v>
      </c>
      <c r="B256" s="40" t="s">
        <v>35</v>
      </c>
      <c r="C256" s="7">
        <v>2</v>
      </c>
      <c r="D256" s="7">
        <v>25.2</v>
      </c>
      <c r="E256" s="8">
        <f>C256/D256</f>
        <v>7.9365079365079361E-2</v>
      </c>
      <c r="F256" t="s">
        <v>19</v>
      </c>
      <c r="G256" s="9" t="s">
        <v>19</v>
      </c>
      <c r="H256" s="9"/>
      <c r="I256" s="8" t="s">
        <v>19</v>
      </c>
      <c r="J256" s="10" t="s">
        <v>20</v>
      </c>
      <c r="K256" t="s">
        <v>21</v>
      </c>
      <c r="L256" t="s">
        <v>22</v>
      </c>
      <c r="M256" t="s">
        <v>47</v>
      </c>
      <c r="N256" s="11">
        <v>69.5</v>
      </c>
      <c r="O256" s="11">
        <v>13.253214290000001</v>
      </c>
      <c r="P256" t="s">
        <v>48</v>
      </c>
      <c r="Q256" t="s">
        <v>25</v>
      </c>
      <c r="R256" t="s">
        <v>26</v>
      </c>
      <c r="S256" t="s">
        <v>31</v>
      </c>
      <c r="T256" t="str">
        <f>VLOOKUP(B256,'[1]Plant data'!$A$1:$AB$315,2,0)</f>
        <v>Nyctaginaceae</v>
      </c>
      <c r="U256" t="str">
        <f>VLOOKUP($B256,'[1]Plant data'!$A$1:$AB$315,3,0)</f>
        <v>NA</v>
      </c>
      <c r="V256" t="str">
        <f>VLOOKUP($B256,'[1]Plant data'!$A$1:$AB$315,4,0)</f>
        <v>multicolor</v>
      </c>
      <c r="W256" t="str">
        <f>VLOOKUP($B256,'[1]Plant data'!$A$1:$AB$315,5,0)</f>
        <v>YES</v>
      </c>
      <c r="X256">
        <f>VLOOKUP($B256,'[1]Plant data'!$A$1:$AB$315,6,0)</f>
        <v>6.7537500000000001</v>
      </c>
      <c r="Y256">
        <f>VLOOKUP($B256,'[1]Plant data'!$A$1:$AB$315,7,0)</f>
        <v>8.35</v>
      </c>
      <c r="Z256">
        <f>VLOOKUP($B256,'[1]Plant data'!$A$1:$AB$315,8,0)</f>
        <v>4.1033333333333335</v>
      </c>
      <c r="AA256">
        <f>VLOOKUP($B256,'[1]Plant data'!$A$1:$AB$315,9,0)</f>
        <v>6.7766666666666664</v>
      </c>
      <c r="AB256">
        <f>VLOOKUP($B256,'[1]Plant data'!$A$1:$AB$315,10,0)</f>
        <v>0.19342499999999999</v>
      </c>
      <c r="AC256">
        <f>VLOOKUP($B256,'[1]Plant data'!$A$1:$AB$315,11,0)</f>
        <v>0.16</v>
      </c>
      <c r="AD256">
        <f>VLOOKUP($B256,'[1]Plant data'!$A$1:$AB$315,12,0)</f>
        <v>4.4450000000000003E-2</v>
      </c>
      <c r="AE256">
        <f>VLOOKUP($B256,'[1]Plant data'!$A$1:$AB$315,13,0)</f>
        <v>6.094999999999999E-2</v>
      </c>
      <c r="AF256">
        <f>VLOOKUP($B256,'[1]Plant data'!$A$1:$AB$315,14,0)</f>
        <v>3.1800000000000009E-2</v>
      </c>
      <c r="AG256">
        <f>VLOOKUP($B256,'[1]Plant data'!$A$1:$AB$315,15,0)</f>
        <v>1</v>
      </c>
      <c r="AH256">
        <f>VLOOKUP($B256,'[1]Plant data'!$A$1:$AB$315,16,0)</f>
        <v>1.75</v>
      </c>
      <c r="AI256">
        <f>VLOOKUP($B256,'[1]Plant data'!$A$1:$AB$315,17,0)</f>
        <v>1.7449685534591188</v>
      </c>
      <c r="AJ256" t="str">
        <f>VLOOKUP($B256,'[1]Plant data'!$A$1:$AB$315,18,0)</f>
        <v>ATLANTIC, Cazetta 2007, Erica&amp;Wesley, Intervales_morfo, Passos &amp; Oliveira 2003, Alves 2008, Angel-de-Oliveira 1999, Camargo 2014</v>
      </c>
      <c r="AK256">
        <f>VLOOKUP($B256,'[1]Plant data'!$A$1:$AB$315,19,0)</f>
        <v>0.76200000000000001</v>
      </c>
      <c r="AL256">
        <f>VLOOKUP($B256,'[1]Plant data'!$A$1:$AB$315,20,0)</f>
        <v>2.4614824629022293E-2</v>
      </c>
      <c r="AM256">
        <f>VLOOKUP($B256,'[1]Plant data'!$A$1:$AB$315,21,0)</f>
        <v>0.18857499999999999</v>
      </c>
      <c r="AN256">
        <f>VLOOKUP($B256,'[1]Plant data'!$A$1:$AB$315,22,0)</f>
        <v>3.0427057790241518E-2</v>
      </c>
      <c r="AO256">
        <f>VLOOKUP($B256,'[1]Plant data'!$A$1:$AB$315,23,0)</f>
        <v>9.273965188665384E-2</v>
      </c>
      <c r="AP256" t="str">
        <f>VLOOKUP($B256,'[1]Plant data'!$A$1:$AB$315,24,0)</f>
        <v>NA</v>
      </c>
      <c r="AQ256">
        <f>VLOOKUP($B256,'[1]Plant data'!$A$1:$AB$315,25,0)</f>
        <v>0.6915</v>
      </c>
      <c r="AR256">
        <f>VLOOKUP($B256,'[1]Plant data'!$A$1:$AB$315,26,0)</f>
        <v>5.3499999999999999E-2</v>
      </c>
      <c r="AS256" t="str">
        <f>VLOOKUP($B256,'[1]Plant data'!$A$1:$AB$315,27,0)</f>
        <v>NA</v>
      </c>
      <c r="AT256" t="str">
        <f>VLOOKUP($B256,'[1]Plant data'!$A$1:$AB$315,28,0)</f>
        <v>Cazetta 2007, Erica &amp; Wesley, unpubl., Saibadela, Passos 2001</v>
      </c>
    </row>
    <row r="257" spans="1:46">
      <c r="A257" s="5" t="s">
        <v>43</v>
      </c>
      <c r="B257" s="37" t="s">
        <v>35</v>
      </c>
      <c r="C257">
        <v>1</v>
      </c>
      <c r="D257" s="7">
        <v>254</v>
      </c>
      <c r="E257" s="8">
        <f>C257/D257</f>
        <v>3.937007874015748E-3</v>
      </c>
      <c r="F257" t="s">
        <v>19</v>
      </c>
      <c r="G257" s="9" t="s">
        <v>19</v>
      </c>
      <c r="H257" s="9"/>
      <c r="I257" s="8" t="s">
        <v>19</v>
      </c>
      <c r="J257" s="24" t="s">
        <v>52</v>
      </c>
      <c r="K257" s="25" t="s">
        <v>53</v>
      </c>
      <c r="L257" t="s">
        <v>22</v>
      </c>
      <c r="M257" t="s">
        <v>30</v>
      </c>
      <c r="N257" s="11">
        <v>32.5</v>
      </c>
      <c r="O257" s="11">
        <v>8.9205555560000001</v>
      </c>
      <c r="P257" t="s">
        <v>24</v>
      </c>
      <c r="Q257" t="s">
        <v>25</v>
      </c>
      <c r="R257" t="s">
        <v>26</v>
      </c>
      <c r="S257" t="s">
        <v>31</v>
      </c>
      <c r="T257" t="str">
        <f>VLOOKUP(B257,'[1]Plant data'!$A$1:$AB$315,2,0)</f>
        <v>Nyctaginaceae</v>
      </c>
      <c r="U257" t="str">
        <f>VLOOKUP($B257,'[1]Plant data'!$A$1:$AB$315,3,0)</f>
        <v>NA</v>
      </c>
      <c r="V257" t="str">
        <f>VLOOKUP($B257,'[1]Plant data'!$A$1:$AB$315,4,0)</f>
        <v>multicolor</v>
      </c>
      <c r="W257" t="str">
        <f>VLOOKUP($B257,'[1]Plant data'!$A$1:$AB$315,5,0)</f>
        <v>YES</v>
      </c>
      <c r="X257">
        <f>VLOOKUP($B257,'[1]Plant data'!$A$1:$AB$315,6,0)</f>
        <v>6.7537500000000001</v>
      </c>
      <c r="Y257">
        <f>VLOOKUP($B257,'[1]Plant data'!$A$1:$AB$315,7,0)</f>
        <v>8.35</v>
      </c>
      <c r="Z257">
        <f>VLOOKUP($B257,'[1]Plant data'!$A$1:$AB$315,8,0)</f>
        <v>4.1033333333333335</v>
      </c>
      <c r="AA257">
        <f>VLOOKUP($B257,'[1]Plant data'!$A$1:$AB$315,9,0)</f>
        <v>6.7766666666666664</v>
      </c>
      <c r="AB257">
        <f>VLOOKUP($B257,'[1]Plant data'!$A$1:$AB$315,10,0)</f>
        <v>0.19342499999999999</v>
      </c>
      <c r="AC257">
        <f>VLOOKUP($B257,'[1]Plant data'!$A$1:$AB$315,11,0)</f>
        <v>0.16</v>
      </c>
      <c r="AD257">
        <f>VLOOKUP($B257,'[1]Plant data'!$A$1:$AB$315,12,0)</f>
        <v>4.4450000000000003E-2</v>
      </c>
      <c r="AE257">
        <f>VLOOKUP($B257,'[1]Plant data'!$A$1:$AB$315,13,0)</f>
        <v>6.094999999999999E-2</v>
      </c>
      <c r="AF257">
        <f>VLOOKUP($B257,'[1]Plant data'!$A$1:$AB$315,14,0)</f>
        <v>3.1800000000000009E-2</v>
      </c>
      <c r="AG257">
        <f>VLOOKUP($B257,'[1]Plant data'!$A$1:$AB$315,15,0)</f>
        <v>1</v>
      </c>
      <c r="AH257">
        <f>VLOOKUP($B257,'[1]Plant data'!$A$1:$AB$315,16,0)</f>
        <v>1.75</v>
      </c>
      <c r="AI257">
        <f>VLOOKUP($B257,'[1]Plant data'!$A$1:$AB$315,17,0)</f>
        <v>1.7449685534591188</v>
      </c>
      <c r="AJ257" t="str">
        <f>VLOOKUP($B257,'[1]Plant data'!$A$1:$AB$315,18,0)</f>
        <v>ATLANTIC, Cazetta 2007, Erica&amp;Wesley, Intervales_morfo, Passos &amp; Oliveira 2003, Alves 2008, Angel-de-Oliveira 1999, Camargo 2014</v>
      </c>
      <c r="AK257">
        <f>VLOOKUP($B257,'[1]Plant data'!$A$1:$AB$315,19,0)</f>
        <v>0.76200000000000001</v>
      </c>
      <c r="AL257">
        <f>VLOOKUP($B257,'[1]Plant data'!$A$1:$AB$315,20,0)</f>
        <v>2.4614824629022293E-2</v>
      </c>
      <c r="AM257">
        <f>VLOOKUP($B257,'[1]Plant data'!$A$1:$AB$315,21,0)</f>
        <v>0.18857499999999999</v>
      </c>
      <c r="AN257">
        <f>VLOOKUP($B257,'[1]Plant data'!$A$1:$AB$315,22,0)</f>
        <v>3.0427057790241518E-2</v>
      </c>
      <c r="AO257">
        <f>VLOOKUP($B257,'[1]Plant data'!$A$1:$AB$315,23,0)</f>
        <v>9.273965188665384E-2</v>
      </c>
      <c r="AP257" t="str">
        <f>VLOOKUP($B257,'[1]Plant data'!$A$1:$AB$315,24,0)</f>
        <v>NA</v>
      </c>
      <c r="AQ257">
        <f>VLOOKUP($B257,'[1]Plant data'!$A$1:$AB$315,25,0)</f>
        <v>0.6915</v>
      </c>
      <c r="AR257">
        <f>VLOOKUP($B257,'[1]Plant data'!$A$1:$AB$315,26,0)</f>
        <v>5.3499999999999999E-2</v>
      </c>
      <c r="AS257" t="str">
        <f>VLOOKUP($B257,'[1]Plant data'!$A$1:$AB$315,27,0)</f>
        <v>NA</v>
      </c>
      <c r="AT257" t="str">
        <f>VLOOKUP($B257,'[1]Plant data'!$A$1:$AB$315,28,0)</f>
        <v>Cazetta 2007, Erica &amp; Wesley, unpubl., Saibadela, Passos 2001</v>
      </c>
    </row>
    <row r="258" spans="1:46">
      <c r="A258" s="5" t="s">
        <v>70</v>
      </c>
      <c r="B258" s="40" t="s">
        <v>35</v>
      </c>
      <c r="C258">
        <v>2</v>
      </c>
      <c r="D258">
        <v>15.9</v>
      </c>
      <c r="E258" s="8">
        <f>C258/15.9</f>
        <v>0.12578616352201258</v>
      </c>
      <c r="F258" t="s">
        <v>19</v>
      </c>
      <c r="G258" s="9" t="s">
        <v>19</v>
      </c>
      <c r="H258" s="9"/>
      <c r="I258" s="8" t="s">
        <v>19</v>
      </c>
      <c r="J258" s="24" t="s">
        <v>67</v>
      </c>
      <c r="K258" s="25" t="s">
        <v>68</v>
      </c>
      <c r="L258" t="s">
        <v>22</v>
      </c>
      <c r="M258" t="s">
        <v>23</v>
      </c>
      <c r="N258" s="11">
        <v>15</v>
      </c>
      <c r="O258" s="11">
        <v>6.9235714289999999</v>
      </c>
      <c r="P258" t="s">
        <v>24</v>
      </c>
      <c r="Q258" t="s">
        <v>25</v>
      </c>
      <c r="R258" t="s">
        <v>26</v>
      </c>
      <c r="S258" t="s">
        <v>27</v>
      </c>
      <c r="T258" t="str">
        <f>VLOOKUP(B258,'[1]Plant data'!$A$1:$AB$315,2,0)</f>
        <v>Nyctaginaceae</v>
      </c>
      <c r="U258" t="str">
        <f>VLOOKUP($B258,'[1]Plant data'!$A$1:$AB$315,3,0)</f>
        <v>NA</v>
      </c>
      <c r="V258" t="str">
        <f>VLOOKUP($B258,'[1]Plant data'!$A$1:$AB$315,4,0)</f>
        <v>multicolor</v>
      </c>
      <c r="W258" t="str">
        <f>VLOOKUP($B258,'[1]Plant data'!$A$1:$AB$315,5,0)</f>
        <v>YES</v>
      </c>
      <c r="X258">
        <f>VLOOKUP($B258,'[1]Plant data'!$A$1:$AB$315,6,0)</f>
        <v>6.7537500000000001</v>
      </c>
      <c r="Y258">
        <f>VLOOKUP($B258,'[1]Plant data'!$A$1:$AB$315,7,0)</f>
        <v>8.35</v>
      </c>
      <c r="Z258">
        <f>VLOOKUP($B258,'[1]Plant data'!$A$1:$AB$315,8,0)</f>
        <v>4.1033333333333335</v>
      </c>
      <c r="AA258">
        <f>VLOOKUP($B258,'[1]Plant data'!$A$1:$AB$315,9,0)</f>
        <v>6.7766666666666664</v>
      </c>
      <c r="AB258">
        <f>VLOOKUP($B258,'[1]Plant data'!$A$1:$AB$315,10,0)</f>
        <v>0.19342499999999999</v>
      </c>
      <c r="AC258">
        <f>VLOOKUP($B258,'[1]Plant data'!$A$1:$AB$315,11,0)</f>
        <v>0.16</v>
      </c>
      <c r="AD258">
        <f>VLOOKUP($B258,'[1]Plant data'!$A$1:$AB$315,12,0)</f>
        <v>4.4450000000000003E-2</v>
      </c>
      <c r="AE258">
        <f>VLOOKUP($B258,'[1]Plant data'!$A$1:$AB$315,13,0)</f>
        <v>6.094999999999999E-2</v>
      </c>
      <c r="AF258">
        <f>VLOOKUP($B258,'[1]Plant data'!$A$1:$AB$315,14,0)</f>
        <v>3.1800000000000009E-2</v>
      </c>
      <c r="AG258">
        <f>VLOOKUP($B258,'[1]Plant data'!$A$1:$AB$315,15,0)</f>
        <v>1</v>
      </c>
      <c r="AH258">
        <f>VLOOKUP($B258,'[1]Plant data'!$A$1:$AB$315,16,0)</f>
        <v>1.75</v>
      </c>
      <c r="AI258">
        <f>VLOOKUP($B258,'[1]Plant data'!$A$1:$AB$315,17,0)</f>
        <v>1.7449685534591188</v>
      </c>
      <c r="AJ258" t="str">
        <f>VLOOKUP($B258,'[1]Plant data'!$A$1:$AB$315,18,0)</f>
        <v>ATLANTIC, Cazetta 2007, Erica&amp;Wesley, Intervales_morfo, Passos &amp; Oliveira 2003, Alves 2008, Angel-de-Oliveira 1999, Camargo 2014</v>
      </c>
      <c r="AK258">
        <f>VLOOKUP($B258,'[1]Plant data'!$A$1:$AB$315,19,0)</f>
        <v>0.76200000000000001</v>
      </c>
      <c r="AL258">
        <f>VLOOKUP($B258,'[1]Plant data'!$A$1:$AB$315,20,0)</f>
        <v>2.4614824629022293E-2</v>
      </c>
      <c r="AM258">
        <f>VLOOKUP($B258,'[1]Plant data'!$A$1:$AB$315,21,0)</f>
        <v>0.18857499999999999</v>
      </c>
      <c r="AN258">
        <f>VLOOKUP($B258,'[1]Plant data'!$A$1:$AB$315,22,0)</f>
        <v>3.0427057790241518E-2</v>
      </c>
      <c r="AO258">
        <f>VLOOKUP($B258,'[1]Plant data'!$A$1:$AB$315,23,0)</f>
        <v>9.273965188665384E-2</v>
      </c>
      <c r="AP258" t="str">
        <f>VLOOKUP($B258,'[1]Plant data'!$A$1:$AB$315,24,0)</f>
        <v>NA</v>
      </c>
      <c r="AQ258">
        <f>VLOOKUP($B258,'[1]Plant data'!$A$1:$AB$315,25,0)</f>
        <v>0.6915</v>
      </c>
      <c r="AR258">
        <f>VLOOKUP($B258,'[1]Plant data'!$A$1:$AB$315,26,0)</f>
        <v>5.3499999999999999E-2</v>
      </c>
      <c r="AS258" t="str">
        <f>VLOOKUP($B258,'[1]Plant data'!$A$1:$AB$315,27,0)</f>
        <v>NA</v>
      </c>
      <c r="AT258" t="str">
        <f>VLOOKUP($B258,'[1]Plant data'!$A$1:$AB$315,28,0)</f>
        <v>Cazetta 2007, Erica &amp; Wesley, unpubl., Saibadela, Passos 2001</v>
      </c>
    </row>
    <row r="259" spans="1:46">
      <c r="A259" s="5" t="s">
        <v>43</v>
      </c>
      <c r="B259" s="37" t="s">
        <v>35</v>
      </c>
      <c r="C259">
        <v>10</v>
      </c>
      <c r="D259" s="7">
        <v>15.9</v>
      </c>
      <c r="E259" s="8">
        <f>C259/15.9</f>
        <v>0.62893081761006286</v>
      </c>
      <c r="F259" t="s">
        <v>19</v>
      </c>
      <c r="G259" s="9" t="s">
        <v>19</v>
      </c>
      <c r="H259" s="9"/>
      <c r="I259" s="8" t="s">
        <v>19</v>
      </c>
      <c r="J259" s="24" t="s">
        <v>67</v>
      </c>
      <c r="K259" s="25" t="s">
        <v>68</v>
      </c>
      <c r="L259" t="s">
        <v>22</v>
      </c>
      <c r="M259" t="s">
        <v>30</v>
      </c>
      <c r="N259" s="11">
        <v>32.5</v>
      </c>
      <c r="O259" s="11">
        <v>8.9205555560000001</v>
      </c>
      <c r="P259" t="s">
        <v>24</v>
      </c>
      <c r="Q259" t="s">
        <v>25</v>
      </c>
      <c r="R259" t="s">
        <v>26</v>
      </c>
      <c r="S259" t="s">
        <v>31</v>
      </c>
      <c r="T259" t="str">
        <f>VLOOKUP(B259,'[1]Plant data'!$A$1:$AB$315,2,0)</f>
        <v>Nyctaginaceae</v>
      </c>
      <c r="U259" t="str">
        <f>VLOOKUP($B259,'[1]Plant data'!$A$1:$AB$315,3,0)</f>
        <v>NA</v>
      </c>
      <c r="V259" t="str">
        <f>VLOOKUP($B259,'[1]Plant data'!$A$1:$AB$315,4,0)</f>
        <v>multicolor</v>
      </c>
      <c r="W259" t="str">
        <f>VLOOKUP($B259,'[1]Plant data'!$A$1:$AB$315,5,0)</f>
        <v>YES</v>
      </c>
      <c r="X259">
        <f>VLOOKUP($B259,'[1]Plant data'!$A$1:$AB$315,6,0)</f>
        <v>6.7537500000000001</v>
      </c>
      <c r="Y259">
        <f>VLOOKUP($B259,'[1]Plant data'!$A$1:$AB$315,7,0)</f>
        <v>8.35</v>
      </c>
      <c r="Z259">
        <f>VLOOKUP($B259,'[1]Plant data'!$A$1:$AB$315,8,0)</f>
        <v>4.1033333333333335</v>
      </c>
      <c r="AA259">
        <f>VLOOKUP($B259,'[1]Plant data'!$A$1:$AB$315,9,0)</f>
        <v>6.7766666666666664</v>
      </c>
      <c r="AB259">
        <f>VLOOKUP($B259,'[1]Plant data'!$A$1:$AB$315,10,0)</f>
        <v>0.19342499999999999</v>
      </c>
      <c r="AC259">
        <f>VLOOKUP($B259,'[1]Plant data'!$A$1:$AB$315,11,0)</f>
        <v>0.16</v>
      </c>
      <c r="AD259">
        <f>VLOOKUP($B259,'[1]Plant data'!$A$1:$AB$315,12,0)</f>
        <v>4.4450000000000003E-2</v>
      </c>
      <c r="AE259">
        <f>VLOOKUP($B259,'[1]Plant data'!$A$1:$AB$315,13,0)</f>
        <v>6.094999999999999E-2</v>
      </c>
      <c r="AF259">
        <f>VLOOKUP($B259,'[1]Plant data'!$A$1:$AB$315,14,0)</f>
        <v>3.1800000000000009E-2</v>
      </c>
      <c r="AG259">
        <f>VLOOKUP($B259,'[1]Plant data'!$A$1:$AB$315,15,0)</f>
        <v>1</v>
      </c>
      <c r="AH259">
        <f>VLOOKUP($B259,'[1]Plant data'!$A$1:$AB$315,16,0)</f>
        <v>1.75</v>
      </c>
      <c r="AI259">
        <f>VLOOKUP($B259,'[1]Plant data'!$A$1:$AB$315,17,0)</f>
        <v>1.7449685534591188</v>
      </c>
      <c r="AJ259" t="str">
        <f>VLOOKUP($B259,'[1]Plant data'!$A$1:$AB$315,18,0)</f>
        <v>ATLANTIC, Cazetta 2007, Erica&amp;Wesley, Intervales_morfo, Passos &amp; Oliveira 2003, Alves 2008, Angel-de-Oliveira 1999, Camargo 2014</v>
      </c>
      <c r="AK259">
        <f>VLOOKUP($B259,'[1]Plant data'!$A$1:$AB$315,19,0)</f>
        <v>0.76200000000000001</v>
      </c>
      <c r="AL259">
        <f>VLOOKUP($B259,'[1]Plant data'!$A$1:$AB$315,20,0)</f>
        <v>2.4614824629022293E-2</v>
      </c>
      <c r="AM259">
        <f>VLOOKUP($B259,'[1]Plant data'!$A$1:$AB$315,21,0)</f>
        <v>0.18857499999999999</v>
      </c>
      <c r="AN259">
        <f>VLOOKUP($B259,'[1]Plant data'!$A$1:$AB$315,22,0)</f>
        <v>3.0427057790241518E-2</v>
      </c>
      <c r="AO259">
        <f>VLOOKUP($B259,'[1]Plant data'!$A$1:$AB$315,23,0)</f>
        <v>9.273965188665384E-2</v>
      </c>
      <c r="AP259" t="str">
        <f>VLOOKUP($B259,'[1]Plant data'!$A$1:$AB$315,24,0)</f>
        <v>NA</v>
      </c>
      <c r="AQ259">
        <f>VLOOKUP($B259,'[1]Plant data'!$A$1:$AB$315,25,0)</f>
        <v>0.6915</v>
      </c>
      <c r="AR259">
        <f>VLOOKUP($B259,'[1]Plant data'!$A$1:$AB$315,26,0)</f>
        <v>5.3499999999999999E-2</v>
      </c>
      <c r="AS259" t="str">
        <f>VLOOKUP($B259,'[1]Plant data'!$A$1:$AB$315,27,0)</f>
        <v>NA</v>
      </c>
      <c r="AT259" t="str">
        <f>VLOOKUP($B259,'[1]Plant data'!$A$1:$AB$315,28,0)</f>
        <v>Cazetta 2007, Erica &amp; Wesley, unpubl., Saibadela, Passos 2001</v>
      </c>
    </row>
    <row r="260" spans="1:46">
      <c r="A260" s="5" t="s">
        <v>46</v>
      </c>
      <c r="B260" s="40" t="s">
        <v>35</v>
      </c>
      <c r="C260">
        <v>2</v>
      </c>
      <c r="D260" s="7">
        <v>15.9</v>
      </c>
      <c r="E260" s="8">
        <f>C260/15.9</f>
        <v>0.12578616352201258</v>
      </c>
      <c r="F260" t="s">
        <v>19</v>
      </c>
      <c r="G260" s="9" t="s">
        <v>19</v>
      </c>
      <c r="H260" s="9"/>
      <c r="I260" s="8" t="s">
        <v>19</v>
      </c>
      <c r="J260" s="25" t="s">
        <v>67</v>
      </c>
      <c r="K260" s="25" t="s">
        <v>68</v>
      </c>
      <c r="L260" t="s">
        <v>22</v>
      </c>
      <c r="M260" t="s">
        <v>47</v>
      </c>
      <c r="N260" s="11">
        <v>54</v>
      </c>
      <c r="O260" s="11">
        <v>11.14875</v>
      </c>
      <c r="P260" t="s">
        <v>48</v>
      </c>
      <c r="Q260" t="s">
        <v>49</v>
      </c>
      <c r="R260" t="s">
        <v>26</v>
      </c>
      <c r="S260" t="s">
        <v>31</v>
      </c>
      <c r="T260" t="str">
        <f>VLOOKUP(B260,'[1]Plant data'!$A$1:$AB$315,2,0)</f>
        <v>Nyctaginaceae</v>
      </c>
      <c r="U260" t="str">
        <f>VLOOKUP($B260,'[1]Plant data'!$A$1:$AB$315,3,0)</f>
        <v>NA</v>
      </c>
      <c r="V260" t="str">
        <f>VLOOKUP($B260,'[1]Plant data'!$A$1:$AB$315,4,0)</f>
        <v>multicolor</v>
      </c>
      <c r="W260" t="str">
        <f>VLOOKUP($B260,'[1]Plant data'!$A$1:$AB$315,5,0)</f>
        <v>YES</v>
      </c>
      <c r="X260">
        <f>VLOOKUP($B260,'[1]Plant data'!$A$1:$AB$315,6,0)</f>
        <v>6.7537500000000001</v>
      </c>
      <c r="Y260">
        <f>VLOOKUP($B260,'[1]Plant data'!$A$1:$AB$315,7,0)</f>
        <v>8.35</v>
      </c>
      <c r="Z260">
        <f>VLOOKUP($B260,'[1]Plant data'!$A$1:$AB$315,8,0)</f>
        <v>4.1033333333333335</v>
      </c>
      <c r="AA260">
        <f>VLOOKUP($B260,'[1]Plant data'!$A$1:$AB$315,9,0)</f>
        <v>6.7766666666666664</v>
      </c>
      <c r="AB260">
        <f>VLOOKUP($B260,'[1]Plant data'!$A$1:$AB$315,10,0)</f>
        <v>0.19342499999999999</v>
      </c>
      <c r="AC260">
        <f>VLOOKUP($B260,'[1]Plant data'!$A$1:$AB$315,11,0)</f>
        <v>0.16</v>
      </c>
      <c r="AD260">
        <f>VLOOKUP($B260,'[1]Plant data'!$A$1:$AB$315,12,0)</f>
        <v>4.4450000000000003E-2</v>
      </c>
      <c r="AE260">
        <f>VLOOKUP($B260,'[1]Plant data'!$A$1:$AB$315,13,0)</f>
        <v>6.094999999999999E-2</v>
      </c>
      <c r="AF260">
        <f>VLOOKUP($B260,'[1]Plant data'!$A$1:$AB$315,14,0)</f>
        <v>3.1800000000000009E-2</v>
      </c>
      <c r="AG260">
        <f>VLOOKUP($B260,'[1]Plant data'!$A$1:$AB$315,15,0)</f>
        <v>1</v>
      </c>
      <c r="AH260">
        <f>VLOOKUP($B260,'[1]Plant data'!$A$1:$AB$315,16,0)</f>
        <v>1.75</v>
      </c>
      <c r="AI260">
        <f>VLOOKUP($B260,'[1]Plant data'!$A$1:$AB$315,17,0)</f>
        <v>1.7449685534591188</v>
      </c>
      <c r="AJ260" t="str">
        <f>VLOOKUP($B260,'[1]Plant data'!$A$1:$AB$315,18,0)</f>
        <v>ATLANTIC, Cazetta 2007, Erica&amp;Wesley, Intervales_morfo, Passos &amp; Oliveira 2003, Alves 2008, Angel-de-Oliveira 1999, Camargo 2014</v>
      </c>
      <c r="AK260">
        <f>VLOOKUP($B260,'[1]Plant data'!$A$1:$AB$315,19,0)</f>
        <v>0.76200000000000001</v>
      </c>
      <c r="AL260">
        <f>VLOOKUP($B260,'[1]Plant data'!$A$1:$AB$315,20,0)</f>
        <v>2.4614824629022293E-2</v>
      </c>
      <c r="AM260">
        <f>VLOOKUP($B260,'[1]Plant data'!$A$1:$AB$315,21,0)</f>
        <v>0.18857499999999999</v>
      </c>
      <c r="AN260">
        <f>VLOOKUP($B260,'[1]Plant data'!$A$1:$AB$315,22,0)</f>
        <v>3.0427057790241518E-2</v>
      </c>
      <c r="AO260">
        <f>VLOOKUP($B260,'[1]Plant data'!$A$1:$AB$315,23,0)</f>
        <v>9.273965188665384E-2</v>
      </c>
      <c r="AP260" t="str">
        <f>VLOOKUP($B260,'[1]Plant data'!$A$1:$AB$315,24,0)</f>
        <v>NA</v>
      </c>
      <c r="AQ260">
        <f>VLOOKUP($B260,'[1]Plant data'!$A$1:$AB$315,25,0)</f>
        <v>0.6915</v>
      </c>
      <c r="AR260">
        <f>VLOOKUP($B260,'[1]Plant data'!$A$1:$AB$315,26,0)</f>
        <v>5.3499999999999999E-2</v>
      </c>
      <c r="AS260" t="str">
        <f>VLOOKUP($B260,'[1]Plant data'!$A$1:$AB$315,27,0)</f>
        <v>NA</v>
      </c>
      <c r="AT260" t="str">
        <f>VLOOKUP($B260,'[1]Plant data'!$A$1:$AB$315,28,0)</f>
        <v>Cazetta 2007, Erica &amp; Wesley, unpubl., Saibadela, Passos 2001</v>
      </c>
    </row>
    <row r="261" spans="1:46">
      <c r="A261" s="5" t="s">
        <v>50</v>
      </c>
      <c r="B261" s="37" t="s">
        <v>195</v>
      </c>
      <c r="C261">
        <v>8</v>
      </c>
      <c r="D261">
        <v>3</v>
      </c>
      <c r="E261" s="8">
        <f>C261/3</f>
        <v>2.6666666666666665</v>
      </c>
      <c r="F261" t="s">
        <v>19</v>
      </c>
      <c r="G261" s="9" t="s">
        <v>19</v>
      </c>
      <c r="H261" s="9"/>
      <c r="I261" s="8" t="s">
        <v>19</v>
      </c>
      <c r="J261" s="24" t="s">
        <v>180</v>
      </c>
      <c r="K261" s="25" t="s">
        <v>181</v>
      </c>
      <c r="L261" t="s">
        <v>22</v>
      </c>
      <c r="M261" t="s">
        <v>47</v>
      </c>
      <c r="N261" s="11">
        <v>69.5</v>
      </c>
      <c r="O261" s="11">
        <v>13.253214290000001</v>
      </c>
      <c r="P261" t="s">
        <v>48</v>
      </c>
      <c r="Q261" t="s">
        <v>25</v>
      </c>
      <c r="R261" t="s">
        <v>26</v>
      </c>
      <c r="S261" t="s">
        <v>31</v>
      </c>
      <c r="T261" t="str">
        <f>VLOOKUP(B261,'[1]Plant data'!$A$1:$AB$315,2,0)</f>
        <v>Meliaceae</v>
      </c>
      <c r="U261" t="str">
        <f>VLOOKUP($B261,'[1]Plant data'!$A$1:$AB$315,3,0)</f>
        <v>NA</v>
      </c>
      <c r="V261" t="str">
        <f>VLOOKUP($B261,'[1]Plant data'!$A$1:$AB$315,4,0)</f>
        <v>red</v>
      </c>
      <c r="W261" t="str">
        <f>VLOOKUP($B261,'[1]Plant data'!$A$1:$AB$315,5,0)</f>
        <v>YES</v>
      </c>
      <c r="X261">
        <f>VLOOKUP($B261,'[1]Plant data'!$A$1:$AB$315,6,0)</f>
        <v>8.5383333333333322</v>
      </c>
      <c r="Y261">
        <f>VLOOKUP($B261,'[1]Plant data'!$A$1:$AB$315,7,0)</f>
        <v>11.948333333333332</v>
      </c>
      <c r="Z261">
        <f>VLOOKUP($B261,'[1]Plant data'!$A$1:$AB$315,8,0)</f>
        <v>8.33</v>
      </c>
      <c r="AA261">
        <f>VLOOKUP($B261,'[1]Plant data'!$A$1:$AB$315,9,0)</f>
        <v>11.076666666666668</v>
      </c>
      <c r="AB261">
        <f>VLOOKUP($B261,'[1]Plant data'!$A$1:$AB$315,10,0)</f>
        <v>0.49099999999999994</v>
      </c>
      <c r="AC261">
        <f>VLOOKUP($B261,'[1]Plant data'!$A$1:$AB$315,11,0)</f>
        <v>0.15</v>
      </c>
      <c r="AD261">
        <f>VLOOKUP($B261,'[1]Plant data'!$A$1:$AB$315,12,0)</f>
        <v>0.323125</v>
      </c>
      <c r="AE261">
        <f>VLOOKUP($B261,'[1]Plant data'!$A$1:$AB$315,13,0)</f>
        <v>0.10837499999999999</v>
      </c>
      <c r="AF261">
        <f>VLOOKUP($B261,'[1]Plant data'!$A$1:$AB$315,14,0)</f>
        <v>0.28625</v>
      </c>
      <c r="AG261">
        <f>VLOOKUP($B261,'[1]Plant data'!$A$1:$AB$315,15,0)</f>
        <v>1</v>
      </c>
      <c r="AH261" t="str">
        <f>VLOOKUP($B261,'[1]Plant data'!$A$1:$AB$315,16,0)</f>
        <v>NA</v>
      </c>
      <c r="AI261">
        <f>VLOOKUP($B261,'[1]Plant data'!$A$1:$AB$315,17,0)</f>
        <v>0.36428918000970401</v>
      </c>
      <c r="AJ261" t="str">
        <f>VLOOKUP($B261,'[1]Plant data'!$A$1:$AB$315,18,0)</f>
        <v>ATLANTIC, Cazetta 2007, Erica&amp;Wesley, Intervales_morfo</v>
      </c>
      <c r="AK261">
        <f>VLOOKUP($B261,'[1]Plant data'!$A$1:$AB$315,19,0)</f>
        <v>0.73510000000000009</v>
      </c>
      <c r="AL261">
        <f>VLOOKUP($B261,'[1]Plant data'!$A$1:$AB$315,20,0)</f>
        <v>0.44079999999999997</v>
      </c>
      <c r="AM261">
        <f>VLOOKUP($B261,'[1]Plant data'!$A$1:$AB$315,21,0)</f>
        <v>8.9600000000000013E-2</v>
      </c>
      <c r="AN261">
        <f>VLOOKUP($B261,'[1]Plant data'!$A$1:$AB$315,22,0)</f>
        <v>1E-3</v>
      </c>
      <c r="AO261" t="str">
        <f>VLOOKUP($B261,'[1]Plant data'!$A$1:$AB$315,23,0)</f>
        <v>NA</v>
      </c>
      <c r="AP261" t="str">
        <f>VLOOKUP($B261,'[1]Plant data'!$A$1:$AB$315,24,0)</f>
        <v>NA</v>
      </c>
      <c r="AQ261" t="str">
        <f>VLOOKUP($B261,'[1]Plant data'!$A$1:$AB$315,25,0)</f>
        <v>NA</v>
      </c>
      <c r="AR261" t="str">
        <f>VLOOKUP($B261,'[1]Plant data'!$A$1:$AB$315,26,0)</f>
        <v>NA</v>
      </c>
      <c r="AS261" t="str">
        <f>VLOOKUP($B261,'[1]Plant data'!$A$1:$AB$315,27,0)</f>
        <v>NA</v>
      </c>
      <c r="AT261" t="str">
        <f>VLOOKUP($B261,'[1]Plant data'!$A$1:$AB$315,28,0)</f>
        <v>Cazetta 2007</v>
      </c>
    </row>
    <row r="262" spans="1:46">
      <c r="A262" s="21" t="s">
        <v>46</v>
      </c>
      <c r="B262" s="60" t="s">
        <v>232</v>
      </c>
      <c r="C262" s="16">
        <v>9</v>
      </c>
      <c r="D262" s="16">
        <v>32</v>
      </c>
      <c r="E262" s="23">
        <f>C262/32</f>
        <v>0.28125</v>
      </c>
      <c r="F262" s="16">
        <v>27</v>
      </c>
      <c r="G262" s="19">
        <f>F262/C262</f>
        <v>3</v>
      </c>
      <c r="H262" s="19"/>
      <c r="I262" s="8">
        <f>E262*G262</f>
        <v>0.84375</v>
      </c>
      <c r="J262" s="16" t="s">
        <v>224</v>
      </c>
      <c r="K262" s="16" t="s">
        <v>225</v>
      </c>
      <c r="L262" s="16" t="s">
        <v>22</v>
      </c>
      <c r="M262" s="16" t="s">
        <v>47</v>
      </c>
      <c r="N262" s="17">
        <v>54</v>
      </c>
      <c r="O262" s="17">
        <v>11.14875</v>
      </c>
      <c r="P262" s="16" t="s">
        <v>48</v>
      </c>
      <c r="Q262" s="16" t="s">
        <v>49</v>
      </c>
      <c r="R262" s="16" t="s">
        <v>26</v>
      </c>
      <c r="S262" s="16" t="s">
        <v>31</v>
      </c>
      <c r="T262" t="str">
        <f>VLOOKUP(B262,'[1]Plant data'!$A$1:$AB$315,2,0)</f>
        <v>Annonaceae</v>
      </c>
      <c r="U262" t="str">
        <f>VLOOKUP($B262,'[1]Plant data'!$A$1:$AB$315,3,0)</f>
        <v>NA</v>
      </c>
      <c r="V262" t="str">
        <f>VLOOKUP($B262,'[1]Plant data'!$A$1:$AB$315,4,0)</f>
        <v>black</v>
      </c>
      <c r="W262" t="str">
        <f>VLOOKUP($B262,'[1]Plant data'!$A$1:$AB$315,5,0)</f>
        <v>YES</v>
      </c>
      <c r="X262">
        <f>VLOOKUP($B262,'[1]Plant data'!$A$1:$AB$315,6,0)</f>
        <v>6</v>
      </c>
      <c r="Y262">
        <f>VLOOKUP($B262,'[1]Plant data'!$A$1:$AB$315,7,0)</f>
        <v>11.265000000000001</v>
      </c>
      <c r="Z262">
        <f>VLOOKUP($B262,'[1]Plant data'!$A$1:$AB$315,8,0)</f>
        <v>5.52</v>
      </c>
      <c r="AA262">
        <f>VLOOKUP($B262,'[1]Plant data'!$A$1:$AB$315,9,0)</f>
        <v>8.5</v>
      </c>
      <c r="AB262">
        <f>VLOOKUP($B262,'[1]Plant data'!$A$1:$AB$315,10,0)</f>
        <v>0.38</v>
      </c>
      <c r="AC262" t="str">
        <f>VLOOKUP($B262,'[1]Plant data'!$A$1:$AB$315,11,0)</f>
        <v>NA</v>
      </c>
      <c r="AD262" t="str">
        <f>VLOOKUP($B262,'[1]Plant data'!$A$1:$AB$315,12,0)</f>
        <v>NA</v>
      </c>
      <c r="AE262" t="str">
        <f>VLOOKUP($B262,'[1]Plant data'!$A$1:$AB$315,13,0)</f>
        <v>NA</v>
      </c>
      <c r="AF262" t="str">
        <f>VLOOKUP($B262,'[1]Plant data'!$A$1:$AB$315,14,0)</f>
        <v>NA</v>
      </c>
      <c r="AG262">
        <f>VLOOKUP($B262,'[1]Plant data'!$A$1:$AB$315,15,0)</f>
        <v>1</v>
      </c>
      <c r="AH262" t="str">
        <f>VLOOKUP($B262,'[1]Plant data'!$A$1:$AB$315,16,0)</f>
        <v>NA</v>
      </c>
      <c r="AI262" t="str">
        <f>VLOOKUP($B262,'[1]Plant data'!$A$1:$AB$315,17,0)</f>
        <v>NA</v>
      </c>
      <c r="AJ262" t="str">
        <f>VLOOKUP($B262,'[1]Plant data'!$A$1:$AB$315,18,0)</f>
        <v>ATLANTIC, Motta Jr. 1981</v>
      </c>
      <c r="AK262">
        <f>VLOOKUP($B262,'[1]Plant data'!$A$1:$AB$315,19,0)</f>
        <v>0.67800000000000005</v>
      </c>
      <c r="AL262">
        <f>VLOOKUP($B262,'[1]Plant data'!$A$1:$AB$315,20,0)</f>
        <v>8.5999999999999993E-2</v>
      </c>
      <c r="AM262" t="str">
        <f>VLOOKUP($B262,'[1]Plant data'!$A$1:$AB$315,21,0)</f>
        <v>NA</v>
      </c>
      <c r="AN262" t="str">
        <f>VLOOKUP($B262,'[1]Plant data'!$A$1:$AB$315,22,0)</f>
        <v>NA</v>
      </c>
      <c r="AO262" t="str">
        <f>VLOOKUP($B262,'[1]Plant data'!$A$1:$AB$315,23,0)</f>
        <v>NA</v>
      </c>
      <c r="AP262" t="str">
        <f>VLOOKUP($B262,'[1]Plant data'!$A$1:$AB$315,24,0)</f>
        <v>NA</v>
      </c>
      <c r="AQ262" t="str">
        <f>VLOOKUP($B262,'[1]Plant data'!$A$1:$AB$315,25,0)</f>
        <v>NA</v>
      </c>
      <c r="AR262" t="str">
        <f>VLOOKUP($B262,'[1]Plant data'!$A$1:$AB$315,26,0)</f>
        <v>NA</v>
      </c>
      <c r="AS262" t="str">
        <f>VLOOKUP($B262,'[1]Plant data'!$A$1:$AB$315,27,0)</f>
        <v>NA</v>
      </c>
      <c r="AT262" t="str">
        <f>VLOOKUP($B262,'[1]Plant data'!$A$1:$AB$315,28,0)</f>
        <v>Motta Jr. 1981</v>
      </c>
    </row>
    <row r="263" spans="1:46">
      <c r="A263" s="21" t="s">
        <v>50</v>
      </c>
      <c r="B263" s="60" t="s">
        <v>232</v>
      </c>
      <c r="C263" s="16">
        <v>16</v>
      </c>
      <c r="D263" s="16">
        <v>32</v>
      </c>
      <c r="E263" s="23">
        <f>C263/32</f>
        <v>0.5</v>
      </c>
      <c r="F263" s="16">
        <v>48</v>
      </c>
      <c r="G263" s="19">
        <v>4</v>
      </c>
      <c r="H263" s="19"/>
      <c r="I263" s="8">
        <f>E263*G263</f>
        <v>2</v>
      </c>
      <c r="J263" s="16" t="s">
        <v>224</v>
      </c>
      <c r="K263" s="16" t="s">
        <v>225</v>
      </c>
      <c r="L263" s="16" t="s">
        <v>22</v>
      </c>
      <c r="M263" s="16" t="s">
        <v>47</v>
      </c>
      <c r="N263" s="17">
        <v>69.5</v>
      </c>
      <c r="O263" s="17">
        <v>13.253214290000001</v>
      </c>
      <c r="P263" s="16" t="s">
        <v>48</v>
      </c>
      <c r="Q263" s="16" t="s">
        <v>25</v>
      </c>
      <c r="R263" s="16" t="s">
        <v>26</v>
      </c>
      <c r="S263" s="16" t="s">
        <v>31</v>
      </c>
      <c r="T263" t="str">
        <f>VLOOKUP(B263,'[1]Plant data'!$A$1:$AB$315,2,0)</f>
        <v>Annonaceae</v>
      </c>
      <c r="U263" t="str">
        <f>VLOOKUP($B263,'[1]Plant data'!$A$1:$AB$315,3,0)</f>
        <v>NA</v>
      </c>
      <c r="V263" t="str">
        <f>VLOOKUP($B263,'[1]Plant data'!$A$1:$AB$315,4,0)</f>
        <v>black</v>
      </c>
      <c r="W263" t="str">
        <f>VLOOKUP($B263,'[1]Plant data'!$A$1:$AB$315,5,0)</f>
        <v>YES</v>
      </c>
      <c r="X263">
        <f>VLOOKUP($B263,'[1]Plant data'!$A$1:$AB$315,6,0)</f>
        <v>6</v>
      </c>
      <c r="Y263">
        <f>VLOOKUP($B263,'[1]Plant data'!$A$1:$AB$315,7,0)</f>
        <v>11.265000000000001</v>
      </c>
      <c r="Z263">
        <f>VLOOKUP($B263,'[1]Plant data'!$A$1:$AB$315,8,0)</f>
        <v>5.52</v>
      </c>
      <c r="AA263">
        <f>VLOOKUP($B263,'[1]Plant data'!$A$1:$AB$315,9,0)</f>
        <v>8.5</v>
      </c>
      <c r="AB263">
        <f>VLOOKUP($B263,'[1]Plant data'!$A$1:$AB$315,10,0)</f>
        <v>0.38</v>
      </c>
      <c r="AC263" t="str">
        <f>VLOOKUP($B263,'[1]Plant data'!$A$1:$AB$315,11,0)</f>
        <v>NA</v>
      </c>
      <c r="AD263" t="str">
        <f>VLOOKUP($B263,'[1]Plant data'!$A$1:$AB$315,12,0)</f>
        <v>NA</v>
      </c>
      <c r="AE263" t="str">
        <f>VLOOKUP($B263,'[1]Plant data'!$A$1:$AB$315,13,0)</f>
        <v>NA</v>
      </c>
      <c r="AF263" t="str">
        <f>VLOOKUP($B263,'[1]Plant data'!$A$1:$AB$315,14,0)</f>
        <v>NA</v>
      </c>
      <c r="AG263">
        <f>VLOOKUP($B263,'[1]Plant data'!$A$1:$AB$315,15,0)</f>
        <v>1</v>
      </c>
      <c r="AH263" t="str">
        <f>VLOOKUP($B263,'[1]Plant data'!$A$1:$AB$315,16,0)</f>
        <v>NA</v>
      </c>
      <c r="AI263" t="str">
        <f>VLOOKUP($B263,'[1]Plant data'!$A$1:$AB$315,17,0)</f>
        <v>NA</v>
      </c>
      <c r="AJ263" t="str">
        <f>VLOOKUP($B263,'[1]Plant data'!$A$1:$AB$315,18,0)</f>
        <v>ATLANTIC, Motta Jr. 1981</v>
      </c>
      <c r="AK263">
        <f>VLOOKUP($B263,'[1]Plant data'!$A$1:$AB$315,19,0)</f>
        <v>0.67800000000000005</v>
      </c>
      <c r="AL263">
        <f>VLOOKUP($B263,'[1]Plant data'!$A$1:$AB$315,20,0)</f>
        <v>8.5999999999999993E-2</v>
      </c>
      <c r="AM263" t="str">
        <f>VLOOKUP($B263,'[1]Plant data'!$A$1:$AB$315,21,0)</f>
        <v>NA</v>
      </c>
      <c r="AN263" t="str">
        <f>VLOOKUP($B263,'[1]Plant data'!$A$1:$AB$315,22,0)</f>
        <v>NA</v>
      </c>
      <c r="AO263" t="str">
        <f>VLOOKUP($B263,'[1]Plant data'!$A$1:$AB$315,23,0)</f>
        <v>NA</v>
      </c>
      <c r="AP263" t="str">
        <f>VLOOKUP($B263,'[1]Plant data'!$A$1:$AB$315,24,0)</f>
        <v>NA</v>
      </c>
      <c r="AQ263" t="str">
        <f>VLOOKUP($B263,'[1]Plant data'!$A$1:$AB$315,25,0)</f>
        <v>NA</v>
      </c>
      <c r="AR263" t="str">
        <f>VLOOKUP($B263,'[1]Plant data'!$A$1:$AB$315,26,0)</f>
        <v>NA</v>
      </c>
      <c r="AS263" t="str">
        <f>VLOOKUP($B263,'[1]Plant data'!$A$1:$AB$315,27,0)</f>
        <v>NA</v>
      </c>
      <c r="AT263" t="str">
        <f>VLOOKUP($B263,'[1]Plant data'!$A$1:$AB$315,28,0)</f>
        <v>Motta Jr. 1981</v>
      </c>
    </row>
    <row r="264" spans="1:46">
      <c r="A264" s="18" t="s">
        <v>28</v>
      </c>
      <c r="B264" s="40" t="s">
        <v>185</v>
      </c>
      <c r="C264" s="25">
        <v>4</v>
      </c>
      <c r="D264" s="25">
        <v>5</v>
      </c>
      <c r="E264" s="26">
        <f>C264/D264</f>
        <v>0.8</v>
      </c>
      <c r="F264" s="25" t="s">
        <v>19</v>
      </c>
      <c r="G264" s="27" t="s">
        <v>184</v>
      </c>
      <c r="H264" s="27"/>
      <c r="I264" s="8" t="s">
        <v>19</v>
      </c>
      <c r="J264" t="s">
        <v>180</v>
      </c>
      <c r="K264" t="s">
        <v>181</v>
      </c>
      <c r="L264" t="s">
        <v>22</v>
      </c>
      <c r="M264" t="s">
        <v>30</v>
      </c>
      <c r="N264" s="11">
        <v>18</v>
      </c>
      <c r="O264" s="11">
        <v>7.4188405800000004</v>
      </c>
      <c r="P264" t="s">
        <v>24</v>
      </c>
      <c r="Q264" s="13" t="s">
        <v>25</v>
      </c>
      <c r="R264" s="13" t="s">
        <v>26</v>
      </c>
      <c r="S264" s="13" t="s">
        <v>31</v>
      </c>
      <c r="T264" t="str">
        <f>VLOOKUP(B264,'[1]Plant data'!$A$1:$AB$315,2,0)</f>
        <v>Rubiaceae</v>
      </c>
      <c r="U264" t="str">
        <f>VLOOKUP($B264,'[1]Plant data'!$A$1:$AB$315,3,0)</f>
        <v>NA</v>
      </c>
      <c r="V264" t="str">
        <f>VLOOKUP($B264,'[1]Plant data'!$A$1:$AB$315,4,0)</f>
        <v>black</v>
      </c>
      <c r="W264" t="str">
        <f>VLOOKUP($B264,'[1]Plant data'!$A$1:$AB$315,5,0)</f>
        <v>YES</v>
      </c>
      <c r="X264">
        <f>VLOOKUP($B264,'[1]Plant data'!$A$1:$AB$315,6,0)</f>
        <v>9.8000000000000007</v>
      </c>
      <c r="Y264">
        <f>VLOOKUP($B264,'[1]Plant data'!$A$1:$AB$315,7,0)</f>
        <v>8.1</v>
      </c>
      <c r="Z264">
        <f>VLOOKUP($B264,'[1]Plant data'!$A$1:$AB$315,8,0)</f>
        <v>13.3</v>
      </c>
      <c r="AA264">
        <f>VLOOKUP($B264,'[1]Plant data'!$A$1:$AB$315,9,0)</f>
        <v>15</v>
      </c>
      <c r="AB264" t="str">
        <f>VLOOKUP($B264,'[1]Plant data'!$A$1:$AB$315,10,0)</f>
        <v>NA</v>
      </c>
      <c r="AC264" t="str">
        <f>VLOOKUP($B264,'[1]Plant data'!$A$1:$AB$315,11,0)</f>
        <v>NA</v>
      </c>
      <c r="AD264" t="str">
        <f>VLOOKUP($B264,'[1]Plant data'!$A$1:$AB$315,12,0)</f>
        <v>NA</v>
      </c>
      <c r="AE264" t="str">
        <f>VLOOKUP($B264,'[1]Plant data'!$A$1:$AB$315,13,0)</f>
        <v>NA</v>
      </c>
      <c r="AF264" t="str">
        <f>VLOOKUP($B264,'[1]Plant data'!$A$1:$AB$315,14,0)</f>
        <v>NA</v>
      </c>
      <c r="AG264" t="str">
        <f>VLOOKUP($B264,'[1]Plant data'!$A$1:$AB$315,15,0)</f>
        <v>NA</v>
      </c>
      <c r="AH264" t="str">
        <f>VLOOKUP($B264,'[1]Plant data'!$A$1:$AB$315,16,0)</f>
        <v>NA</v>
      </c>
      <c r="AI264" t="str">
        <f>VLOOKUP($B264,'[1]Plant data'!$A$1:$AB$315,17,0)</f>
        <v>NA</v>
      </c>
      <c r="AJ264" t="str">
        <f>VLOOKUP($B264,'[1]Plant data'!$A$1:$AB$315,18,0)</f>
        <v>ATLANTIC</v>
      </c>
      <c r="AK264" t="str">
        <f>VLOOKUP($B264,'[1]Plant data'!$A$1:$AB$315,19,0)</f>
        <v>NA</v>
      </c>
      <c r="AL264" t="str">
        <f>VLOOKUP($B264,'[1]Plant data'!$A$1:$AB$315,20,0)</f>
        <v>NA</v>
      </c>
      <c r="AM264" t="str">
        <f>VLOOKUP($B264,'[1]Plant data'!$A$1:$AB$315,21,0)</f>
        <v>NA</v>
      </c>
      <c r="AN264" t="str">
        <f>VLOOKUP($B264,'[1]Plant data'!$A$1:$AB$315,22,0)</f>
        <v>NA</v>
      </c>
      <c r="AO264" t="str">
        <f>VLOOKUP($B264,'[1]Plant data'!$A$1:$AB$315,23,0)</f>
        <v>NA</v>
      </c>
      <c r="AP264" t="str">
        <f>VLOOKUP($B264,'[1]Plant data'!$A$1:$AB$315,24,0)</f>
        <v>NA</v>
      </c>
      <c r="AQ264" t="str">
        <f>VLOOKUP($B264,'[1]Plant data'!$A$1:$AB$315,25,0)</f>
        <v>NA</v>
      </c>
      <c r="AR264" t="str">
        <f>VLOOKUP($B264,'[1]Plant data'!$A$1:$AB$315,26,0)</f>
        <v>NA</v>
      </c>
      <c r="AS264" t="str">
        <f>VLOOKUP($B264,'[1]Plant data'!$A$1:$AB$315,27,0)</f>
        <v>NA</v>
      </c>
      <c r="AT264" t="str">
        <f>VLOOKUP($B264,'[1]Plant data'!$A$1:$AB$315,28,0)</f>
        <v>NA</v>
      </c>
    </row>
    <row r="265" spans="1:46">
      <c r="A265" s="5" t="s">
        <v>43</v>
      </c>
      <c r="B265" s="37" t="s">
        <v>185</v>
      </c>
      <c r="C265">
        <v>7</v>
      </c>
      <c r="D265">
        <v>5</v>
      </c>
      <c r="E265" s="8">
        <f>C265/5</f>
        <v>1.4</v>
      </c>
      <c r="F265" t="s">
        <v>19</v>
      </c>
      <c r="G265" s="9" t="s">
        <v>19</v>
      </c>
      <c r="H265" s="9"/>
      <c r="I265" s="8" t="s">
        <v>19</v>
      </c>
      <c r="J265" s="25" t="s">
        <v>180</v>
      </c>
      <c r="K265" s="25" t="s">
        <v>181</v>
      </c>
      <c r="L265" t="s">
        <v>22</v>
      </c>
      <c r="M265" t="s">
        <v>30</v>
      </c>
      <c r="N265" s="11">
        <v>32.5</v>
      </c>
      <c r="O265" s="11">
        <v>8.9205555560000001</v>
      </c>
      <c r="P265" t="s">
        <v>24</v>
      </c>
      <c r="Q265" t="s">
        <v>25</v>
      </c>
      <c r="R265" t="s">
        <v>26</v>
      </c>
      <c r="S265" t="s">
        <v>31</v>
      </c>
      <c r="T265" t="str">
        <f>VLOOKUP(B265,'[1]Plant data'!$A$1:$AB$315,2,0)</f>
        <v>Rubiaceae</v>
      </c>
      <c r="U265" t="str">
        <f>VLOOKUP($B265,'[1]Plant data'!$A$1:$AB$315,3,0)</f>
        <v>NA</v>
      </c>
      <c r="V265" t="str">
        <f>VLOOKUP($B265,'[1]Plant data'!$A$1:$AB$315,4,0)</f>
        <v>black</v>
      </c>
      <c r="W265" t="str">
        <f>VLOOKUP($B265,'[1]Plant data'!$A$1:$AB$315,5,0)</f>
        <v>YES</v>
      </c>
      <c r="X265">
        <f>VLOOKUP($B265,'[1]Plant data'!$A$1:$AB$315,6,0)</f>
        <v>9.8000000000000007</v>
      </c>
      <c r="Y265">
        <f>VLOOKUP($B265,'[1]Plant data'!$A$1:$AB$315,7,0)</f>
        <v>8.1</v>
      </c>
      <c r="Z265">
        <f>VLOOKUP($B265,'[1]Plant data'!$A$1:$AB$315,8,0)</f>
        <v>13.3</v>
      </c>
      <c r="AA265">
        <f>VLOOKUP($B265,'[1]Plant data'!$A$1:$AB$315,9,0)</f>
        <v>15</v>
      </c>
      <c r="AB265" t="str">
        <f>VLOOKUP($B265,'[1]Plant data'!$A$1:$AB$315,10,0)</f>
        <v>NA</v>
      </c>
      <c r="AC265" t="str">
        <f>VLOOKUP($B265,'[1]Plant data'!$A$1:$AB$315,11,0)</f>
        <v>NA</v>
      </c>
      <c r="AD265" t="str">
        <f>VLOOKUP($B265,'[1]Plant data'!$A$1:$AB$315,12,0)</f>
        <v>NA</v>
      </c>
      <c r="AE265" t="str">
        <f>VLOOKUP($B265,'[1]Plant data'!$A$1:$AB$315,13,0)</f>
        <v>NA</v>
      </c>
      <c r="AF265" t="str">
        <f>VLOOKUP($B265,'[1]Plant data'!$A$1:$AB$315,14,0)</f>
        <v>NA</v>
      </c>
      <c r="AG265" t="str">
        <f>VLOOKUP($B265,'[1]Plant data'!$A$1:$AB$315,15,0)</f>
        <v>NA</v>
      </c>
      <c r="AH265" t="str">
        <f>VLOOKUP($B265,'[1]Plant data'!$A$1:$AB$315,16,0)</f>
        <v>NA</v>
      </c>
      <c r="AI265" t="str">
        <f>VLOOKUP($B265,'[1]Plant data'!$A$1:$AB$315,17,0)</f>
        <v>NA</v>
      </c>
      <c r="AJ265" t="str">
        <f>VLOOKUP($B265,'[1]Plant data'!$A$1:$AB$315,18,0)</f>
        <v>ATLANTIC</v>
      </c>
      <c r="AK265" t="str">
        <f>VLOOKUP($B265,'[1]Plant data'!$A$1:$AB$315,19,0)</f>
        <v>NA</v>
      </c>
      <c r="AL265" t="str">
        <f>VLOOKUP($B265,'[1]Plant data'!$A$1:$AB$315,20,0)</f>
        <v>NA</v>
      </c>
      <c r="AM265" t="str">
        <f>VLOOKUP($B265,'[1]Plant data'!$A$1:$AB$315,21,0)</f>
        <v>NA</v>
      </c>
      <c r="AN265" t="str">
        <f>VLOOKUP($B265,'[1]Plant data'!$A$1:$AB$315,22,0)</f>
        <v>NA</v>
      </c>
      <c r="AO265" t="str">
        <f>VLOOKUP($B265,'[1]Plant data'!$A$1:$AB$315,23,0)</f>
        <v>NA</v>
      </c>
      <c r="AP265" t="str">
        <f>VLOOKUP($B265,'[1]Plant data'!$A$1:$AB$315,24,0)</f>
        <v>NA</v>
      </c>
      <c r="AQ265" t="str">
        <f>VLOOKUP($B265,'[1]Plant data'!$A$1:$AB$315,25,0)</f>
        <v>NA</v>
      </c>
      <c r="AR265" t="str">
        <f>VLOOKUP($B265,'[1]Plant data'!$A$1:$AB$315,26,0)</f>
        <v>NA</v>
      </c>
      <c r="AS265" t="str">
        <f>VLOOKUP($B265,'[1]Plant data'!$A$1:$AB$315,27,0)</f>
        <v>NA</v>
      </c>
      <c r="AT265" t="str">
        <f>VLOOKUP($B265,'[1]Plant data'!$A$1:$AB$315,28,0)</f>
        <v>NA</v>
      </c>
    </row>
    <row r="266" spans="1:46">
      <c r="A266" s="5" t="s">
        <v>70</v>
      </c>
      <c r="B266" s="40" t="s">
        <v>134</v>
      </c>
      <c r="C266" s="7">
        <v>2</v>
      </c>
      <c r="D266" s="7">
        <v>15</v>
      </c>
      <c r="E266" s="23">
        <f>(C266/15)*2</f>
        <v>0.26666666666666666</v>
      </c>
      <c r="F266" s="8" t="s">
        <v>19</v>
      </c>
      <c r="G266" s="9">
        <v>1</v>
      </c>
      <c r="H266" s="9"/>
      <c r="I266" s="8">
        <f>E266*G266</f>
        <v>0.26666666666666666</v>
      </c>
      <c r="J266" s="25" t="s">
        <v>132</v>
      </c>
      <c r="K266" s="25" t="s">
        <v>133</v>
      </c>
      <c r="L266" t="s">
        <v>22</v>
      </c>
      <c r="M266" t="s">
        <v>23</v>
      </c>
      <c r="N266" s="11">
        <v>15</v>
      </c>
      <c r="O266" s="11">
        <v>6.9235714289999999</v>
      </c>
      <c r="P266" t="s">
        <v>24</v>
      </c>
      <c r="Q266" t="s">
        <v>25</v>
      </c>
      <c r="R266" t="s">
        <v>26</v>
      </c>
      <c r="S266" t="s">
        <v>27</v>
      </c>
      <c r="T266" t="str">
        <f>VLOOKUP(B266,'[1]Plant data'!$A$1:$AB$315,2,0)</f>
        <v>Melastomataceae</v>
      </c>
      <c r="U266" t="str">
        <f>VLOOKUP($B266,'[1]Plant data'!$A$1:$AB$315,3,0)</f>
        <v>NA</v>
      </c>
      <c r="V266" t="str">
        <f>VLOOKUP($B266,'[1]Plant data'!$A$1:$AB$315,4,0)</f>
        <v>red</v>
      </c>
      <c r="W266" t="str">
        <f>VLOOKUP($B266,'[1]Plant data'!$A$1:$AB$315,5,0)</f>
        <v>YES</v>
      </c>
      <c r="X266">
        <f>VLOOKUP($B266,'[1]Plant data'!$A$1:$AB$315,6,0)</f>
        <v>11.9</v>
      </c>
      <c r="Y266">
        <f>VLOOKUP($B266,'[1]Plant data'!$A$1:$AB$315,7,0)</f>
        <v>13.3</v>
      </c>
      <c r="Z266" t="str">
        <f>VLOOKUP($B266,'[1]Plant data'!$A$1:$AB$315,8,0)</f>
        <v>NA</v>
      </c>
      <c r="AA266" t="str">
        <f>VLOOKUP($B266,'[1]Plant data'!$A$1:$AB$315,9,0)</f>
        <v>NA</v>
      </c>
      <c r="AB266" t="str">
        <f>VLOOKUP($B266,'[1]Plant data'!$A$1:$AB$315,10,0)</f>
        <v>NA</v>
      </c>
      <c r="AC266" t="str">
        <f>VLOOKUP($B266,'[1]Plant data'!$A$1:$AB$315,11,0)</f>
        <v>NA</v>
      </c>
      <c r="AD266" t="str">
        <f>VLOOKUP($B266,'[1]Plant data'!$A$1:$AB$315,12,0)</f>
        <v>NA</v>
      </c>
      <c r="AE266" t="str">
        <f>VLOOKUP($B266,'[1]Plant data'!$A$1:$AB$315,13,0)</f>
        <v>NA</v>
      </c>
      <c r="AF266" t="str">
        <f>VLOOKUP($B266,'[1]Plant data'!$A$1:$AB$315,14,0)</f>
        <v>NA</v>
      </c>
      <c r="AG266" t="str">
        <f>VLOOKUP($B266,'[1]Plant data'!$A$1:$AB$315,15,0)</f>
        <v>NA</v>
      </c>
      <c r="AH266" t="str">
        <f>VLOOKUP($B266,'[1]Plant data'!$A$1:$AB$315,16,0)</f>
        <v>NA</v>
      </c>
      <c r="AI266" t="str">
        <f>VLOOKUP($B266,'[1]Plant data'!$A$1:$AB$315,17,0)</f>
        <v>NA</v>
      </c>
      <c r="AJ266" t="str">
        <f>VLOOKUP($B266,'[1]Plant data'!$A$1:$AB$315,18,0)</f>
        <v>Correia 1997</v>
      </c>
      <c r="AK266" t="str">
        <f>VLOOKUP($B266,'[1]Plant data'!$A$1:$AB$315,19,0)</f>
        <v>NA</v>
      </c>
      <c r="AL266" t="str">
        <f>VLOOKUP($B266,'[1]Plant data'!$A$1:$AB$315,20,0)</f>
        <v>NA</v>
      </c>
      <c r="AM266" t="str">
        <f>VLOOKUP($B266,'[1]Plant data'!$A$1:$AB$315,21,0)</f>
        <v>NA</v>
      </c>
      <c r="AN266" t="str">
        <f>VLOOKUP($B266,'[1]Plant data'!$A$1:$AB$315,22,0)</f>
        <v>NA</v>
      </c>
      <c r="AO266" t="str">
        <f>VLOOKUP($B266,'[1]Plant data'!$A$1:$AB$315,23,0)</f>
        <v>NA</v>
      </c>
      <c r="AP266" t="str">
        <f>VLOOKUP($B266,'[1]Plant data'!$A$1:$AB$315,24,0)</f>
        <v>NA</v>
      </c>
      <c r="AQ266" t="str">
        <f>VLOOKUP($B266,'[1]Plant data'!$A$1:$AB$315,25,0)</f>
        <v>NA</v>
      </c>
      <c r="AR266" t="str">
        <f>VLOOKUP($B266,'[1]Plant data'!$A$1:$AB$315,26,0)</f>
        <v>NA</v>
      </c>
      <c r="AS266" t="str">
        <f>VLOOKUP($B266,'[1]Plant data'!$A$1:$AB$315,27,0)</f>
        <v>NA</v>
      </c>
      <c r="AT266" t="str">
        <f>VLOOKUP($B266,'[1]Plant data'!$A$1:$AB$315,28,0)</f>
        <v>NA</v>
      </c>
    </row>
    <row r="267" spans="1:46">
      <c r="A267" s="18" t="s">
        <v>28</v>
      </c>
      <c r="B267" s="62" t="s">
        <v>56</v>
      </c>
      <c r="C267" s="7">
        <v>3</v>
      </c>
      <c r="D267" s="7">
        <v>254</v>
      </c>
      <c r="E267" s="8">
        <f>C267/D267</f>
        <v>1.1811023622047244E-2</v>
      </c>
      <c r="F267" s="16" t="s">
        <v>19</v>
      </c>
      <c r="G267" s="19" t="s">
        <v>19</v>
      </c>
      <c r="H267" s="19"/>
      <c r="I267" s="8" t="s">
        <v>19</v>
      </c>
      <c r="J267" t="s">
        <v>52</v>
      </c>
      <c r="K267" t="s">
        <v>53</v>
      </c>
      <c r="L267" t="s">
        <v>22</v>
      </c>
      <c r="M267" t="s">
        <v>30</v>
      </c>
      <c r="N267" s="11">
        <v>18</v>
      </c>
      <c r="O267" s="11">
        <v>7.4188405800000004</v>
      </c>
      <c r="P267" t="s">
        <v>24</v>
      </c>
      <c r="Q267" s="13" t="s">
        <v>25</v>
      </c>
      <c r="R267" s="13" t="s">
        <v>26</v>
      </c>
      <c r="S267" s="13" t="s">
        <v>31</v>
      </c>
      <c r="T267" t="str">
        <f>VLOOKUP(B267,'[1]Plant data'!$A$1:$AB$315,2,0)</f>
        <v>Chrysobalanaceae</v>
      </c>
      <c r="U267" t="str">
        <f>VLOOKUP($B267,'[1]Plant data'!$A$1:$AB$315,3,0)</f>
        <v>NA</v>
      </c>
      <c r="V267" t="str">
        <f>VLOOKUP($B267,'[1]Plant data'!$A$1:$AB$315,4,0)</f>
        <v>NA</v>
      </c>
      <c r="W267" t="str">
        <f>VLOOKUP($B267,'[1]Plant data'!$A$1:$AB$315,5,0)</f>
        <v>YES</v>
      </c>
      <c r="X267" t="str">
        <f>VLOOKUP($B267,'[1]Plant data'!$A$1:$AB$315,6,0)</f>
        <v>NA</v>
      </c>
      <c r="Y267" t="str">
        <f>VLOOKUP($B267,'[1]Plant data'!$A$1:$AB$315,7,0)</f>
        <v>NA</v>
      </c>
      <c r="Z267" t="str">
        <f>VLOOKUP($B267,'[1]Plant data'!$A$1:$AB$315,8,0)</f>
        <v>NA</v>
      </c>
      <c r="AA267" t="str">
        <f>VLOOKUP($B267,'[1]Plant data'!$A$1:$AB$315,9,0)</f>
        <v>NA</v>
      </c>
      <c r="AB267" t="str">
        <f>VLOOKUP($B267,'[1]Plant data'!$A$1:$AB$315,10,0)</f>
        <v>NA</v>
      </c>
      <c r="AC267" t="str">
        <f>VLOOKUP($B267,'[1]Plant data'!$A$1:$AB$315,11,0)</f>
        <v>NA</v>
      </c>
      <c r="AD267" t="str">
        <f>VLOOKUP($B267,'[1]Plant data'!$A$1:$AB$315,12,0)</f>
        <v>NA</v>
      </c>
      <c r="AE267" t="str">
        <f>VLOOKUP($B267,'[1]Plant data'!$A$1:$AB$315,13,0)</f>
        <v>NA</v>
      </c>
      <c r="AF267" t="str">
        <f>VLOOKUP($B267,'[1]Plant data'!$A$1:$AB$315,14,0)</f>
        <v>NA</v>
      </c>
      <c r="AG267" t="str">
        <f>VLOOKUP($B267,'[1]Plant data'!$A$1:$AB$315,15,0)</f>
        <v>NA</v>
      </c>
      <c r="AH267" t="str">
        <f>VLOOKUP($B267,'[1]Plant data'!$A$1:$AB$315,16,0)</f>
        <v>NA</v>
      </c>
      <c r="AI267" t="str">
        <f>VLOOKUP($B267,'[1]Plant data'!$A$1:$AB$315,17,0)</f>
        <v>NA</v>
      </c>
      <c r="AJ267" t="str">
        <f>VLOOKUP($B267,'[1]Plant data'!$A$1:$AB$315,18,0)</f>
        <v>NA</v>
      </c>
      <c r="AK267" t="str">
        <f>VLOOKUP($B267,'[1]Plant data'!$A$1:$AB$315,19,0)</f>
        <v>NA</v>
      </c>
      <c r="AL267" t="str">
        <f>VLOOKUP($B267,'[1]Plant data'!$A$1:$AB$315,20,0)</f>
        <v>NA</v>
      </c>
      <c r="AM267" t="str">
        <f>VLOOKUP($B267,'[1]Plant data'!$A$1:$AB$315,21,0)</f>
        <v>NA</v>
      </c>
      <c r="AN267" t="str">
        <f>VLOOKUP($B267,'[1]Plant data'!$A$1:$AB$315,22,0)</f>
        <v>NA</v>
      </c>
      <c r="AO267" t="str">
        <f>VLOOKUP($B267,'[1]Plant data'!$A$1:$AB$315,23,0)</f>
        <v>NA</v>
      </c>
      <c r="AP267" t="str">
        <f>VLOOKUP($B267,'[1]Plant data'!$A$1:$AB$315,24,0)</f>
        <v>NA</v>
      </c>
      <c r="AQ267" t="str">
        <f>VLOOKUP($B267,'[1]Plant data'!$A$1:$AB$315,25,0)</f>
        <v>NA</v>
      </c>
      <c r="AR267" t="str">
        <f>VLOOKUP($B267,'[1]Plant data'!$A$1:$AB$315,26,0)</f>
        <v>NA</v>
      </c>
      <c r="AS267" t="str">
        <f>VLOOKUP($B267,'[1]Plant data'!$A$1:$AB$315,27,0)</f>
        <v>NA</v>
      </c>
      <c r="AT267" t="str">
        <f>VLOOKUP($B267,'[1]Plant data'!$A$1:$AB$315,28,0)</f>
        <v>NA</v>
      </c>
    </row>
    <row r="268" spans="1:46">
      <c r="A268" s="5" t="s">
        <v>124</v>
      </c>
      <c r="B268" s="40" t="s">
        <v>238</v>
      </c>
      <c r="C268" s="25">
        <v>2</v>
      </c>
      <c r="D268" s="25">
        <v>72</v>
      </c>
      <c r="E268" s="26">
        <f>C268/72</f>
        <v>2.7777777777777776E-2</v>
      </c>
      <c r="F268" s="25">
        <v>2</v>
      </c>
      <c r="G268" s="27">
        <f>F268/C268</f>
        <v>1</v>
      </c>
      <c r="H268" s="27"/>
      <c r="I268" s="8">
        <f>E268*G268</f>
        <v>2.7777777777777776E-2</v>
      </c>
      <c r="J268" s="25" t="s">
        <v>236</v>
      </c>
      <c r="K268" s="25" t="s">
        <v>237</v>
      </c>
      <c r="L268" t="s">
        <v>108</v>
      </c>
      <c r="M268" t="s">
        <v>109</v>
      </c>
      <c r="N268" s="11">
        <v>73.3</v>
      </c>
      <c r="O268" s="11">
        <v>17.52380952</v>
      </c>
      <c r="P268" t="s">
        <v>48</v>
      </c>
      <c r="Q268" t="s">
        <v>49</v>
      </c>
      <c r="R268" t="s">
        <v>26</v>
      </c>
      <c r="S268" t="s">
        <v>27</v>
      </c>
      <c r="T268" t="str">
        <f>VLOOKUP(B268,'[1]Plant data'!$A$1:$AB$315,2,0)</f>
        <v>Aquifoliaceae</v>
      </c>
      <c r="U268" t="str">
        <f>VLOOKUP($B268,'[1]Plant data'!$A$1:$AB$315,3,0)</f>
        <v>NA</v>
      </c>
      <c r="V268" t="str">
        <f>VLOOKUP($B268,'[1]Plant data'!$A$1:$AB$315,4,0)</f>
        <v>black</v>
      </c>
      <c r="W268" t="str">
        <f>VLOOKUP($B268,'[1]Plant data'!$A$1:$AB$315,5,0)</f>
        <v>YES</v>
      </c>
      <c r="X268">
        <f>VLOOKUP($B268,'[1]Plant data'!$A$1:$AB$315,6,0)</f>
        <v>3.145</v>
      </c>
      <c r="Y268">
        <f>VLOOKUP($B268,'[1]Plant data'!$A$1:$AB$315,7,0)</f>
        <v>3.86</v>
      </c>
      <c r="Z268">
        <f>VLOOKUP($B268,'[1]Plant data'!$A$1:$AB$315,8,0)</f>
        <v>1.7779999999999998</v>
      </c>
      <c r="AA268">
        <f>VLOOKUP($B268,'[1]Plant data'!$A$1:$AB$315,9,0)</f>
        <v>2.8553333333333337</v>
      </c>
      <c r="AB268">
        <f>VLOOKUP($B268,'[1]Plant data'!$A$1:$AB$315,10,0)</f>
        <v>4.8799999999999996E-2</v>
      </c>
      <c r="AC268" t="str">
        <f>VLOOKUP($B268,'[1]Plant data'!$A$1:$AB$315,11,0)</f>
        <v>NA</v>
      </c>
      <c r="AD268">
        <f>VLOOKUP($B268,'[1]Plant data'!$A$1:$AB$315,12,0)</f>
        <v>5.3900000000000007E-3</v>
      </c>
      <c r="AE268">
        <f>VLOOKUP($B268,'[1]Plant data'!$A$1:$AB$315,13,0)</f>
        <v>2.9100000000000004E-2</v>
      </c>
      <c r="AF268">
        <f>VLOOKUP($B268,'[1]Plant data'!$A$1:$AB$315,14,0)</f>
        <v>1.9699999999999999E-2</v>
      </c>
      <c r="AG268">
        <f>VLOOKUP($B268,'[1]Plant data'!$A$1:$AB$315,15,0)</f>
        <v>4.0999999999999996</v>
      </c>
      <c r="AH268" t="str">
        <f>VLOOKUP($B268,'[1]Plant data'!$A$1:$AB$315,16,0)</f>
        <v>NA</v>
      </c>
      <c r="AI268">
        <f>VLOOKUP($B268,'[1]Plant data'!$A$1:$AB$315,17,0)</f>
        <v>1.4771573604060917</v>
      </c>
      <c r="AJ268" t="str">
        <f>VLOOKUP($B268,'[1]Plant data'!$A$1:$AB$315,18,0)</f>
        <v>ATLANTIC, Clóvis Azambuja, unpubl., Erica&amp;Wesley</v>
      </c>
      <c r="AK268" t="str">
        <f>VLOOKUP($B268,'[1]Plant data'!$A$1:$AB$315,19,0)</f>
        <v>NA</v>
      </c>
      <c r="AL268" t="str">
        <f>VLOOKUP($B268,'[1]Plant data'!$A$1:$AB$315,20,0)</f>
        <v>NA</v>
      </c>
      <c r="AM268" t="str">
        <f>VLOOKUP($B268,'[1]Plant data'!$A$1:$AB$315,21,0)</f>
        <v>NA</v>
      </c>
      <c r="AN268" t="str">
        <f>VLOOKUP($B268,'[1]Plant data'!$A$1:$AB$315,22,0)</f>
        <v>NA</v>
      </c>
      <c r="AO268" t="str">
        <f>VLOOKUP($B268,'[1]Plant data'!$A$1:$AB$315,23,0)</f>
        <v>NA</v>
      </c>
      <c r="AP268" t="str">
        <f>VLOOKUP($B268,'[1]Plant data'!$A$1:$AB$315,24,0)</f>
        <v>NA</v>
      </c>
      <c r="AQ268" t="str">
        <f>VLOOKUP($B268,'[1]Plant data'!$A$1:$AB$315,25,0)</f>
        <v>NA</v>
      </c>
      <c r="AR268" t="str">
        <f>VLOOKUP($B268,'[1]Plant data'!$A$1:$AB$315,26,0)</f>
        <v>NA</v>
      </c>
      <c r="AS268" t="str">
        <f>VLOOKUP($B268,'[1]Plant data'!$A$1:$AB$315,27,0)</f>
        <v>NA</v>
      </c>
      <c r="AT268" t="str">
        <f>VLOOKUP($B268,'[1]Plant data'!$A$1:$AB$315,28,0)</f>
        <v>NA</v>
      </c>
    </row>
    <row r="269" spans="1:46">
      <c r="A269" s="5" t="s">
        <v>46</v>
      </c>
      <c r="B269" s="40" t="s">
        <v>238</v>
      </c>
      <c r="C269">
        <v>2</v>
      </c>
      <c r="D269" s="16">
        <v>72</v>
      </c>
      <c r="E269" s="26">
        <f>C269/72</f>
        <v>2.7777777777777776E-2</v>
      </c>
      <c r="F269">
        <v>3</v>
      </c>
      <c r="G269" s="27">
        <f>F269/C269</f>
        <v>1.5</v>
      </c>
      <c r="H269" s="27"/>
      <c r="I269" s="8">
        <f>E269*G269</f>
        <v>4.1666666666666664E-2</v>
      </c>
      <c r="J269" s="25" t="s">
        <v>236</v>
      </c>
      <c r="K269" s="25" t="s">
        <v>237</v>
      </c>
      <c r="L269" t="s">
        <v>22</v>
      </c>
      <c r="M269" t="s">
        <v>47</v>
      </c>
      <c r="N269" s="11">
        <v>54</v>
      </c>
      <c r="O269" s="11">
        <v>11.14875</v>
      </c>
      <c r="P269" t="s">
        <v>48</v>
      </c>
      <c r="Q269" t="s">
        <v>49</v>
      </c>
      <c r="R269" t="s">
        <v>26</v>
      </c>
      <c r="S269" t="s">
        <v>31</v>
      </c>
      <c r="T269" t="str">
        <f>VLOOKUP(B269,'[1]Plant data'!$A$1:$AB$315,2,0)</f>
        <v>Aquifoliaceae</v>
      </c>
      <c r="U269" t="str">
        <f>VLOOKUP($B269,'[1]Plant data'!$A$1:$AB$315,3,0)</f>
        <v>NA</v>
      </c>
      <c r="V269" t="str">
        <f>VLOOKUP($B269,'[1]Plant data'!$A$1:$AB$315,4,0)</f>
        <v>black</v>
      </c>
      <c r="W269" t="str">
        <f>VLOOKUP($B269,'[1]Plant data'!$A$1:$AB$315,5,0)</f>
        <v>YES</v>
      </c>
      <c r="X269">
        <f>VLOOKUP($B269,'[1]Plant data'!$A$1:$AB$315,6,0)</f>
        <v>3.145</v>
      </c>
      <c r="Y269">
        <f>VLOOKUP($B269,'[1]Plant data'!$A$1:$AB$315,7,0)</f>
        <v>3.86</v>
      </c>
      <c r="Z269">
        <f>VLOOKUP($B269,'[1]Plant data'!$A$1:$AB$315,8,0)</f>
        <v>1.7779999999999998</v>
      </c>
      <c r="AA269">
        <f>VLOOKUP($B269,'[1]Plant data'!$A$1:$AB$315,9,0)</f>
        <v>2.8553333333333337</v>
      </c>
      <c r="AB269">
        <f>VLOOKUP($B269,'[1]Plant data'!$A$1:$AB$315,10,0)</f>
        <v>4.8799999999999996E-2</v>
      </c>
      <c r="AC269" t="str">
        <f>VLOOKUP($B269,'[1]Plant data'!$A$1:$AB$315,11,0)</f>
        <v>NA</v>
      </c>
      <c r="AD269">
        <f>VLOOKUP($B269,'[1]Plant data'!$A$1:$AB$315,12,0)</f>
        <v>5.3900000000000007E-3</v>
      </c>
      <c r="AE269">
        <f>VLOOKUP($B269,'[1]Plant data'!$A$1:$AB$315,13,0)</f>
        <v>2.9100000000000004E-2</v>
      </c>
      <c r="AF269">
        <f>VLOOKUP($B269,'[1]Plant data'!$A$1:$AB$315,14,0)</f>
        <v>1.9699999999999999E-2</v>
      </c>
      <c r="AG269">
        <f>VLOOKUP($B269,'[1]Plant data'!$A$1:$AB$315,15,0)</f>
        <v>4.0999999999999996</v>
      </c>
      <c r="AH269" t="str">
        <f>VLOOKUP($B269,'[1]Plant data'!$A$1:$AB$315,16,0)</f>
        <v>NA</v>
      </c>
      <c r="AI269">
        <f>VLOOKUP($B269,'[1]Plant data'!$A$1:$AB$315,17,0)</f>
        <v>1.4771573604060917</v>
      </c>
      <c r="AJ269" t="str">
        <f>VLOOKUP($B269,'[1]Plant data'!$A$1:$AB$315,18,0)</f>
        <v>ATLANTIC, Clóvis Azambuja, unpubl., Erica&amp;Wesley</v>
      </c>
      <c r="AK269" t="str">
        <f>VLOOKUP($B269,'[1]Plant data'!$A$1:$AB$315,19,0)</f>
        <v>NA</v>
      </c>
      <c r="AL269" t="str">
        <f>VLOOKUP($B269,'[1]Plant data'!$A$1:$AB$315,20,0)</f>
        <v>NA</v>
      </c>
      <c r="AM269" t="str">
        <f>VLOOKUP($B269,'[1]Plant data'!$A$1:$AB$315,21,0)</f>
        <v>NA</v>
      </c>
      <c r="AN269" t="str">
        <f>VLOOKUP($B269,'[1]Plant data'!$A$1:$AB$315,22,0)</f>
        <v>NA</v>
      </c>
      <c r="AO269" t="str">
        <f>VLOOKUP($B269,'[1]Plant data'!$A$1:$AB$315,23,0)</f>
        <v>NA</v>
      </c>
      <c r="AP269" t="str">
        <f>VLOOKUP($B269,'[1]Plant data'!$A$1:$AB$315,24,0)</f>
        <v>NA</v>
      </c>
      <c r="AQ269" t="str">
        <f>VLOOKUP($B269,'[1]Plant data'!$A$1:$AB$315,25,0)</f>
        <v>NA</v>
      </c>
      <c r="AR269" t="str">
        <f>VLOOKUP($B269,'[1]Plant data'!$A$1:$AB$315,26,0)</f>
        <v>NA</v>
      </c>
      <c r="AS269" t="str">
        <f>VLOOKUP($B269,'[1]Plant data'!$A$1:$AB$315,27,0)</f>
        <v>NA</v>
      </c>
      <c r="AT269" t="str">
        <f>VLOOKUP($B269,'[1]Plant data'!$A$1:$AB$315,28,0)</f>
        <v>NA</v>
      </c>
    </row>
    <row r="270" spans="1:46">
      <c r="A270" s="5" t="s">
        <v>50</v>
      </c>
      <c r="B270" s="37" t="s">
        <v>238</v>
      </c>
      <c r="C270">
        <v>21</v>
      </c>
      <c r="D270" s="16">
        <v>72</v>
      </c>
      <c r="E270" s="26">
        <f>C270/72</f>
        <v>0.29166666666666669</v>
      </c>
      <c r="F270">
        <v>427</v>
      </c>
      <c r="G270" s="27">
        <f>F270/C270</f>
        <v>20.333333333333332</v>
      </c>
      <c r="H270" s="27"/>
      <c r="I270" s="8">
        <f>E270*G270</f>
        <v>5.9305555555555554</v>
      </c>
      <c r="J270" s="25" t="s">
        <v>236</v>
      </c>
      <c r="K270" s="25" t="s">
        <v>237</v>
      </c>
      <c r="L270" t="s">
        <v>22</v>
      </c>
      <c r="M270" t="s">
        <v>47</v>
      </c>
      <c r="N270" s="11">
        <v>69.5</v>
      </c>
      <c r="O270" s="11">
        <v>13.253214290000001</v>
      </c>
      <c r="P270" t="s">
        <v>48</v>
      </c>
      <c r="Q270" t="s">
        <v>25</v>
      </c>
      <c r="R270" t="s">
        <v>26</v>
      </c>
      <c r="S270" t="s">
        <v>31</v>
      </c>
      <c r="T270" t="str">
        <f>VLOOKUP(B270,'[1]Plant data'!$A$1:$AB$315,2,0)</f>
        <v>Aquifoliaceae</v>
      </c>
      <c r="U270" t="str">
        <f>VLOOKUP($B270,'[1]Plant data'!$A$1:$AB$315,3,0)</f>
        <v>NA</v>
      </c>
      <c r="V270" t="str">
        <f>VLOOKUP($B270,'[1]Plant data'!$A$1:$AB$315,4,0)</f>
        <v>black</v>
      </c>
      <c r="W270" t="str">
        <f>VLOOKUP($B270,'[1]Plant data'!$A$1:$AB$315,5,0)</f>
        <v>YES</v>
      </c>
      <c r="X270">
        <f>VLOOKUP($B270,'[1]Plant data'!$A$1:$AB$315,6,0)</f>
        <v>3.145</v>
      </c>
      <c r="Y270">
        <f>VLOOKUP($B270,'[1]Plant data'!$A$1:$AB$315,7,0)</f>
        <v>3.86</v>
      </c>
      <c r="Z270">
        <f>VLOOKUP($B270,'[1]Plant data'!$A$1:$AB$315,8,0)</f>
        <v>1.7779999999999998</v>
      </c>
      <c r="AA270">
        <f>VLOOKUP($B270,'[1]Plant data'!$A$1:$AB$315,9,0)</f>
        <v>2.8553333333333337</v>
      </c>
      <c r="AB270">
        <f>VLOOKUP($B270,'[1]Plant data'!$A$1:$AB$315,10,0)</f>
        <v>4.8799999999999996E-2</v>
      </c>
      <c r="AC270" t="str">
        <f>VLOOKUP($B270,'[1]Plant data'!$A$1:$AB$315,11,0)</f>
        <v>NA</v>
      </c>
      <c r="AD270">
        <f>VLOOKUP($B270,'[1]Plant data'!$A$1:$AB$315,12,0)</f>
        <v>5.3900000000000007E-3</v>
      </c>
      <c r="AE270">
        <f>VLOOKUP($B270,'[1]Plant data'!$A$1:$AB$315,13,0)</f>
        <v>2.9100000000000004E-2</v>
      </c>
      <c r="AF270">
        <f>VLOOKUP($B270,'[1]Plant data'!$A$1:$AB$315,14,0)</f>
        <v>1.9699999999999999E-2</v>
      </c>
      <c r="AG270">
        <f>VLOOKUP($B270,'[1]Plant data'!$A$1:$AB$315,15,0)</f>
        <v>4.0999999999999996</v>
      </c>
      <c r="AH270" t="str">
        <f>VLOOKUP($B270,'[1]Plant data'!$A$1:$AB$315,16,0)</f>
        <v>NA</v>
      </c>
      <c r="AI270">
        <f>VLOOKUP($B270,'[1]Plant data'!$A$1:$AB$315,17,0)</f>
        <v>1.4771573604060917</v>
      </c>
      <c r="AJ270" t="str">
        <f>VLOOKUP($B270,'[1]Plant data'!$A$1:$AB$315,18,0)</f>
        <v>ATLANTIC, Clóvis Azambuja, unpubl., Erica&amp;Wesley</v>
      </c>
      <c r="AK270" t="str">
        <f>VLOOKUP($B270,'[1]Plant data'!$A$1:$AB$315,19,0)</f>
        <v>NA</v>
      </c>
      <c r="AL270" t="str">
        <f>VLOOKUP($B270,'[1]Plant data'!$A$1:$AB$315,20,0)</f>
        <v>NA</v>
      </c>
      <c r="AM270" t="str">
        <f>VLOOKUP($B270,'[1]Plant data'!$A$1:$AB$315,21,0)</f>
        <v>NA</v>
      </c>
      <c r="AN270" t="str">
        <f>VLOOKUP($B270,'[1]Plant data'!$A$1:$AB$315,22,0)</f>
        <v>NA</v>
      </c>
      <c r="AO270" t="str">
        <f>VLOOKUP($B270,'[1]Plant data'!$A$1:$AB$315,23,0)</f>
        <v>NA</v>
      </c>
      <c r="AP270" t="str">
        <f>VLOOKUP($B270,'[1]Plant data'!$A$1:$AB$315,24,0)</f>
        <v>NA</v>
      </c>
      <c r="AQ270" t="str">
        <f>VLOOKUP($B270,'[1]Plant data'!$A$1:$AB$315,25,0)</f>
        <v>NA</v>
      </c>
      <c r="AR270" t="str">
        <f>VLOOKUP($B270,'[1]Plant data'!$A$1:$AB$315,26,0)</f>
        <v>NA</v>
      </c>
      <c r="AS270" t="str">
        <f>VLOOKUP($B270,'[1]Plant data'!$A$1:$AB$315,27,0)</f>
        <v>NA</v>
      </c>
      <c r="AT270" t="str">
        <f>VLOOKUP($B270,'[1]Plant data'!$A$1:$AB$315,28,0)</f>
        <v>NA</v>
      </c>
    </row>
    <row r="271" spans="1:46">
      <c r="A271" s="5" t="s">
        <v>43</v>
      </c>
      <c r="B271" s="37" t="s">
        <v>128</v>
      </c>
      <c r="C271">
        <v>77</v>
      </c>
      <c r="D271">
        <v>60</v>
      </c>
      <c r="E271" s="8">
        <f>C271/60</f>
        <v>1.2833333333333334</v>
      </c>
      <c r="F271">
        <v>389</v>
      </c>
      <c r="G271" s="9">
        <v>5.94</v>
      </c>
      <c r="H271" s="9"/>
      <c r="I271" s="8">
        <f>E271*G271</f>
        <v>7.6230000000000011</v>
      </c>
      <c r="J271" t="s">
        <v>126</v>
      </c>
      <c r="K271" t="s">
        <v>127</v>
      </c>
      <c r="L271" t="s">
        <v>22</v>
      </c>
      <c r="M271" t="s">
        <v>30</v>
      </c>
      <c r="N271" s="11">
        <v>32.5</v>
      </c>
      <c r="O271" s="11">
        <v>8.9205555560000001</v>
      </c>
      <c r="P271" t="s">
        <v>24</v>
      </c>
      <c r="Q271" t="s">
        <v>25</v>
      </c>
      <c r="R271" t="s">
        <v>26</v>
      </c>
      <c r="S271" t="s">
        <v>31</v>
      </c>
      <c r="T271" t="str">
        <f>VLOOKUP(B271,'[1]Plant data'!$A$1:$AB$315,2,0)</f>
        <v>Aquifoliaceae</v>
      </c>
      <c r="U271" t="str">
        <f>VLOOKUP($B271,'[1]Plant data'!$A$1:$AB$315,3,0)</f>
        <v>NA</v>
      </c>
      <c r="V271" t="str">
        <f>VLOOKUP($B271,'[1]Plant data'!$A$1:$AB$315,4,0)</f>
        <v>black</v>
      </c>
      <c r="W271" t="str">
        <f>VLOOKUP($B271,'[1]Plant data'!$A$1:$AB$315,5,0)</f>
        <v>YES</v>
      </c>
      <c r="X271">
        <f>VLOOKUP($B271,'[1]Plant data'!$A$1:$AB$315,6,0)</f>
        <v>7.9049999999999994</v>
      </c>
      <c r="Y271">
        <f>VLOOKUP($B271,'[1]Plant data'!$A$1:$AB$315,7,0)</f>
        <v>9.2249999999999996</v>
      </c>
      <c r="Z271">
        <f>VLOOKUP($B271,'[1]Plant data'!$A$1:$AB$315,8,0)</f>
        <v>2.7313333333333332</v>
      </c>
      <c r="AA271">
        <f>VLOOKUP($B271,'[1]Plant data'!$A$1:$AB$315,9,0)</f>
        <v>4.056</v>
      </c>
      <c r="AB271">
        <f>VLOOKUP($B271,'[1]Plant data'!$A$1:$AB$315,10,0)</f>
        <v>0.23</v>
      </c>
      <c r="AC271">
        <f>VLOOKUP($B271,'[1]Plant data'!$A$1:$AB$315,11,0)</f>
        <v>0.18</v>
      </c>
      <c r="AD271">
        <f>VLOOKUP($B271,'[1]Plant data'!$A$1:$AB$315,12,0)</f>
        <v>2.9020000000000001E-2</v>
      </c>
      <c r="AE271">
        <f>VLOOKUP($B271,'[1]Plant data'!$A$1:$AB$315,13,0)</f>
        <v>0.05</v>
      </c>
      <c r="AF271" t="str">
        <f>VLOOKUP($B271,'[1]Plant data'!$A$1:$AB$315,14,0)</f>
        <v>NA</v>
      </c>
      <c r="AG271">
        <f>VLOOKUP($B271,'[1]Plant data'!$A$1:$AB$315,15,0)</f>
        <v>3.7</v>
      </c>
      <c r="AH271" t="str">
        <f>VLOOKUP($B271,'[1]Plant data'!$A$1:$AB$315,16,0)</f>
        <v>NA</v>
      </c>
      <c r="AI271">
        <f>VLOOKUP($B271,'[1]Plant data'!$A$1:$AB$315,17,0)</f>
        <v>1</v>
      </c>
      <c r="AJ271" t="str">
        <f>VLOOKUP($B271,'[1]Plant data'!$A$1:$AB$315,18,0)</f>
        <v>ATLANTIC, Cazetta 2007, Clóvis Azambuja, unpubl.</v>
      </c>
      <c r="AK271" t="str">
        <f>VLOOKUP($B271,'[1]Plant data'!$A$1:$AB$315,19,0)</f>
        <v>NA</v>
      </c>
      <c r="AL271" t="str">
        <f>VLOOKUP($B271,'[1]Plant data'!$A$1:$AB$315,20,0)</f>
        <v>NA</v>
      </c>
      <c r="AM271" t="str">
        <f>VLOOKUP($B271,'[1]Plant data'!$A$1:$AB$315,21,0)</f>
        <v>NA</v>
      </c>
      <c r="AN271" t="str">
        <f>VLOOKUP($B271,'[1]Plant data'!$A$1:$AB$315,22,0)</f>
        <v>NA</v>
      </c>
      <c r="AO271" t="str">
        <f>VLOOKUP($B271,'[1]Plant data'!$A$1:$AB$315,23,0)</f>
        <v>NA</v>
      </c>
      <c r="AP271" t="str">
        <f>VLOOKUP($B271,'[1]Plant data'!$A$1:$AB$315,24,0)</f>
        <v>NA</v>
      </c>
      <c r="AQ271" t="str">
        <f>VLOOKUP($B271,'[1]Plant data'!$A$1:$AB$315,25,0)</f>
        <v>NA</v>
      </c>
      <c r="AR271" t="str">
        <f>VLOOKUP($B271,'[1]Plant data'!$A$1:$AB$315,26,0)</f>
        <v>NA</v>
      </c>
      <c r="AS271" t="str">
        <f>VLOOKUP($B271,'[1]Plant data'!$A$1:$AB$315,27,0)</f>
        <v>NA</v>
      </c>
      <c r="AT271" t="str">
        <f>VLOOKUP($B271,'[1]Plant data'!$A$1:$AB$315,28,0)</f>
        <v>NA</v>
      </c>
    </row>
    <row r="272" spans="1:46">
      <c r="A272" s="21" t="s">
        <v>50</v>
      </c>
      <c r="B272" s="60" t="s">
        <v>128</v>
      </c>
      <c r="C272" s="16">
        <v>64</v>
      </c>
      <c r="D272" s="25">
        <v>60</v>
      </c>
      <c r="E272" s="8">
        <f>C272/60</f>
        <v>1.0666666666666667</v>
      </c>
      <c r="F272" s="16">
        <v>622</v>
      </c>
      <c r="G272" s="19">
        <v>8.6300000000000008</v>
      </c>
      <c r="H272" s="19"/>
      <c r="I272" s="8">
        <f>E272*G272</f>
        <v>9.2053333333333338</v>
      </c>
      <c r="J272" s="16" t="s">
        <v>126</v>
      </c>
      <c r="K272" s="16" t="s">
        <v>127</v>
      </c>
      <c r="L272" s="16" t="s">
        <v>22</v>
      </c>
      <c r="M272" s="16" t="s">
        <v>47</v>
      </c>
      <c r="N272" s="17">
        <v>69.5</v>
      </c>
      <c r="O272" s="17">
        <v>13.253214290000001</v>
      </c>
      <c r="P272" s="16" t="s">
        <v>48</v>
      </c>
      <c r="Q272" s="16" t="s">
        <v>25</v>
      </c>
      <c r="R272" s="16" t="s">
        <v>26</v>
      </c>
      <c r="S272" s="16" t="s">
        <v>31</v>
      </c>
      <c r="T272" t="str">
        <f>VLOOKUP(B272,'[1]Plant data'!$A$1:$AB$315,2,0)</f>
        <v>Aquifoliaceae</v>
      </c>
      <c r="U272" t="str">
        <f>VLOOKUP($B272,'[1]Plant data'!$A$1:$AB$315,3,0)</f>
        <v>NA</v>
      </c>
      <c r="V272" t="str">
        <f>VLOOKUP($B272,'[1]Plant data'!$A$1:$AB$315,4,0)</f>
        <v>black</v>
      </c>
      <c r="W272" t="str">
        <f>VLOOKUP($B272,'[1]Plant data'!$A$1:$AB$315,5,0)</f>
        <v>YES</v>
      </c>
      <c r="X272">
        <f>VLOOKUP($B272,'[1]Plant data'!$A$1:$AB$315,6,0)</f>
        <v>7.9049999999999994</v>
      </c>
      <c r="Y272">
        <f>VLOOKUP($B272,'[1]Plant data'!$A$1:$AB$315,7,0)</f>
        <v>9.2249999999999996</v>
      </c>
      <c r="Z272">
        <f>VLOOKUP($B272,'[1]Plant data'!$A$1:$AB$315,8,0)</f>
        <v>2.7313333333333332</v>
      </c>
      <c r="AA272">
        <f>VLOOKUP($B272,'[1]Plant data'!$A$1:$AB$315,9,0)</f>
        <v>4.056</v>
      </c>
      <c r="AB272">
        <f>VLOOKUP($B272,'[1]Plant data'!$A$1:$AB$315,10,0)</f>
        <v>0.23</v>
      </c>
      <c r="AC272">
        <f>VLOOKUP($B272,'[1]Plant data'!$A$1:$AB$315,11,0)</f>
        <v>0.18</v>
      </c>
      <c r="AD272">
        <f>VLOOKUP($B272,'[1]Plant data'!$A$1:$AB$315,12,0)</f>
        <v>2.9020000000000001E-2</v>
      </c>
      <c r="AE272">
        <f>VLOOKUP($B272,'[1]Plant data'!$A$1:$AB$315,13,0)</f>
        <v>0.05</v>
      </c>
      <c r="AF272" t="str">
        <f>VLOOKUP($B272,'[1]Plant data'!$A$1:$AB$315,14,0)</f>
        <v>NA</v>
      </c>
      <c r="AG272">
        <f>VLOOKUP($B272,'[1]Plant data'!$A$1:$AB$315,15,0)</f>
        <v>3.7</v>
      </c>
      <c r="AH272" t="str">
        <f>VLOOKUP($B272,'[1]Plant data'!$A$1:$AB$315,16,0)</f>
        <v>NA</v>
      </c>
      <c r="AI272">
        <f>VLOOKUP($B272,'[1]Plant data'!$A$1:$AB$315,17,0)</f>
        <v>1</v>
      </c>
      <c r="AJ272" t="str">
        <f>VLOOKUP($B272,'[1]Plant data'!$A$1:$AB$315,18,0)</f>
        <v>ATLANTIC, Cazetta 2007, Clóvis Azambuja, unpubl.</v>
      </c>
      <c r="AK272" t="str">
        <f>VLOOKUP($B272,'[1]Plant data'!$A$1:$AB$315,19,0)</f>
        <v>NA</v>
      </c>
      <c r="AL272" t="str">
        <f>VLOOKUP($B272,'[1]Plant data'!$A$1:$AB$315,20,0)</f>
        <v>NA</v>
      </c>
      <c r="AM272" t="str">
        <f>VLOOKUP($B272,'[1]Plant data'!$A$1:$AB$315,21,0)</f>
        <v>NA</v>
      </c>
      <c r="AN272" t="str">
        <f>VLOOKUP($B272,'[1]Plant data'!$A$1:$AB$315,22,0)</f>
        <v>NA</v>
      </c>
      <c r="AO272" t="str">
        <f>VLOOKUP($B272,'[1]Plant data'!$A$1:$AB$315,23,0)</f>
        <v>NA</v>
      </c>
      <c r="AP272" t="str">
        <f>VLOOKUP($B272,'[1]Plant data'!$A$1:$AB$315,24,0)</f>
        <v>NA</v>
      </c>
      <c r="AQ272" t="str">
        <f>VLOOKUP($B272,'[1]Plant data'!$A$1:$AB$315,25,0)</f>
        <v>NA</v>
      </c>
      <c r="AR272" t="str">
        <f>VLOOKUP($B272,'[1]Plant data'!$A$1:$AB$315,26,0)</f>
        <v>NA</v>
      </c>
      <c r="AS272" t="str">
        <f>VLOOKUP($B272,'[1]Plant data'!$A$1:$AB$315,27,0)</f>
        <v>NA</v>
      </c>
      <c r="AT272" t="str">
        <f>VLOOKUP($B272,'[1]Plant data'!$A$1:$AB$315,28,0)</f>
        <v>NA</v>
      </c>
    </row>
    <row r="273" spans="1:46">
      <c r="A273" s="5" t="s">
        <v>70</v>
      </c>
      <c r="B273" s="40" t="s">
        <v>73</v>
      </c>
      <c r="C273">
        <v>1</v>
      </c>
      <c r="D273">
        <v>30</v>
      </c>
      <c r="E273" s="8">
        <f>1/30</f>
        <v>3.3333333333333333E-2</v>
      </c>
      <c r="F273" t="s">
        <v>19</v>
      </c>
      <c r="G273" s="9" t="s">
        <v>19</v>
      </c>
      <c r="H273" s="9"/>
      <c r="I273" s="8" t="s">
        <v>19</v>
      </c>
      <c r="J273" s="25" t="s">
        <v>67</v>
      </c>
      <c r="K273" s="25" t="s">
        <v>68</v>
      </c>
      <c r="L273" t="s">
        <v>22</v>
      </c>
      <c r="M273" t="s">
        <v>23</v>
      </c>
      <c r="N273" s="11">
        <v>15</v>
      </c>
      <c r="O273" s="11">
        <v>6.9235714289999999</v>
      </c>
      <c r="P273" t="s">
        <v>24</v>
      </c>
      <c r="Q273" t="s">
        <v>25</v>
      </c>
      <c r="R273" t="s">
        <v>26</v>
      </c>
      <c r="S273" t="s">
        <v>27</v>
      </c>
      <c r="T273" t="str">
        <f>VLOOKUP(B273,'[1]Plant data'!$A$1:$AB$315,2,0)</f>
        <v>Verbenaceae</v>
      </c>
      <c r="U273" t="str">
        <f>VLOOKUP($B273,'[1]Plant data'!$A$1:$AB$315,3,0)</f>
        <v>NA</v>
      </c>
      <c r="V273" t="str">
        <f>VLOOKUP($B273,'[1]Plant data'!$A$1:$AB$315,4,0)</f>
        <v>black</v>
      </c>
      <c r="W273" t="str">
        <f>VLOOKUP($B273,'[1]Plant data'!$A$1:$AB$315,5,0)</f>
        <v>YES</v>
      </c>
      <c r="X273">
        <f>VLOOKUP($B273,'[1]Plant data'!$A$1:$AB$315,6,0)</f>
        <v>5</v>
      </c>
      <c r="Y273">
        <f>VLOOKUP($B273,'[1]Plant data'!$A$1:$AB$315,7,0)</f>
        <v>4.4000000000000004</v>
      </c>
      <c r="Z273">
        <f>VLOOKUP($B273,'[1]Plant data'!$A$1:$AB$315,8,0)</f>
        <v>3</v>
      </c>
      <c r="AA273">
        <f>VLOOKUP($B273,'[1]Plant data'!$A$1:$AB$315,9,0)</f>
        <v>3.3</v>
      </c>
      <c r="AB273">
        <f>VLOOKUP($B273,'[1]Plant data'!$A$1:$AB$315,10,0)</f>
        <v>7.0999999999999994E-2</v>
      </c>
      <c r="AC273" t="str">
        <f>VLOOKUP($B273,'[1]Plant data'!$A$1:$AB$315,11,0)</f>
        <v>NA</v>
      </c>
      <c r="AD273">
        <f>VLOOKUP($B273,'[1]Plant data'!$A$1:$AB$315,12,0)</f>
        <v>7.0000000000000001E-3</v>
      </c>
      <c r="AE273" t="str">
        <f>VLOOKUP($B273,'[1]Plant data'!$A$1:$AB$315,13,0)</f>
        <v>NA</v>
      </c>
      <c r="AF273" t="str">
        <f>VLOOKUP($B273,'[1]Plant data'!$A$1:$AB$315,14,0)</f>
        <v>NA</v>
      </c>
      <c r="AG273">
        <f>VLOOKUP($B273,'[1]Plant data'!$A$1:$AB$315,15,0)</f>
        <v>1</v>
      </c>
      <c r="AH273" t="str">
        <f>VLOOKUP($B273,'[1]Plant data'!$A$1:$AB$315,16,0)</f>
        <v>NA</v>
      </c>
      <c r="AI273" t="str">
        <f>VLOOKUP($B273,'[1]Plant data'!$A$1:$AB$315,17,0)</f>
        <v>NA</v>
      </c>
      <c r="AJ273" t="str">
        <f>VLOOKUP($B273,'[1]Plant data'!$A$1:$AB$315,18,0)</f>
        <v>Angel-de-Oliveira 1999</v>
      </c>
      <c r="AK273" t="str">
        <f>VLOOKUP($B273,'[1]Plant data'!$A$1:$AB$315,19,0)</f>
        <v>NA</v>
      </c>
      <c r="AL273" t="str">
        <f>VLOOKUP($B273,'[1]Plant data'!$A$1:$AB$315,20,0)</f>
        <v>NA</v>
      </c>
      <c r="AM273" t="str">
        <f>VLOOKUP($B273,'[1]Plant data'!$A$1:$AB$315,21,0)</f>
        <v>NA</v>
      </c>
      <c r="AN273" t="str">
        <f>VLOOKUP($B273,'[1]Plant data'!$A$1:$AB$315,22,0)</f>
        <v>NA</v>
      </c>
      <c r="AO273" t="str">
        <f>VLOOKUP($B273,'[1]Plant data'!$A$1:$AB$315,23,0)</f>
        <v>NA</v>
      </c>
      <c r="AP273" t="str">
        <f>VLOOKUP($B273,'[1]Plant data'!$A$1:$AB$315,24,0)</f>
        <v>NA</v>
      </c>
      <c r="AQ273" t="str">
        <f>VLOOKUP($B273,'[1]Plant data'!$A$1:$AB$315,25,0)</f>
        <v>NA</v>
      </c>
      <c r="AR273" t="str">
        <f>VLOOKUP($B273,'[1]Plant data'!$A$1:$AB$315,26,0)</f>
        <v>NA</v>
      </c>
      <c r="AS273" t="str">
        <f>VLOOKUP($B273,'[1]Plant data'!$A$1:$AB$315,27,0)</f>
        <v>NA</v>
      </c>
      <c r="AT273" t="str">
        <f>VLOOKUP($B273,'[1]Plant data'!$A$1:$AB$315,28,0)</f>
        <v>NA</v>
      </c>
    </row>
    <row r="274" spans="1:46">
      <c r="A274" s="5" t="s">
        <v>46</v>
      </c>
      <c r="B274" s="40" t="s">
        <v>176</v>
      </c>
      <c r="C274">
        <v>2</v>
      </c>
      <c r="D274" s="7">
        <v>60</v>
      </c>
      <c r="E274" s="8">
        <f>C274/60</f>
        <v>3.3333333333333333E-2</v>
      </c>
      <c r="F274">
        <v>4</v>
      </c>
      <c r="G274" s="9">
        <f>F274/C274</f>
        <v>2</v>
      </c>
      <c r="H274" s="9"/>
      <c r="I274" s="8">
        <f>E274*G274</f>
        <v>6.6666666666666666E-2</v>
      </c>
      <c r="J274" s="24" t="s">
        <v>174</v>
      </c>
      <c r="K274" s="25" t="s">
        <v>175</v>
      </c>
      <c r="L274" t="s">
        <v>22</v>
      </c>
      <c r="M274" t="s">
        <v>47</v>
      </c>
      <c r="N274" s="11">
        <v>54</v>
      </c>
      <c r="O274" s="11">
        <v>11.14875</v>
      </c>
      <c r="P274" t="s">
        <v>48</v>
      </c>
      <c r="Q274" t="s">
        <v>49</v>
      </c>
      <c r="R274" t="s">
        <v>26</v>
      </c>
      <c r="S274" t="s">
        <v>31</v>
      </c>
      <c r="T274" t="str">
        <f>VLOOKUP(B274,'[1]Plant data'!$A$1:$AB$315,2,0)</f>
        <v>Melastomataceae</v>
      </c>
      <c r="U274" t="str">
        <f>VLOOKUP($B274,'[1]Plant data'!$A$1:$AB$315,3,0)</f>
        <v>Leandra sublanata</v>
      </c>
      <c r="V274" t="str">
        <f>VLOOKUP($B274,'[1]Plant data'!$A$1:$AB$315,4,0)</f>
        <v>black</v>
      </c>
      <c r="W274" t="str">
        <f>VLOOKUP($B274,'[1]Plant data'!$A$1:$AB$315,5,0)</f>
        <v>YES</v>
      </c>
      <c r="X274">
        <f>VLOOKUP($B274,'[1]Plant data'!$A$1:$AB$315,6,0)</f>
        <v>6.81</v>
      </c>
      <c r="Y274">
        <f>VLOOKUP($B274,'[1]Plant data'!$A$1:$AB$315,7,0)</f>
        <v>7.05</v>
      </c>
      <c r="Z274">
        <f>VLOOKUP($B274,'[1]Plant data'!$A$1:$AB$315,8,0)</f>
        <v>0.61</v>
      </c>
      <c r="AA274">
        <f>VLOOKUP($B274,'[1]Plant data'!$A$1:$AB$315,9,0)</f>
        <v>1.1399999999999999</v>
      </c>
      <c r="AB274">
        <f>VLOOKUP($B274,'[1]Plant data'!$A$1:$AB$315,10,0)</f>
        <v>0.188</v>
      </c>
      <c r="AC274" t="str">
        <f>VLOOKUP($B274,'[1]Plant data'!$A$1:$AB$315,11,0)</f>
        <v>NA</v>
      </c>
      <c r="AD274">
        <f>VLOOKUP($B274,'[1]Plant data'!$A$1:$AB$315,12,0)</f>
        <v>1E-3</v>
      </c>
      <c r="AE274" t="str">
        <f>VLOOKUP($B274,'[1]Plant data'!$A$1:$AB$315,13,0)</f>
        <v>NA</v>
      </c>
      <c r="AF274" t="str">
        <f>VLOOKUP($B274,'[1]Plant data'!$A$1:$AB$315,14,0)</f>
        <v>NA</v>
      </c>
      <c r="AG274">
        <f>VLOOKUP($B274,'[1]Plant data'!$A$1:$AB$315,15,0)</f>
        <v>160.19999999999999</v>
      </c>
      <c r="AH274" t="str">
        <f>VLOOKUP($B274,'[1]Plant data'!$A$1:$AB$315,16,0)</f>
        <v>NA</v>
      </c>
      <c r="AI274" t="str">
        <f>VLOOKUP($B274,'[1]Plant data'!$A$1:$AB$315,17,0)</f>
        <v>NA</v>
      </c>
      <c r="AJ274" t="str">
        <f>VLOOKUP($B274,'[1]Plant data'!$A$1:$AB$315,18,0)</f>
        <v>Gridi-Papp et al. 2004</v>
      </c>
      <c r="AK274" t="str">
        <f>VLOOKUP($B274,'[1]Plant data'!$A$1:$AB$315,19,0)</f>
        <v>NA</v>
      </c>
      <c r="AL274" t="str">
        <f>VLOOKUP($B274,'[1]Plant data'!$A$1:$AB$315,20,0)</f>
        <v>NA</v>
      </c>
      <c r="AM274" t="str">
        <f>VLOOKUP($B274,'[1]Plant data'!$A$1:$AB$315,21,0)</f>
        <v>NA</v>
      </c>
      <c r="AN274" t="str">
        <f>VLOOKUP($B274,'[1]Plant data'!$A$1:$AB$315,22,0)</f>
        <v>NA</v>
      </c>
      <c r="AO274" t="str">
        <f>VLOOKUP($B274,'[1]Plant data'!$A$1:$AB$315,23,0)</f>
        <v>NA</v>
      </c>
      <c r="AP274" t="str">
        <f>VLOOKUP($B274,'[1]Plant data'!$A$1:$AB$315,24,0)</f>
        <v>NA</v>
      </c>
      <c r="AQ274" t="str">
        <f>VLOOKUP($B274,'[1]Plant data'!$A$1:$AB$315,25,0)</f>
        <v>NA</v>
      </c>
      <c r="AR274" t="str">
        <f>VLOOKUP($B274,'[1]Plant data'!$A$1:$AB$315,26,0)</f>
        <v>NA</v>
      </c>
      <c r="AS274" t="str">
        <f>VLOOKUP($B274,'[1]Plant data'!$A$1:$AB$315,27,0)</f>
        <v>NA</v>
      </c>
      <c r="AT274" t="str">
        <f>VLOOKUP($B274,'[1]Plant data'!$A$1:$AB$315,28,0)</f>
        <v>NA</v>
      </c>
    </row>
    <row r="275" spans="1:46">
      <c r="A275" s="5" t="s">
        <v>28</v>
      </c>
      <c r="B275" s="37" t="s">
        <v>29</v>
      </c>
      <c r="C275" s="7">
        <v>17</v>
      </c>
      <c r="D275" s="7">
        <v>45</v>
      </c>
      <c r="E275" s="8">
        <f t="shared" ref="E275:E280" si="21">C275/D275</f>
        <v>0.37777777777777777</v>
      </c>
      <c r="F275" t="s">
        <v>19</v>
      </c>
      <c r="G275" s="9" t="s">
        <v>19</v>
      </c>
      <c r="H275" s="9"/>
      <c r="I275" s="8" t="s">
        <v>19</v>
      </c>
      <c r="J275" s="10" t="s">
        <v>20</v>
      </c>
      <c r="K275" t="s">
        <v>21</v>
      </c>
      <c r="L275" t="s">
        <v>22</v>
      </c>
      <c r="M275" t="s">
        <v>30</v>
      </c>
      <c r="N275" s="11">
        <v>18</v>
      </c>
      <c r="O275" s="11">
        <v>7.4188405800000004</v>
      </c>
      <c r="P275" t="s">
        <v>24</v>
      </c>
      <c r="Q275" s="13" t="s">
        <v>25</v>
      </c>
      <c r="R275" s="13" t="s">
        <v>26</v>
      </c>
      <c r="S275" s="13" t="s">
        <v>31</v>
      </c>
      <c r="T275" t="str">
        <f>VLOOKUP(B275,'[1]Plant data'!$A$1:$AB$315,2,0)</f>
        <v>Arecaceae</v>
      </c>
      <c r="U275" t="str">
        <f>VLOOKUP($B275,'[1]Plant data'!$A$1:$AB$315,3,0)</f>
        <v>NA</v>
      </c>
      <c r="V275" t="str">
        <f>VLOOKUP($B275,'[1]Plant data'!$A$1:$AB$315,4,0)</f>
        <v>green</v>
      </c>
      <c r="W275" t="str">
        <f>VLOOKUP($B275,'[1]Plant data'!$A$1:$AB$315,5,0)</f>
        <v>YES</v>
      </c>
      <c r="X275">
        <f>VLOOKUP($B275,'[1]Plant data'!$A$1:$AB$315,6,0)</f>
        <v>14.1</v>
      </c>
      <c r="Y275">
        <f>VLOOKUP($B275,'[1]Plant data'!$A$1:$AB$315,7,0)</f>
        <v>20.149999999999999</v>
      </c>
      <c r="Z275">
        <f>VLOOKUP($B275,'[1]Plant data'!$A$1:$AB$315,8,0)</f>
        <v>10</v>
      </c>
      <c r="AA275">
        <f>VLOOKUP($B275,'[1]Plant data'!$A$1:$AB$315,9,0)</f>
        <v>14</v>
      </c>
      <c r="AB275" t="str">
        <f>VLOOKUP($B275,'[1]Plant data'!$A$1:$AB$315,10,0)</f>
        <v>NA</v>
      </c>
      <c r="AC275" t="str">
        <f>VLOOKUP($B275,'[1]Plant data'!$A$1:$AB$315,11,0)</f>
        <v>NA</v>
      </c>
      <c r="AD275" t="str">
        <f>VLOOKUP($B275,'[1]Plant data'!$A$1:$AB$315,12,0)</f>
        <v>NA</v>
      </c>
      <c r="AE275" t="str">
        <f>VLOOKUP($B275,'[1]Plant data'!$A$1:$AB$315,13,0)</f>
        <v>NA</v>
      </c>
      <c r="AF275" t="str">
        <f>VLOOKUP($B275,'[1]Plant data'!$A$1:$AB$315,14,0)</f>
        <v>NA</v>
      </c>
      <c r="AG275">
        <f>VLOOKUP($B275,'[1]Plant data'!$A$1:$AB$315,15,0)</f>
        <v>1</v>
      </c>
      <c r="AH275" t="str">
        <f>VLOOKUP($B275,'[1]Plant data'!$A$1:$AB$315,16,0)</f>
        <v>NA</v>
      </c>
      <c r="AI275" t="str">
        <f>VLOOKUP($B275,'[1]Plant data'!$A$1:$AB$315,17,0)</f>
        <v>NA</v>
      </c>
      <c r="AJ275" t="str">
        <f>VLOOKUP($B275,'[1]Plant data'!$A$1:$AB$315,18,0)</f>
        <v>ATLANTIC, Alves 2008</v>
      </c>
      <c r="AK275" t="str">
        <f>VLOOKUP($B275,'[1]Plant data'!$A$1:$AB$315,19,0)</f>
        <v>NA</v>
      </c>
      <c r="AL275" t="str">
        <f>VLOOKUP($B275,'[1]Plant data'!$A$1:$AB$315,20,0)</f>
        <v>NA</v>
      </c>
      <c r="AM275" t="str">
        <f>VLOOKUP($B275,'[1]Plant data'!$A$1:$AB$315,21,0)</f>
        <v>NA</v>
      </c>
      <c r="AN275" t="str">
        <f>VLOOKUP($B275,'[1]Plant data'!$A$1:$AB$315,22,0)</f>
        <v>NA</v>
      </c>
      <c r="AO275" t="str">
        <f>VLOOKUP($B275,'[1]Plant data'!$A$1:$AB$315,23,0)</f>
        <v>NA</v>
      </c>
      <c r="AP275" t="str">
        <f>VLOOKUP($B275,'[1]Plant data'!$A$1:$AB$315,24,0)</f>
        <v>NA</v>
      </c>
      <c r="AQ275" t="str">
        <f>VLOOKUP($B275,'[1]Plant data'!$A$1:$AB$315,25,0)</f>
        <v>NA</v>
      </c>
      <c r="AR275" t="str">
        <f>VLOOKUP($B275,'[1]Plant data'!$A$1:$AB$315,26,0)</f>
        <v>NA</v>
      </c>
      <c r="AS275" t="str">
        <f>VLOOKUP($B275,'[1]Plant data'!$A$1:$AB$315,27,0)</f>
        <v>NA</v>
      </c>
      <c r="AT275" t="str">
        <f>VLOOKUP($B275,'[1]Plant data'!$A$1:$AB$315,28,0)</f>
        <v>NA</v>
      </c>
    </row>
    <row r="276" spans="1:46">
      <c r="A276" s="5" t="s">
        <v>41</v>
      </c>
      <c r="B276" s="37" t="s">
        <v>29</v>
      </c>
      <c r="C276" s="7">
        <v>13</v>
      </c>
      <c r="D276" s="7">
        <v>45</v>
      </c>
      <c r="E276" s="8">
        <f t="shared" si="21"/>
        <v>0.28888888888888886</v>
      </c>
      <c r="F276" t="s">
        <v>19</v>
      </c>
      <c r="G276" s="9" t="s">
        <v>19</v>
      </c>
      <c r="H276" s="9"/>
      <c r="I276" s="8" t="s">
        <v>19</v>
      </c>
      <c r="J276" s="10" t="s">
        <v>20</v>
      </c>
      <c r="K276" t="s">
        <v>21</v>
      </c>
      <c r="L276" t="s">
        <v>22</v>
      </c>
      <c r="M276" t="s">
        <v>30</v>
      </c>
      <c r="N276" s="11">
        <v>39</v>
      </c>
      <c r="O276" s="11">
        <v>8.2839869279999991</v>
      </c>
      <c r="P276" t="s">
        <v>24</v>
      </c>
      <c r="Q276" t="s">
        <v>25</v>
      </c>
      <c r="R276" t="s">
        <v>26</v>
      </c>
      <c r="S276" t="s">
        <v>31</v>
      </c>
      <c r="T276" t="str">
        <f>VLOOKUP(B276,'[1]Plant data'!$A$1:$AB$315,2,0)</f>
        <v>Arecaceae</v>
      </c>
      <c r="U276" t="str">
        <f>VLOOKUP($B276,'[1]Plant data'!$A$1:$AB$315,3,0)</f>
        <v>NA</v>
      </c>
      <c r="V276" t="str">
        <f>VLOOKUP($B276,'[1]Plant data'!$A$1:$AB$315,4,0)</f>
        <v>green</v>
      </c>
      <c r="W276" t="str">
        <f>VLOOKUP($B276,'[1]Plant data'!$A$1:$AB$315,5,0)</f>
        <v>YES</v>
      </c>
      <c r="X276">
        <f>VLOOKUP($B276,'[1]Plant data'!$A$1:$AB$315,6,0)</f>
        <v>14.1</v>
      </c>
      <c r="Y276">
        <f>VLOOKUP($B276,'[1]Plant data'!$A$1:$AB$315,7,0)</f>
        <v>20.149999999999999</v>
      </c>
      <c r="Z276">
        <f>VLOOKUP($B276,'[1]Plant data'!$A$1:$AB$315,8,0)</f>
        <v>10</v>
      </c>
      <c r="AA276">
        <f>VLOOKUP($B276,'[1]Plant data'!$A$1:$AB$315,9,0)</f>
        <v>14</v>
      </c>
      <c r="AB276" t="str">
        <f>VLOOKUP($B276,'[1]Plant data'!$A$1:$AB$315,10,0)</f>
        <v>NA</v>
      </c>
      <c r="AC276" t="str">
        <f>VLOOKUP($B276,'[1]Plant data'!$A$1:$AB$315,11,0)</f>
        <v>NA</v>
      </c>
      <c r="AD276" t="str">
        <f>VLOOKUP($B276,'[1]Plant data'!$A$1:$AB$315,12,0)</f>
        <v>NA</v>
      </c>
      <c r="AE276" t="str">
        <f>VLOOKUP($B276,'[1]Plant data'!$A$1:$AB$315,13,0)</f>
        <v>NA</v>
      </c>
      <c r="AF276" t="str">
        <f>VLOOKUP($B276,'[1]Plant data'!$A$1:$AB$315,14,0)</f>
        <v>NA</v>
      </c>
      <c r="AG276">
        <f>VLOOKUP($B276,'[1]Plant data'!$A$1:$AB$315,15,0)</f>
        <v>1</v>
      </c>
      <c r="AH276" t="str">
        <f>VLOOKUP($B276,'[1]Plant data'!$A$1:$AB$315,16,0)</f>
        <v>NA</v>
      </c>
      <c r="AI276" t="str">
        <f>VLOOKUP($B276,'[1]Plant data'!$A$1:$AB$315,17,0)</f>
        <v>NA</v>
      </c>
      <c r="AJ276" t="str">
        <f>VLOOKUP($B276,'[1]Plant data'!$A$1:$AB$315,18,0)</f>
        <v>ATLANTIC, Alves 2008</v>
      </c>
      <c r="AK276" t="str">
        <f>VLOOKUP($B276,'[1]Plant data'!$A$1:$AB$315,19,0)</f>
        <v>NA</v>
      </c>
      <c r="AL276" t="str">
        <f>VLOOKUP($B276,'[1]Plant data'!$A$1:$AB$315,20,0)</f>
        <v>NA</v>
      </c>
      <c r="AM276" t="str">
        <f>VLOOKUP($B276,'[1]Plant data'!$A$1:$AB$315,21,0)</f>
        <v>NA</v>
      </c>
      <c r="AN276" t="str">
        <f>VLOOKUP($B276,'[1]Plant data'!$A$1:$AB$315,22,0)</f>
        <v>NA</v>
      </c>
      <c r="AO276" t="str">
        <f>VLOOKUP($B276,'[1]Plant data'!$A$1:$AB$315,23,0)</f>
        <v>NA</v>
      </c>
      <c r="AP276" t="str">
        <f>VLOOKUP($B276,'[1]Plant data'!$A$1:$AB$315,24,0)</f>
        <v>NA</v>
      </c>
      <c r="AQ276" t="str">
        <f>VLOOKUP($B276,'[1]Plant data'!$A$1:$AB$315,25,0)</f>
        <v>NA</v>
      </c>
      <c r="AR276" t="str">
        <f>VLOOKUP($B276,'[1]Plant data'!$A$1:$AB$315,26,0)</f>
        <v>NA</v>
      </c>
      <c r="AS276" t="str">
        <f>VLOOKUP($B276,'[1]Plant data'!$A$1:$AB$315,27,0)</f>
        <v>NA</v>
      </c>
      <c r="AT276" t="str">
        <f>VLOOKUP($B276,'[1]Plant data'!$A$1:$AB$315,28,0)</f>
        <v>NA</v>
      </c>
    </row>
    <row r="277" spans="1:46">
      <c r="A277" s="5" t="s">
        <v>43</v>
      </c>
      <c r="B277" s="37" t="s">
        <v>29</v>
      </c>
      <c r="C277" s="7">
        <v>13</v>
      </c>
      <c r="D277" s="7">
        <v>45</v>
      </c>
      <c r="E277" s="8">
        <f t="shared" si="21"/>
        <v>0.28888888888888886</v>
      </c>
      <c r="F277" t="s">
        <v>19</v>
      </c>
      <c r="G277" s="9" t="s">
        <v>19</v>
      </c>
      <c r="H277" s="9"/>
      <c r="I277" s="8" t="s">
        <v>19</v>
      </c>
      <c r="J277" s="10" t="s">
        <v>20</v>
      </c>
      <c r="K277" t="s">
        <v>21</v>
      </c>
      <c r="L277" t="s">
        <v>22</v>
      </c>
      <c r="M277" t="s">
        <v>30</v>
      </c>
      <c r="N277" s="11">
        <v>32.5</v>
      </c>
      <c r="O277" s="11">
        <v>8.9205555560000001</v>
      </c>
      <c r="P277" t="s">
        <v>24</v>
      </c>
      <c r="Q277" t="s">
        <v>25</v>
      </c>
      <c r="R277" t="s">
        <v>26</v>
      </c>
      <c r="S277" t="s">
        <v>31</v>
      </c>
      <c r="T277" t="str">
        <f>VLOOKUP(B277,'[1]Plant data'!$A$1:$AB$315,2,0)</f>
        <v>Arecaceae</v>
      </c>
      <c r="U277" t="str">
        <f>VLOOKUP($B277,'[1]Plant data'!$A$1:$AB$315,3,0)</f>
        <v>NA</v>
      </c>
      <c r="V277" t="str">
        <f>VLOOKUP($B277,'[1]Plant data'!$A$1:$AB$315,4,0)</f>
        <v>green</v>
      </c>
      <c r="W277" t="str">
        <f>VLOOKUP($B277,'[1]Plant data'!$A$1:$AB$315,5,0)</f>
        <v>YES</v>
      </c>
      <c r="X277">
        <f>VLOOKUP($B277,'[1]Plant data'!$A$1:$AB$315,6,0)</f>
        <v>14.1</v>
      </c>
      <c r="Y277">
        <f>VLOOKUP($B277,'[1]Plant data'!$A$1:$AB$315,7,0)</f>
        <v>20.149999999999999</v>
      </c>
      <c r="Z277">
        <f>VLOOKUP($B277,'[1]Plant data'!$A$1:$AB$315,8,0)</f>
        <v>10</v>
      </c>
      <c r="AA277">
        <f>VLOOKUP($B277,'[1]Plant data'!$A$1:$AB$315,9,0)</f>
        <v>14</v>
      </c>
      <c r="AB277" t="str">
        <f>VLOOKUP($B277,'[1]Plant data'!$A$1:$AB$315,10,0)</f>
        <v>NA</v>
      </c>
      <c r="AC277" t="str">
        <f>VLOOKUP($B277,'[1]Plant data'!$A$1:$AB$315,11,0)</f>
        <v>NA</v>
      </c>
      <c r="AD277" t="str">
        <f>VLOOKUP($B277,'[1]Plant data'!$A$1:$AB$315,12,0)</f>
        <v>NA</v>
      </c>
      <c r="AE277" t="str">
        <f>VLOOKUP($B277,'[1]Plant data'!$A$1:$AB$315,13,0)</f>
        <v>NA</v>
      </c>
      <c r="AF277" t="str">
        <f>VLOOKUP($B277,'[1]Plant data'!$A$1:$AB$315,14,0)</f>
        <v>NA</v>
      </c>
      <c r="AG277">
        <f>VLOOKUP($B277,'[1]Plant data'!$A$1:$AB$315,15,0)</f>
        <v>1</v>
      </c>
      <c r="AH277" t="str">
        <f>VLOOKUP($B277,'[1]Plant data'!$A$1:$AB$315,16,0)</f>
        <v>NA</v>
      </c>
      <c r="AI277" t="str">
        <f>VLOOKUP($B277,'[1]Plant data'!$A$1:$AB$315,17,0)</f>
        <v>NA</v>
      </c>
      <c r="AJ277" t="str">
        <f>VLOOKUP($B277,'[1]Plant data'!$A$1:$AB$315,18,0)</f>
        <v>ATLANTIC, Alves 2008</v>
      </c>
      <c r="AK277" t="str">
        <f>VLOOKUP($B277,'[1]Plant data'!$A$1:$AB$315,19,0)</f>
        <v>NA</v>
      </c>
      <c r="AL277" t="str">
        <f>VLOOKUP($B277,'[1]Plant data'!$A$1:$AB$315,20,0)</f>
        <v>NA</v>
      </c>
      <c r="AM277" t="str">
        <f>VLOOKUP($B277,'[1]Plant data'!$A$1:$AB$315,21,0)</f>
        <v>NA</v>
      </c>
      <c r="AN277" t="str">
        <f>VLOOKUP($B277,'[1]Plant data'!$A$1:$AB$315,22,0)</f>
        <v>NA</v>
      </c>
      <c r="AO277" t="str">
        <f>VLOOKUP($B277,'[1]Plant data'!$A$1:$AB$315,23,0)</f>
        <v>NA</v>
      </c>
      <c r="AP277" t="str">
        <f>VLOOKUP($B277,'[1]Plant data'!$A$1:$AB$315,24,0)</f>
        <v>NA</v>
      </c>
      <c r="AQ277" t="str">
        <f>VLOOKUP($B277,'[1]Plant data'!$A$1:$AB$315,25,0)</f>
        <v>NA</v>
      </c>
      <c r="AR277" t="str">
        <f>VLOOKUP($B277,'[1]Plant data'!$A$1:$AB$315,26,0)</f>
        <v>NA</v>
      </c>
      <c r="AS277" t="str">
        <f>VLOOKUP($B277,'[1]Plant data'!$A$1:$AB$315,27,0)</f>
        <v>NA</v>
      </c>
      <c r="AT277" t="str">
        <f>VLOOKUP($B277,'[1]Plant data'!$A$1:$AB$315,28,0)</f>
        <v>NA</v>
      </c>
    </row>
    <row r="278" spans="1:46">
      <c r="A278" s="5" t="s">
        <v>46</v>
      </c>
      <c r="B278" s="37" t="s">
        <v>29</v>
      </c>
      <c r="C278" s="7">
        <v>83</v>
      </c>
      <c r="D278" s="7">
        <v>45</v>
      </c>
      <c r="E278" s="8">
        <f t="shared" si="21"/>
        <v>1.8444444444444446</v>
      </c>
      <c r="F278" t="s">
        <v>19</v>
      </c>
      <c r="G278" s="9" t="s">
        <v>19</v>
      </c>
      <c r="H278" s="9"/>
      <c r="I278" s="8" t="s">
        <v>19</v>
      </c>
      <c r="J278" s="10" t="s">
        <v>20</v>
      </c>
      <c r="K278" t="s">
        <v>21</v>
      </c>
      <c r="L278" t="s">
        <v>22</v>
      </c>
      <c r="M278" t="s">
        <v>47</v>
      </c>
      <c r="N278" s="11">
        <v>54</v>
      </c>
      <c r="O278" s="11">
        <v>11.14875</v>
      </c>
      <c r="P278" t="s">
        <v>48</v>
      </c>
      <c r="Q278" t="s">
        <v>49</v>
      </c>
      <c r="R278" t="s">
        <v>26</v>
      </c>
      <c r="S278" t="s">
        <v>31</v>
      </c>
      <c r="T278" t="str">
        <f>VLOOKUP(B278,'[1]Plant data'!$A$1:$AB$315,2,0)</f>
        <v>Arecaceae</v>
      </c>
      <c r="U278" t="str">
        <f>VLOOKUP($B278,'[1]Plant data'!$A$1:$AB$315,3,0)</f>
        <v>NA</v>
      </c>
      <c r="V278" t="str">
        <f>VLOOKUP($B278,'[1]Plant data'!$A$1:$AB$315,4,0)</f>
        <v>green</v>
      </c>
      <c r="W278" t="str">
        <f>VLOOKUP($B278,'[1]Plant data'!$A$1:$AB$315,5,0)</f>
        <v>YES</v>
      </c>
      <c r="X278">
        <f>VLOOKUP($B278,'[1]Plant data'!$A$1:$AB$315,6,0)</f>
        <v>14.1</v>
      </c>
      <c r="Y278">
        <f>VLOOKUP($B278,'[1]Plant data'!$A$1:$AB$315,7,0)</f>
        <v>20.149999999999999</v>
      </c>
      <c r="Z278">
        <f>VLOOKUP($B278,'[1]Plant data'!$A$1:$AB$315,8,0)</f>
        <v>10</v>
      </c>
      <c r="AA278">
        <f>VLOOKUP($B278,'[1]Plant data'!$A$1:$AB$315,9,0)</f>
        <v>14</v>
      </c>
      <c r="AB278" t="str">
        <f>VLOOKUP($B278,'[1]Plant data'!$A$1:$AB$315,10,0)</f>
        <v>NA</v>
      </c>
      <c r="AC278" t="str">
        <f>VLOOKUP($B278,'[1]Plant data'!$A$1:$AB$315,11,0)</f>
        <v>NA</v>
      </c>
      <c r="AD278" t="str">
        <f>VLOOKUP($B278,'[1]Plant data'!$A$1:$AB$315,12,0)</f>
        <v>NA</v>
      </c>
      <c r="AE278" t="str">
        <f>VLOOKUP($B278,'[1]Plant data'!$A$1:$AB$315,13,0)</f>
        <v>NA</v>
      </c>
      <c r="AF278" t="str">
        <f>VLOOKUP($B278,'[1]Plant data'!$A$1:$AB$315,14,0)</f>
        <v>NA</v>
      </c>
      <c r="AG278">
        <f>VLOOKUP($B278,'[1]Plant data'!$A$1:$AB$315,15,0)</f>
        <v>1</v>
      </c>
      <c r="AH278" t="str">
        <f>VLOOKUP($B278,'[1]Plant data'!$A$1:$AB$315,16,0)</f>
        <v>NA</v>
      </c>
      <c r="AI278" t="str">
        <f>VLOOKUP($B278,'[1]Plant data'!$A$1:$AB$315,17,0)</f>
        <v>NA</v>
      </c>
      <c r="AJ278" t="str">
        <f>VLOOKUP($B278,'[1]Plant data'!$A$1:$AB$315,18,0)</f>
        <v>ATLANTIC, Alves 2008</v>
      </c>
      <c r="AK278" t="str">
        <f>VLOOKUP($B278,'[1]Plant data'!$A$1:$AB$315,19,0)</f>
        <v>NA</v>
      </c>
      <c r="AL278" t="str">
        <f>VLOOKUP($B278,'[1]Plant data'!$A$1:$AB$315,20,0)</f>
        <v>NA</v>
      </c>
      <c r="AM278" t="str">
        <f>VLOOKUP($B278,'[1]Plant data'!$A$1:$AB$315,21,0)</f>
        <v>NA</v>
      </c>
      <c r="AN278" t="str">
        <f>VLOOKUP($B278,'[1]Plant data'!$A$1:$AB$315,22,0)</f>
        <v>NA</v>
      </c>
      <c r="AO278" t="str">
        <f>VLOOKUP($B278,'[1]Plant data'!$A$1:$AB$315,23,0)</f>
        <v>NA</v>
      </c>
      <c r="AP278" t="str">
        <f>VLOOKUP($B278,'[1]Plant data'!$A$1:$AB$315,24,0)</f>
        <v>NA</v>
      </c>
      <c r="AQ278" t="str">
        <f>VLOOKUP($B278,'[1]Plant data'!$A$1:$AB$315,25,0)</f>
        <v>NA</v>
      </c>
      <c r="AR278" t="str">
        <f>VLOOKUP($B278,'[1]Plant data'!$A$1:$AB$315,26,0)</f>
        <v>NA</v>
      </c>
      <c r="AS278" t="str">
        <f>VLOOKUP($B278,'[1]Plant data'!$A$1:$AB$315,27,0)</f>
        <v>NA</v>
      </c>
      <c r="AT278" t="str">
        <f>VLOOKUP($B278,'[1]Plant data'!$A$1:$AB$315,28,0)</f>
        <v>NA</v>
      </c>
    </row>
    <row r="279" spans="1:46">
      <c r="A279" s="5" t="s">
        <v>50</v>
      </c>
      <c r="B279" s="37" t="s">
        <v>29</v>
      </c>
      <c r="C279" s="7">
        <v>24</v>
      </c>
      <c r="D279" s="7">
        <v>45</v>
      </c>
      <c r="E279" s="8">
        <f t="shared" si="21"/>
        <v>0.53333333333333333</v>
      </c>
      <c r="F279" t="s">
        <v>19</v>
      </c>
      <c r="G279" s="9" t="s">
        <v>19</v>
      </c>
      <c r="H279" s="9"/>
      <c r="I279" s="8" t="s">
        <v>19</v>
      </c>
      <c r="J279" s="10" t="s">
        <v>20</v>
      </c>
      <c r="K279" t="s">
        <v>21</v>
      </c>
      <c r="L279" s="16" t="s">
        <v>22</v>
      </c>
      <c r="M279" s="16" t="s">
        <v>47</v>
      </c>
      <c r="N279" s="17">
        <v>69.5</v>
      </c>
      <c r="O279" s="17">
        <v>13.253214290000001</v>
      </c>
      <c r="P279" s="16" t="s">
        <v>48</v>
      </c>
      <c r="Q279" s="16" t="s">
        <v>25</v>
      </c>
      <c r="R279" s="16" t="s">
        <v>26</v>
      </c>
      <c r="S279" s="16" t="s">
        <v>31</v>
      </c>
      <c r="T279" t="str">
        <f>VLOOKUP(B279,'[1]Plant data'!$A$1:$AB$315,2,0)</f>
        <v>Arecaceae</v>
      </c>
      <c r="U279" t="str">
        <f>VLOOKUP($B279,'[1]Plant data'!$A$1:$AB$315,3,0)</f>
        <v>NA</v>
      </c>
      <c r="V279" t="str">
        <f>VLOOKUP($B279,'[1]Plant data'!$A$1:$AB$315,4,0)</f>
        <v>green</v>
      </c>
      <c r="W279" t="str">
        <f>VLOOKUP($B279,'[1]Plant data'!$A$1:$AB$315,5,0)</f>
        <v>YES</v>
      </c>
      <c r="X279">
        <f>VLOOKUP($B279,'[1]Plant data'!$A$1:$AB$315,6,0)</f>
        <v>14.1</v>
      </c>
      <c r="Y279">
        <f>VLOOKUP($B279,'[1]Plant data'!$A$1:$AB$315,7,0)</f>
        <v>20.149999999999999</v>
      </c>
      <c r="Z279">
        <f>VLOOKUP($B279,'[1]Plant data'!$A$1:$AB$315,8,0)</f>
        <v>10</v>
      </c>
      <c r="AA279">
        <f>VLOOKUP($B279,'[1]Plant data'!$A$1:$AB$315,9,0)</f>
        <v>14</v>
      </c>
      <c r="AB279" t="str">
        <f>VLOOKUP($B279,'[1]Plant data'!$A$1:$AB$315,10,0)</f>
        <v>NA</v>
      </c>
      <c r="AC279" t="str">
        <f>VLOOKUP($B279,'[1]Plant data'!$A$1:$AB$315,11,0)</f>
        <v>NA</v>
      </c>
      <c r="AD279" t="str">
        <f>VLOOKUP($B279,'[1]Plant data'!$A$1:$AB$315,12,0)</f>
        <v>NA</v>
      </c>
      <c r="AE279" t="str">
        <f>VLOOKUP($B279,'[1]Plant data'!$A$1:$AB$315,13,0)</f>
        <v>NA</v>
      </c>
      <c r="AF279" t="str">
        <f>VLOOKUP($B279,'[1]Plant data'!$A$1:$AB$315,14,0)</f>
        <v>NA</v>
      </c>
      <c r="AG279">
        <f>VLOOKUP($B279,'[1]Plant data'!$A$1:$AB$315,15,0)</f>
        <v>1</v>
      </c>
      <c r="AH279" t="str">
        <f>VLOOKUP($B279,'[1]Plant data'!$A$1:$AB$315,16,0)</f>
        <v>NA</v>
      </c>
      <c r="AI279" t="str">
        <f>VLOOKUP($B279,'[1]Plant data'!$A$1:$AB$315,17,0)</f>
        <v>NA</v>
      </c>
      <c r="AJ279" t="str">
        <f>VLOOKUP($B279,'[1]Plant data'!$A$1:$AB$315,18,0)</f>
        <v>ATLANTIC, Alves 2008</v>
      </c>
      <c r="AK279" t="str">
        <f>VLOOKUP($B279,'[1]Plant data'!$A$1:$AB$315,19,0)</f>
        <v>NA</v>
      </c>
      <c r="AL279" t="str">
        <f>VLOOKUP($B279,'[1]Plant data'!$A$1:$AB$315,20,0)</f>
        <v>NA</v>
      </c>
      <c r="AM279" t="str">
        <f>VLOOKUP($B279,'[1]Plant data'!$A$1:$AB$315,21,0)</f>
        <v>NA</v>
      </c>
      <c r="AN279" t="str">
        <f>VLOOKUP($B279,'[1]Plant data'!$A$1:$AB$315,22,0)</f>
        <v>NA</v>
      </c>
      <c r="AO279" t="str">
        <f>VLOOKUP($B279,'[1]Plant data'!$A$1:$AB$315,23,0)</f>
        <v>NA</v>
      </c>
      <c r="AP279" t="str">
        <f>VLOOKUP($B279,'[1]Plant data'!$A$1:$AB$315,24,0)</f>
        <v>NA</v>
      </c>
      <c r="AQ279" t="str">
        <f>VLOOKUP($B279,'[1]Plant data'!$A$1:$AB$315,25,0)</f>
        <v>NA</v>
      </c>
      <c r="AR279" t="str">
        <f>VLOOKUP($B279,'[1]Plant data'!$A$1:$AB$315,26,0)</f>
        <v>NA</v>
      </c>
      <c r="AS279" t="str">
        <f>VLOOKUP($B279,'[1]Plant data'!$A$1:$AB$315,27,0)</f>
        <v>NA</v>
      </c>
      <c r="AT279" t="str">
        <f>VLOOKUP($B279,'[1]Plant data'!$A$1:$AB$315,28,0)</f>
        <v>NA</v>
      </c>
    </row>
    <row r="280" spans="1:46">
      <c r="A280" s="18" t="s">
        <v>28</v>
      </c>
      <c r="B280" s="39" t="s">
        <v>118</v>
      </c>
      <c r="C280" s="7">
        <v>18</v>
      </c>
      <c r="D280" s="7">
        <v>43</v>
      </c>
      <c r="E280" s="8">
        <f t="shared" si="21"/>
        <v>0.41860465116279072</v>
      </c>
      <c r="F280" s="9">
        <v>36</v>
      </c>
      <c r="G280" s="9">
        <f>F280/C280</f>
        <v>2</v>
      </c>
      <c r="H280" s="9"/>
      <c r="I280" s="8">
        <f>E280*G280</f>
        <v>0.83720930232558144</v>
      </c>
      <c r="J280" t="s">
        <v>119</v>
      </c>
      <c r="K280" t="s">
        <v>120</v>
      </c>
      <c r="L280" t="s">
        <v>22</v>
      </c>
      <c r="M280" t="s">
        <v>30</v>
      </c>
      <c r="N280" s="11">
        <v>18</v>
      </c>
      <c r="O280" s="11">
        <v>7.4188405800000004</v>
      </c>
      <c r="P280" t="s">
        <v>24</v>
      </c>
      <c r="Q280" s="13" t="s">
        <v>25</v>
      </c>
      <c r="R280" s="13" t="s">
        <v>26</v>
      </c>
      <c r="S280" s="13" t="s">
        <v>31</v>
      </c>
      <c r="T280" t="str">
        <f>VLOOKUP(B280,'[1]Plant data'!$A$1:$AB$315,2,0)</f>
        <v>Magnoliaceae</v>
      </c>
      <c r="U280" t="str">
        <f>VLOOKUP($B280,'[1]Plant data'!$A$1:$AB$315,3,0)</f>
        <v>Talauma ovata</v>
      </c>
      <c r="V280" t="str">
        <f>VLOOKUP($B280,'[1]Plant data'!$A$1:$AB$315,4,0)</f>
        <v>red</v>
      </c>
      <c r="W280" t="str">
        <f>VLOOKUP($B280,'[1]Plant data'!$A$1:$AB$315,5,0)</f>
        <v>YES</v>
      </c>
      <c r="X280">
        <f>VLOOKUP($B280,'[1]Plant data'!$A$1:$AB$315,6,0)</f>
        <v>10.39</v>
      </c>
      <c r="Y280">
        <f>VLOOKUP($B280,'[1]Plant data'!$A$1:$AB$315,7,0)</f>
        <v>12.803333333333333</v>
      </c>
      <c r="Z280">
        <f>VLOOKUP($B280,'[1]Plant data'!$A$1:$AB$315,8,0)</f>
        <v>8.7100000000000009</v>
      </c>
      <c r="AA280">
        <f>VLOOKUP($B280,'[1]Plant data'!$A$1:$AB$315,9,0)</f>
        <v>11.563333333333333</v>
      </c>
      <c r="AB280">
        <f>VLOOKUP($B280,'[1]Plant data'!$A$1:$AB$315,10,0)</f>
        <v>0.52190000000000003</v>
      </c>
      <c r="AC280" t="str">
        <f>VLOOKUP($B280,'[1]Plant data'!$A$1:$AB$315,11,0)</f>
        <v>NA</v>
      </c>
      <c r="AD280">
        <f>VLOOKUP($B280,'[1]Plant data'!$A$1:$AB$315,12,0)</f>
        <v>0.23940000000000003</v>
      </c>
      <c r="AE280">
        <f>VLOOKUP($B280,'[1]Plant data'!$A$1:$AB$315,13,0)</f>
        <v>0.26500000000000001</v>
      </c>
      <c r="AF280">
        <f>VLOOKUP($B280,'[1]Plant data'!$A$1:$AB$315,14,0)</f>
        <v>0.27880000000000005</v>
      </c>
      <c r="AG280">
        <f>VLOOKUP($B280,'[1]Plant data'!$A$1:$AB$315,15,0)</f>
        <v>50</v>
      </c>
      <c r="AH280" t="str">
        <f>VLOOKUP($B280,'[1]Plant data'!$A$1:$AB$315,16,0)</f>
        <v>NA</v>
      </c>
      <c r="AI280">
        <f>VLOOKUP($B280,'[1]Plant data'!$A$1:$AB$315,17,0)</f>
        <v>0.95050215208034416</v>
      </c>
      <c r="AJ280" t="str">
        <f>VLOOKUP($B280,'[1]Plant data'!$A$1:$AB$315,18,0)</f>
        <v>ATLANTIC, Erica&amp;Wesley, Intervales_morfo</v>
      </c>
      <c r="AK280" t="str">
        <f>VLOOKUP($B280,'[1]Plant data'!$A$1:$AB$315,19,0)</f>
        <v>NA</v>
      </c>
      <c r="AL280">
        <f>VLOOKUP($B280,'[1]Plant data'!$A$1:$AB$315,20,0)</f>
        <v>0.52600000000000002</v>
      </c>
      <c r="AM280">
        <f>VLOOKUP($B280,'[1]Plant data'!$A$1:$AB$315,21,0)</f>
        <v>7.2999999999999995E-2</v>
      </c>
      <c r="AN280">
        <f>VLOOKUP($B280,'[1]Plant data'!$A$1:$AB$315,22,0)</f>
        <v>4.0000000000000001E-3</v>
      </c>
      <c r="AO280">
        <f>VLOOKUP($B280,'[1]Plant data'!$A$1:$AB$315,23,0)</f>
        <v>7.0000000000000007E-2</v>
      </c>
      <c r="AP280" t="str">
        <f>VLOOKUP($B280,'[1]Plant data'!$A$1:$AB$315,24,0)</f>
        <v>NA</v>
      </c>
      <c r="AQ280" t="str">
        <f>VLOOKUP($B280,'[1]Plant data'!$A$1:$AB$315,25,0)</f>
        <v>NA</v>
      </c>
      <c r="AR280" t="str">
        <f>VLOOKUP($B280,'[1]Plant data'!$A$1:$AB$315,26,0)</f>
        <v>NA</v>
      </c>
      <c r="AS280" t="str">
        <f>VLOOKUP($B280,'[1]Plant data'!$A$1:$AB$315,27,0)</f>
        <v>NA</v>
      </c>
      <c r="AT280" t="str">
        <f>VLOOKUP($B280,'[1]Plant data'!$A$1:$AB$315,28,0)</f>
        <v>Erica &amp; Wesley, unpubl.</v>
      </c>
    </row>
    <row r="281" spans="1:46">
      <c r="A281" s="5" t="s">
        <v>43</v>
      </c>
      <c r="B281" s="37" t="s">
        <v>118</v>
      </c>
      <c r="C281">
        <v>37</v>
      </c>
      <c r="D281">
        <v>43</v>
      </c>
      <c r="E281" s="8">
        <f>C281/43</f>
        <v>0.86046511627906974</v>
      </c>
      <c r="F281" s="8" t="s">
        <v>19</v>
      </c>
      <c r="G281" s="9">
        <f>1.5*2</f>
        <v>3</v>
      </c>
      <c r="H281" s="9"/>
      <c r="I281" s="8">
        <f>E281*G281</f>
        <v>2.5813953488372094</v>
      </c>
      <c r="J281" t="s">
        <v>119</v>
      </c>
      <c r="K281" t="s">
        <v>120</v>
      </c>
      <c r="L281" t="s">
        <v>22</v>
      </c>
      <c r="M281" t="s">
        <v>30</v>
      </c>
      <c r="N281" s="11">
        <v>32.5</v>
      </c>
      <c r="O281" s="11">
        <v>8.9205555560000001</v>
      </c>
      <c r="P281" t="s">
        <v>24</v>
      </c>
      <c r="Q281" t="s">
        <v>25</v>
      </c>
      <c r="R281" t="s">
        <v>26</v>
      </c>
      <c r="S281" t="s">
        <v>31</v>
      </c>
      <c r="T281" t="str">
        <f>VLOOKUP(B281,'[1]Plant data'!$A$1:$AB$315,2,0)</f>
        <v>Magnoliaceae</v>
      </c>
      <c r="U281" t="str">
        <f>VLOOKUP($B281,'[1]Plant data'!$A$1:$AB$315,3,0)</f>
        <v>Talauma ovata</v>
      </c>
      <c r="V281" t="str">
        <f>VLOOKUP($B281,'[1]Plant data'!$A$1:$AB$315,4,0)</f>
        <v>red</v>
      </c>
      <c r="W281" t="str">
        <f>VLOOKUP($B281,'[1]Plant data'!$A$1:$AB$315,5,0)</f>
        <v>YES</v>
      </c>
      <c r="X281">
        <f>VLOOKUP($B281,'[1]Plant data'!$A$1:$AB$315,6,0)</f>
        <v>10.39</v>
      </c>
      <c r="Y281">
        <f>VLOOKUP($B281,'[1]Plant data'!$A$1:$AB$315,7,0)</f>
        <v>12.803333333333333</v>
      </c>
      <c r="Z281">
        <f>VLOOKUP($B281,'[1]Plant data'!$A$1:$AB$315,8,0)</f>
        <v>8.7100000000000009</v>
      </c>
      <c r="AA281">
        <f>VLOOKUP($B281,'[1]Plant data'!$A$1:$AB$315,9,0)</f>
        <v>11.563333333333333</v>
      </c>
      <c r="AB281">
        <f>VLOOKUP($B281,'[1]Plant data'!$A$1:$AB$315,10,0)</f>
        <v>0.52190000000000003</v>
      </c>
      <c r="AC281" t="str">
        <f>VLOOKUP($B281,'[1]Plant data'!$A$1:$AB$315,11,0)</f>
        <v>NA</v>
      </c>
      <c r="AD281">
        <f>VLOOKUP($B281,'[1]Plant data'!$A$1:$AB$315,12,0)</f>
        <v>0.23940000000000003</v>
      </c>
      <c r="AE281">
        <f>VLOOKUP($B281,'[1]Plant data'!$A$1:$AB$315,13,0)</f>
        <v>0.26500000000000001</v>
      </c>
      <c r="AF281">
        <f>VLOOKUP($B281,'[1]Plant data'!$A$1:$AB$315,14,0)</f>
        <v>0.27880000000000005</v>
      </c>
      <c r="AG281">
        <f>VLOOKUP($B281,'[1]Plant data'!$A$1:$AB$315,15,0)</f>
        <v>50</v>
      </c>
      <c r="AH281" t="str">
        <f>VLOOKUP($B281,'[1]Plant data'!$A$1:$AB$315,16,0)</f>
        <v>NA</v>
      </c>
      <c r="AI281">
        <f>VLOOKUP($B281,'[1]Plant data'!$A$1:$AB$315,17,0)</f>
        <v>0.95050215208034416</v>
      </c>
      <c r="AJ281" t="str">
        <f>VLOOKUP($B281,'[1]Plant data'!$A$1:$AB$315,18,0)</f>
        <v>ATLANTIC, Erica&amp;Wesley, Intervales_morfo</v>
      </c>
      <c r="AK281" t="str">
        <f>VLOOKUP($B281,'[1]Plant data'!$A$1:$AB$315,19,0)</f>
        <v>NA</v>
      </c>
      <c r="AL281">
        <f>VLOOKUP($B281,'[1]Plant data'!$A$1:$AB$315,20,0)</f>
        <v>0.52600000000000002</v>
      </c>
      <c r="AM281">
        <f>VLOOKUP($B281,'[1]Plant data'!$A$1:$AB$315,21,0)</f>
        <v>7.2999999999999995E-2</v>
      </c>
      <c r="AN281">
        <f>VLOOKUP($B281,'[1]Plant data'!$A$1:$AB$315,22,0)</f>
        <v>4.0000000000000001E-3</v>
      </c>
      <c r="AO281">
        <f>VLOOKUP($B281,'[1]Plant data'!$A$1:$AB$315,23,0)</f>
        <v>7.0000000000000007E-2</v>
      </c>
      <c r="AP281" t="str">
        <f>VLOOKUP($B281,'[1]Plant data'!$A$1:$AB$315,24,0)</f>
        <v>NA</v>
      </c>
      <c r="AQ281" t="str">
        <f>VLOOKUP($B281,'[1]Plant data'!$A$1:$AB$315,25,0)</f>
        <v>NA</v>
      </c>
      <c r="AR281" t="str">
        <f>VLOOKUP($B281,'[1]Plant data'!$A$1:$AB$315,26,0)</f>
        <v>NA</v>
      </c>
      <c r="AS281" t="str">
        <f>VLOOKUP($B281,'[1]Plant data'!$A$1:$AB$315,27,0)</f>
        <v>NA</v>
      </c>
      <c r="AT281" t="str">
        <f>VLOOKUP($B281,'[1]Plant data'!$A$1:$AB$315,28,0)</f>
        <v>Erica &amp; Wesley, unpubl.</v>
      </c>
    </row>
    <row r="282" spans="1:46">
      <c r="A282" s="5" t="s">
        <v>50</v>
      </c>
      <c r="B282" s="37" t="s">
        <v>118</v>
      </c>
      <c r="C282">
        <v>13</v>
      </c>
      <c r="D282">
        <v>43</v>
      </c>
      <c r="E282" s="8">
        <f>C282/43</f>
        <v>0.30232558139534882</v>
      </c>
      <c r="F282" s="8" t="s">
        <v>19</v>
      </c>
      <c r="G282" s="9">
        <f>2.75*1.79</f>
        <v>4.9225000000000003</v>
      </c>
      <c r="H282" s="9"/>
      <c r="I282" s="8">
        <f>E282*G282</f>
        <v>1.4881976744186047</v>
      </c>
      <c r="J282" t="s">
        <v>119</v>
      </c>
      <c r="K282" t="s">
        <v>120</v>
      </c>
      <c r="L282" t="s">
        <v>22</v>
      </c>
      <c r="M282" t="s">
        <v>47</v>
      </c>
      <c r="N282" s="11">
        <v>69.5</v>
      </c>
      <c r="O282" s="11">
        <v>13.253214290000001</v>
      </c>
      <c r="P282" t="s">
        <v>48</v>
      </c>
      <c r="Q282" t="s">
        <v>25</v>
      </c>
      <c r="R282" t="s">
        <v>26</v>
      </c>
      <c r="S282" t="s">
        <v>31</v>
      </c>
      <c r="T282" t="str">
        <f>VLOOKUP(B282,'[1]Plant data'!$A$1:$AB$315,2,0)</f>
        <v>Magnoliaceae</v>
      </c>
      <c r="U282" t="str">
        <f>VLOOKUP($B282,'[1]Plant data'!$A$1:$AB$315,3,0)</f>
        <v>Talauma ovata</v>
      </c>
      <c r="V282" t="str">
        <f>VLOOKUP($B282,'[1]Plant data'!$A$1:$AB$315,4,0)</f>
        <v>red</v>
      </c>
      <c r="W282" t="str">
        <f>VLOOKUP($B282,'[1]Plant data'!$A$1:$AB$315,5,0)</f>
        <v>YES</v>
      </c>
      <c r="X282">
        <f>VLOOKUP($B282,'[1]Plant data'!$A$1:$AB$315,6,0)</f>
        <v>10.39</v>
      </c>
      <c r="Y282">
        <f>VLOOKUP($B282,'[1]Plant data'!$A$1:$AB$315,7,0)</f>
        <v>12.803333333333333</v>
      </c>
      <c r="Z282">
        <f>VLOOKUP($B282,'[1]Plant data'!$A$1:$AB$315,8,0)</f>
        <v>8.7100000000000009</v>
      </c>
      <c r="AA282">
        <f>VLOOKUP($B282,'[1]Plant data'!$A$1:$AB$315,9,0)</f>
        <v>11.563333333333333</v>
      </c>
      <c r="AB282">
        <f>VLOOKUP($B282,'[1]Plant data'!$A$1:$AB$315,10,0)</f>
        <v>0.52190000000000003</v>
      </c>
      <c r="AC282" t="str">
        <f>VLOOKUP($B282,'[1]Plant data'!$A$1:$AB$315,11,0)</f>
        <v>NA</v>
      </c>
      <c r="AD282">
        <f>VLOOKUP($B282,'[1]Plant data'!$A$1:$AB$315,12,0)</f>
        <v>0.23940000000000003</v>
      </c>
      <c r="AE282">
        <f>VLOOKUP($B282,'[1]Plant data'!$A$1:$AB$315,13,0)</f>
        <v>0.26500000000000001</v>
      </c>
      <c r="AF282">
        <f>VLOOKUP($B282,'[1]Plant data'!$A$1:$AB$315,14,0)</f>
        <v>0.27880000000000005</v>
      </c>
      <c r="AG282">
        <f>VLOOKUP($B282,'[1]Plant data'!$A$1:$AB$315,15,0)</f>
        <v>50</v>
      </c>
      <c r="AH282" t="str">
        <f>VLOOKUP($B282,'[1]Plant data'!$A$1:$AB$315,16,0)</f>
        <v>NA</v>
      </c>
      <c r="AI282">
        <f>VLOOKUP($B282,'[1]Plant data'!$A$1:$AB$315,17,0)</f>
        <v>0.95050215208034416</v>
      </c>
      <c r="AJ282" t="str">
        <f>VLOOKUP($B282,'[1]Plant data'!$A$1:$AB$315,18,0)</f>
        <v>ATLANTIC, Erica&amp;Wesley, Intervales_morfo</v>
      </c>
      <c r="AK282" t="str">
        <f>VLOOKUP($B282,'[1]Plant data'!$A$1:$AB$315,19,0)</f>
        <v>NA</v>
      </c>
      <c r="AL282">
        <f>VLOOKUP($B282,'[1]Plant data'!$A$1:$AB$315,20,0)</f>
        <v>0.52600000000000002</v>
      </c>
      <c r="AM282">
        <f>VLOOKUP($B282,'[1]Plant data'!$A$1:$AB$315,21,0)</f>
        <v>7.2999999999999995E-2</v>
      </c>
      <c r="AN282">
        <f>VLOOKUP($B282,'[1]Plant data'!$A$1:$AB$315,22,0)</f>
        <v>4.0000000000000001E-3</v>
      </c>
      <c r="AO282">
        <f>VLOOKUP($B282,'[1]Plant data'!$A$1:$AB$315,23,0)</f>
        <v>7.0000000000000007E-2</v>
      </c>
      <c r="AP282" t="str">
        <f>VLOOKUP($B282,'[1]Plant data'!$A$1:$AB$315,24,0)</f>
        <v>NA</v>
      </c>
      <c r="AQ282" t="str">
        <f>VLOOKUP($B282,'[1]Plant data'!$A$1:$AB$315,25,0)</f>
        <v>NA</v>
      </c>
      <c r="AR282" t="str">
        <f>VLOOKUP($B282,'[1]Plant data'!$A$1:$AB$315,26,0)</f>
        <v>NA</v>
      </c>
      <c r="AS282" t="str">
        <f>VLOOKUP($B282,'[1]Plant data'!$A$1:$AB$315,27,0)</f>
        <v>NA</v>
      </c>
      <c r="AT282" t="str">
        <f>VLOOKUP($B282,'[1]Plant data'!$A$1:$AB$315,28,0)</f>
        <v>Erica &amp; Wesley, unpubl.</v>
      </c>
    </row>
    <row r="283" spans="1:46">
      <c r="A283" s="5" t="s">
        <v>110</v>
      </c>
      <c r="B283" s="37" t="s">
        <v>162</v>
      </c>
      <c r="C283">
        <v>1</v>
      </c>
      <c r="D283" t="s">
        <v>19</v>
      </c>
      <c r="E283" s="9" t="s">
        <v>19</v>
      </c>
      <c r="F283" s="9" t="s">
        <v>19</v>
      </c>
      <c r="G283" s="9" t="s">
        <v>19</v>
      </c>
      <c r="H283" s="9"/>
      <c r="I283" s="8" t="s">
        <v>19</v>
      </c>
      <c r="J283" t="s">
        <v>157</v>
      </c>
      <c r="K283" t="s">
        <v>123</v>
      </c>
      <c r="L283" t="s">
        <v>100</v>
      </c>
      <c r="M283" t="s">
        <v>101</v>
      </c>
      <c r="N283" s="11">
        <v>1250</v>
      </c>
      <c r="O283" s="11">
        <v>19.114999999999998</v>
      </c>
      <c r="P283" t="s">
        <v>48</v>
      </c>
      <c r="Q283" t="s">
        <v>95</v>
      </c>
      <c r="R283" t="s">
        <v>114</v>
      </c>
      <c r="S283" t="s">
        <v>27</v>
      </c>
      <c r="T283" t="str">
        <f>VLOOKUP(B283,'[1]Plant data'!$A$1:$AB$315,2,0)</f>
        <v>Sapindaceae</v>
      </c>
      <c r="U283" t="str">
        <f>VLOOKUP($B283,'[1]Plant data'!$A$1:$AB$315,3,0)</f>
        <v>NA</v>
      </c>
      <c r="V283" t="str">
        <f>VLOOKUP($B283,'[1]Plant data'!$A$1:$AB$315,4,0)</f>
        <v>yellow</v>
      </c>
      <c r="W283" t="str">
        <f>VLOOKUP($B283,'[1]Plant data'!$A$1:$AB$315,5,0)</f>
        <v>YES</v>
      </c>
      <c r="X283">
        <f>VLOOKUP($B283,'[1]Plant data'!$A$1:$AB$315,6,0)</f>
        <v>11.5</v>
      </c>
      <c r="Y283">
        <f>VLOOKUP($B283,'[1]Plant data'!$A$1:$AB$315,7,0)</f>
        <v>14.5</v>
      </c>
      <c r="Z283">
        <f>VLOOKUP($B283,'[1]Plant data'!$A$1:$AB$315,8,0)</f>
        <v>7.25</v>
      </c>
      <c r="AA283">
        <f>VLOOKUP($B283,'[1]Plant data'!$A$1:$AB$315,9,0)</f>
        <v>10.5</v>
      </c>
      <c r="AB283" t="str">
        <f>VLOOKUP($B283,'[1]Plant data'!$A$1:$AB$315,10,0)</f>
        <v>NA</v>
      </c>
      <c r="AC283" t="str">
        <f>VLOOKUP($B283,'[1]Plant data'!$A$1:$AB$315,11,0)</f>
        <v>NA</v>
      </c>
      <c r="AD283">
        <f>VLOOKUP($B283,'[1]Plant data'!$A$1:$AB$315,12,0)</f>
        <v>0.5</v>
      </c>
      <c r="AE283" t="str">
        <f>VLOOKUP($B283,'[1]Plant data'!$A$1:$AB$315,13,0)</f>
        <v>NA</v>
      </c>
      <c r="AF283" t="str">
        <f>VLOOKUP($B283,'[1]Plant data'!$A$1:$AB$315,14,0)</f>
        <v>NA</v>
      </c>
      <c r="AG283">
        <f>VLOOKUP($B283,'[1]Plant data'!$A$1:$AB$315,15,0)</f>
        <v>3</v>
      </c>
      <c r="AH283" t="str">
        <f>VLOOKUP($B283,'[1]Plant data'!$A$1:$AB$315,16,0)</f>
        <v>NA</v>
      </c>
      <c r="AI283" t="str">
        <f>VLOOKUP($B283,'[1]Plant data'!$A$1:$AB$315,17,0)</f>
        <v>NA</v>
      </c>
      <c r="AJ283" t="str">
        <f>VLOOKUP($B283,'[1]Plant data'!$A$1:$AB$315,18,0)</f>
        <v>ATLANTIC, Intervales_morfo</v>
      </c>
      <c r="AK283" t="str">
        <f>VLOOKUP($B283,'[1]Plant data'!$A$1:$AB$315,19,0)</f>
        <v>NA</v>
      </c>
      <c r="AL283">
        <f>VLOOKUP($B283,'[1]Plant data'!$A$1:$AB$315,20,0)</f>
        <v>0.27699999999999997</v>
      </c>
      <c r="AM283" t="str">
        <f>VLOOKUP($B283,'[1]Plant data'!$A$1:$AB$315,21,0)</f>
        <v>NA</v>
      </c>
      <c r="AN283" t="str">
        <f>VLOOKUP($B283,'[1]Plant data'!$A$1:$AB$315,22,0)</f>
        <v>NA</v>
      </c>
      <c r="AO283" t="str">
        <f>VLOOKUP($B283,'[1]Plant data'!$A$1:$AB$315,23,0)</f>
        <v>NA</v>
      </c>
      <c r="AP283" t="str">
        <f>VLOOKUP($B283,'[1]Plant data'!$A$1:$AB$315,24,0)</f>
        <v>NA</v>
      </c>
      <c r="AQ283" t="str">
        <f>VLOOKUP($B283,'[1]Plant data'!$A$1:$AB$315,25,0)</f>
        <v>NA</v>
      </c>
      <c r="AR283" t="str">
        <f>VLOOKUP($B283,'[1]Plant data'!$A$1:$AB$315,26,0)</f>
        <v>NA</v>
      </c>
      <c r="AS283" t="str">
        <f>VLOOKUP($B283,'[1]Plant data'!$A$1:$AB$315,27,0)</f>
        <v>NA</v>
      </c>
      <c r="AT283" t="str">
        <f>VLOOKUP($B283,'[1]Plant data'!$A$1:$AB$315,28,0)</f>
        <v>Saibadela</v>
      </c>
    </row>
    <row r="284" spans="1:46">
      <c r="A284" s="5" t="s">
        <v>28</v>
      </c>
      <c r="B284" s="39" t="s">
        <v>162</v>
      </c>
      <c r="C284" s="7">
        <v>6</v>
      </c>
      <c r="D284" s="7">
        <v>30</v>
      </c>
      <c r="E284" s="8">
        <f>C284/D284</f>
        <v>0.2</v>
      </c>
      <c r="F284" s="27">
        <v>4</v>
      </c>
      <c r="G284" s="9">
        <f>F284/C284</f>
        <v>0.66666666666666663</v>
      </c>
      <c r="H284" s="9"/>
      <c r="I284" s="8">
        <f t="shared" ref="I284:I290" si="22">E284*G284</f>
        <v>0.13333333333333333</v>
      </c>
      <c r="J284" t="s">
        <v>211</v>
      </c>
      <c r="K284" t="s">
        <v>212</v>
      </c>
      <c r="L284" t="s">
        <v>22</v>
      </c>
      <c r="M284" t="s">
        <v>30</v>
      </c>
      <c r="N284" s="11">
        <v>18</v>
      </c>
      <c r="O284" s="11">
        <v>7.4188405800000004</v>
      </c>
      <c r="P284" t="s">
        <v>24</v>
      </c>
      <c r="Q284" s="13" t="s">
        <v>25</v>
      </c>
      <c r="R284" s="13" t="s">
        <v>26</v>
      </c>
      <c r="S284" s="13" t="s">
        <v>31</v>
      </c>
      <c r="T284" t="str">
        <f>VLOOKUP(B284,'[1]Plant data'!$A$1:$AB$315,2,0)</f>
        <v>Sapindaceae</v>
      </c>
      <c r="U284" t="str">
        <f>VLOOKUP($B284,'[1]Plant data'!$A$1:$AB$315,3,0)</f>
        <v>NA</v>
      </c>
      <c r="V284" t="str">
        <f>VLOOKUP($B284,'[1]Plant data'!$A$1:$AB$315,4,0)</f>
        <v>yellow</v>
      </c>
      <c r="W284" t="str">
        <f>VLOOKUP($B284,'[1]Plant data'!$A$1:$AB$315,5,0)</f>
        <v>YES</v>
      </c>
      <c r="X284">
        <f>VLOOKUP($B284,'[1]Plant data'!$A$1:$AB$315,6,0)</f>
        <v>11.5</v>
      </c>
      <c r="Y284">
        <f>VLOOKUP($B284,'[1]Plant data'!$A$1:$AB$315,7,0)</f>
        <v>14.5</v>
      </c>
      <c r="Z284">
        <f>VLOOKUP($B284,'[1]Plant data'!$A$1:$AB$315,8,0)</f>
        <v>7.25</v>
      </c>
      <c r="AA284">
        <f>VLOOKUP($B284,'[1]Plant data'!$A$1:$AB$315,9,0)</f>
        <v>10.5</v>
      </c>
      <c r="AB284" t="str">
        <f>VLOOKUP($B284,'[1]Plant data'!$A$1:$AB$315,10,0)</f>
        <v>NA</v>
      </c>
      <c r="AC284" t="str">
        <f>VLOOKUP($B284,'[1]Plant data'!$A$1:$AB$315,11,0)</f>
        <v>NA</v>
      </c>
      <c r="AD284">
        <f>VLOOKUP($B284,'[1]Plant data'!$A$1:$AB$315,12,0)</f>
        <v>0.5</v>
      </c>
      <c r="AE284" t="str">
        <f>VLOOKUP($B284,'[1]Plant data'!$A$1:$AB$315,13,0)</f>
        <v>NA</v>
      </c>
      <c r="AF284" t="str">
        <f>VLOOKUP($B284,'[1]Plant data'!$A$1:$AB$315,14,0)</f>
        <v>NA</v>
      </c>
      <c r="AG284">
        <f>VLOOKUP($B284,'[1]Plant data'!$A$1:$AB$315,15,0)</f>
        <v>3</v>
      </c>
      <c r="AH284" t="str">
        <f>VLOOKUP($B284,'[1]Plant data'!$A$1:$AB$315,16,0)</f>
        <v>NA</v>
      </c>
      <c r="AI284" t="str">
        <f>VLOOKUP($B284,'[1]Plant data'!$A$1:$AB$315,17,0)</f>
        <v>NA</v>
      </c>
      <c r="AJ284" t="str">
        <f>VLOOKUP($B284,'[1]Plant data'!$A$1:$AB$315,18,0)</f>
        <v>ATLANTIC, Intervales_morfo</v>
      </c>
      <c r="AK284" t="str">
        <f>VLOOKUP($B284,'[1]Plant data'!$A$1:$AB$315,19,0)</f>
        <v>NA</v>
      </c>
      <c r="AL284">
        <f>VLOOKUP($B284,'[1]Plant data'!$A$1:$AB$315,20,0)</f>
        <v>0.27699999999999997</v>
      </c>
      <c r="AM284" t="str">
        <f>VLOOKUP($B284,'[1]Plant data'!$A$1:$AB$315,21,0)</f>
        <v>NA</v>
      </c>
      <c r="AN284" t="str">
        <f>VLOOKUP($B284,'[1]Plant data'!$A$1:$AB$315,22,0)</f>
        <v>NA</v>
      </c>
      <c r="AO284" t="str">
        <f>VLOOKUP($B284,'[1]Plant data'!$A$1:$AB$315,23,0)</f>
        <v>NA</v>
      </c>
      <c r="AP284" t="str">
        <f>VLOOKUP($B284,'[1]Plant data'!$A$1:$AB$315,24,0)</f>
        <v>NA</v>
      </c>
      <c r="AQ284" t="str">
        <f>VLOOKUP($B284,'[1]Plant data'!$A$1:$AB$315,25,0)</f>
        <v>NA</v>
      </c>
      <c r="AR284" t="str">
        <f>VLOOKUP($B284,'[1]Plant data'!$A$1:$AB$315,26,0)</f>
        <v>NA</v>
      </c>
      <c r="AS284" t="str">
        <f>VLOOKUP($B284,'[1]Plant data'!$A$1:$AB$315,27,0)</f>
        <v>NA</v>
      </c>
      <c r="AT284" t="str">
        <f>VLOOKUP($B284,'[1]Plant data'!$A$1:$AB$315,28,0)</f>
        <v>Saibadela</v>
      </c>
    </row>
    <row r="285" spans="1:46">
      <c r="A285" s="5" t="s">
        <v>50</v>
      </c>
      <c r="B285" s="37" t="s">
        <v>162</v>
      </c>
      <c r="C285">
        <v>28</v>
      </c>
      <c r="D285" s="7">
        <v>30</v>
      </c>
      <c r="E285" s="8">
        <f>C285/30</f>
        <v>0.93333333333333335</v>
      </c>
      <c r="F285">
        <v>64</v>
      </c>
      <c r="G285" s="9">
        <v>2.29</v>
      </c>
      <c r="H285" s="9"/>
      <c r="I285" s="8">
        <f t="shared" si="22"/>
        <v>2.1373333333333333</v>
      </c>
      <c r="J285" t="s">
        <v>211</v>
      </c>
      <c r="K285" t="s">
        <v>212</v>
      </c>
      <c r="L285" t="s">
        <v>22</v>
      </c>
      <c r="M285" t="s">
        <v>47</v>
      </c>
      <c r="N285" s="11">
        <v>69.5</v>
      </c>
      <c r="O285" s="11">
        <v>13.253214290000001</v>
      </c>
      <c r="P285" t="s">
        <v>48</v>
      </c>
      <c r="Q285" t="s">
        <v>25</v>
      </c>
      <c r="R285" t="s">
        <v>26</v>
      </c>
      <c r="S285" t="s">
        <v>31</v>
      </c>
      <c r="T285" t="str">
        <f>VLOOKUP(B285,'[1]Plant data'!$A$1:$AB$315,2,0)</f>
        <v>Sapindaceae</v>
      </c>
      <c r="U285" t="str">
        <f>VLOOKUP($B285,'[1]Plant data'!$A$1:$AB$315,3,0)</f>
        <v>NA</v>
      </c>
      <c r="V285" t="str">
        <f>VLOOKUP($B285,'[1]Plant data'!$A$1:$AB$315,4,0)</f>
        <v>yellow</v>
      </c>
      <c r="W285" t="str">
        <f>VLOOKUP($B285,'[1]Plant data'!$A$1:$AB$315,5,0)</f>
        <v>YES</v>
      </c>
      <c r="X285">
        <f>VLOOKUP($B285,'[1]Plant data'!$A$1:$AB$315,6,0)</f>
        <v>11.5</v>
      </c>
      <c r="Y285">
        <f>VLOOKUP($B285,'[1]Plant data'!$A$1:$AB$315,7,0)</f>
        <v>14.5</v>
      </c>
      <c r="Z285">
        <f>VLOOKUP($B285,'[1]Plant data'!$A$1:$AB$315,8,0)</f>
        <v>7.25</v>
      </c>
      <c r="AA285">
        <f>VLOOKUP($B285,'[1]Plant data'!$A$1:$AB$315,9,0)</f>
        <v>10.5</v>
      </c>
      <c r="AB285" t="str">
        <f>VLOOKUP($B285,'[1]Plant data'!$A$1:$AB$315,10,0)</f>
        <v>NA</v>
      </c>
      <c r="AC285" t="str">
        <f>VLOOKUP($B285,'[1]Plant data'!$A$1:$AB$315,11,0)</f>
        <v>NA</v>
      </c>
      <c r="AD285">
        <f>VLOOKUP($B285,'[1]Plant data'!$A$1:$AB$315,12,0)</f>
        <v>0.5</v>
      </c>
      <c r="AE285" t="str">
        <f>VLOOKUP($B285,'[1]Plant data'!$A$1:$AB$315,13,0)</f>
        <v>NA</v>
      </c>
      <c r="AF285" t="str">
        <f>VLOOKUP($B285,'[1]Plant data'!$A$1:$AB$315,14,0)</f>
        <v>NA</v>
      </c>
      <c r="AG285">
        <f>VLOOKUP($B285,'[1]Plant data'!$A$1:$AB$315,15,0)</f>
        <v>3</v>
      </c>
      <c r="AH285" t="str">
        <f>VLOOKUP($B285,'[1]Plant data'!$A$1:$AB$315,16,0)</f>
        <v>NA</v>
      </c>
      <c r="AI285" t="str">
        <f>VLOOKUP($B285,'[1]Plant data'!$A$1:$AB$315,17,0)</f>
        <v>NA</v>
      </c>
      <c r="AJ285" t="str">
        <f>VLOOKUP($B285,'[1]Plant data'!$A$1:$AB$315,18,0)</f>
        <v>ATLANTIC, Intervales_morfo</v>
      </c>
      <c r="AK285" t="str">
        <f>VLOOKUP($B285,'[1]Plant data'!$A$1:$AB$315,19,0)</f>
        <v>NA</v>
      </c>
      <c r="AL285">
        <f>VLOOKUP($B285,'[1]Plant data'!$A$1:$AB$315,20,0)</f>
        <v>0.27699999999999997</v>
      </c>
      <c r="AM285" t="str">
        <f>VLOOKUP($B285,'[1]Plant data'!$A$1:$AB$315,21,0)</f>
        <v>NA</v>
      </c>
      <c r="AN285" t="str">
        <f>VLOOKUP($B285,'[1]Plant data'!$A$1:$AB$315,22,0)</f>
        <v>NA</v>
      </c>
      <c r="AO285" t="str">
        <f>VLOOKUP($B285,'[1]Plant data'!$A$1:$AB$315,23,0)</f>
        <v>NA</v>
      </c>
      <c r="AP285" t="str">
        <f>VLOOKUP($B285,'[1]Plant data'!$A$1:$AB$315,24,0)</f>
        <v>NA</v>
      </c>
      <c r="AQ285" t="str">
        <f>VLOOKUP($B285,'[1]Plant data'!$A$1:$AB$315,25,0)</f>
        <v>NA</v>
      </c>
      <c r="AR285" t="str">
        <f>VLOOKUP($B285,'[1]Plant data'!$A$1:$AB$315,26,0)</f>
        <v>NA</v>
      </c>
      <c r="AS285" t="str">
        <f>VLOOKUP($B285,'[1]Plant data'!$A$1:$AB$315,27,0)</f>
        <v>NA</v>
      </c>
      <c r="AT285" t="str">
        <f>VLOOKUP($B285,'[1]Plant data'!$A$1:$AB$315,28,0)</f>
        <v>Saibadela</v>
      </c>
    </row>
    <row r="286" spans="1:46">
      <c r="A286" s="5" t="s">
        <v>50</v>
      </c>
      <c r="B286" s="37" t="s">
        <v>240</v>
      </c>
      <c r="C286" t="s">
        <v>19</v>
      </c>
      <c r="D286" t="s">
        <v>19</v>
      </c>
      <c r="E286" s="76">
        <v>0.93333333333333335</v>
      </c>
      <c r="F286" t="s">
        <v>19</v>
      </c>
      <c r="G286" s="9">
        <v>4.5</v>
      </c>
      <c r="H286" s="9"/>
      <c r="I286" s="8">
        <f t="shared" si="22"/>
        <v>4.2</v>
      </c>
      <c r="J286" t="s">
        <v>241</v>
      </c>
      <c r="K286" t="s">
        <v>19</v>
      </c>
      <c r="L286" t="s">
        <v>22</v>
      </c>
      <c r="M286" t="s">
        <v>47</v>
      </c>
      <c r="N286" s="11">
        <v>69.5</v>
      </c>
      <c r="O286" s="11">
        <v>13.253214290000001</v>
      </c>
      <c r="P286" t="s">
        <v>48</v>
      </c>
      <c r="Q286" t="s">
        <v>25</v>
      </c>
      <c r="R286" t="s">
        <v>26</v>
      </c>
      <c r="S286" t="s">
        <v>31</v>
      </c>
      <c r="T286" t="str">
        <f>VLOOKUP(B286,'[1]Plant data'!$A$1:$AB$315,2,0)</f>
        <v>Sapindaceae</v>
      </c>
      <c r="U286" t="str">
        <f>VLOOKUP($B286,'[1]Plant data'!$A$1:$AB$315,3,0)</f>
        <v>NA</v>
      </c>
      <c r="V286" t="str">
        <f>VLOOKUP($B286,'[1]Plant data'!$A$1:$AB$315,4,0)</f>
        <v>yellow</v>
      </c>
      <c r="W286" t="str">
        <f>VLOOKUP($B286,'[1]Plant data'!$A$1:$AB$315,5,0)</f>
        <v>YES</v>
      </c>
      <c r="X286">
        <f>VLOOKUP($B286,'[1]Plant data'!$A$1:$AB$315,6,0)</f>
        <v>10.897777777777778</v>
      </c>
      <c r="Y286">
        <f>VLOOKUP($B286,'[1]Plant data'!$A$1:$AB$315,7,0)</f>
        <v>11.127777777777778</v>
      </c>
      <c r="Z286">
        <f>VLOOKUP($B286,'[1]Plant data'!$A$1:$AB$315,8,0)</f>
        <v>6.7577777777777772</v>
      </c>
      <c r="AA286">
        <f>VLOOKUP($B286,'[1]Plant data'!$A$1:$AB$315,9,0)</f>
        <v>9.5722222222222229</v>
      </c>
      <c r="AB286">
        <f>VLOOKUP($B286,'[1]Plant data'!$A$1:$AB$315,10,0)</f>
        <v>0.23400000000000004</v>
      </c>
      <c r="AC286" t="str">
        <f>VLOOKUP($B286,'[1]Plant data'!$A$1:$AB$315,11,0)</f>
        <v>NA</v>
      </c>
      <c r="AD286">
        <f>VLOOKUP($B286,'[1]Plant data'!$A$1:$AB$315,12,0)</f>
        <v>0.10277777777777776</v>
      </c>
      <c r="AE286">
        <f>VLOOKUP($B286,'[1]Plant data'!$A$1:$AB$315,13,0)</f>
        <v>0.14022222222222222</v>
      </c>
      <c r="AF286">
        <f>VLOOKUP($B286,'[1]Plant data'!$A$1:$AB$315,14,0)</f>
        <v>9.3777777777777793E-2</v>
      </c>
      <c r="AG286">
        <f>VLOOKUP($B286,'[1]Plant data'!$A$1:$AB$315,15,0)</f>
        <v>1</v>
      </c>
      <c r="AH286" t="str">
        <f>VLOOKUP($B286,'[1]Plant data'!$A$1:$AB$315,16,0)</f>
        <v>NA</v>
      </c>
      <c r="AI286">
        <f>VLOOKUP($B286,'[1]Plant data'!$A$1:$AB$315,17,0)</f>
        <v>1.4952606635071088</v>
      </c>
      <c r="AJ286" t="str">
        <f>VLOOKUP($B286,'[1]Plant data'!$A$1:$AB$315,18,0)</f>
        <v>ATLANTIC, Erica&amp;Wesley</v>
      </c>
      <c r="AK286" t="str">
        <f>VLOOKUP($B286,'[1]Plant data'!$A$1:$AB$315,19,0)</f>
        <v>NA</v>
      </c>
      <c r="AL286" t="str">
        <f>VLOOKUP($B286,'[1]Plant data'!$A$1:$AB$315,20,0)</f>
        <v>NA</v>
      </c>
      <c r="AM286">
        <f>VLOOKUP($B286,'[1]Plant data'!$A$1:$AB$315,21,0)</f>
        <v>8.7809999999999999E-2</v>
      </c>
      <c r="AN286" t="str">
        <f>VLOOKUP($B286,'[1]Plant data'!$A$1:$AB$315,22,0)</f>
        <v>NA</v>
      </c>
      <c r="AO286" t="str">
        <f>VLOOKUP($B286,'[1]Plant data'!$A$1:$AB$315,23,0)</f>
        <v>NA</v>
      </c>
      <c r="AP286" t="str">
        <f>VLOOKUP($B286,'[1]Plant data'!$A$1:$AB$315,24,0)</f>
        <v>NA</v>
      </c>
      <c r="AQ286" t="str">
        <f>VLOOKUP($B286,'[1]Plant data'!$A$1:$AB$315,25,0)</f>
        <v>NA</v>
      </c>
      <c r="AR286" t="str">
        <f>VLOOKUP($B286,'[1]Plant data'!$A$1:$AB$315,26,0)</f>
        <v>NA</v>
      </c>
      <c r="AS286" t="str">
        <f>VLOOKUP($B286,'[1]Plant data'!$A$1:$AB$315,27,0)</f>
        <v>NA</v>
      </c>
      <c r="AT286" t="str">
        <f>VLOOKUP($B286,'[1]Plant data'!$A$1:$AB$315,28,0)</f>
        <v>Erica &amp; Wesley, unpubl.</v>
      </c>
    </row>
    <row r="287" spans="1:46">
      <c r="A287" s="5" t="s">
        <v>65</v>
      </c>
      <c r="B287" s="39" t="s">
        <v>78</v>
      </c>
      <c r="C287" s="7">
        <v>1</v>
      </c>
      <c r="D287" s="7">
        <v>30</v>
      </c>
      <c r="E287" s="8">
        <f>C287/D287</f>
        <v>3.3333333333333333E-2</v>
      </c>
      <c r="F287">
        <v>3</v>
      </c>
      <c r="G287" s="9">
        <f>F287/C287</f>
        <v>3</v>
      </c>
      <c r="H287" s="9"/>
      <c r="I287" s="8">
        <f t="shared" si="22"/>
        <v>0.1</v>
      </c>
      <c r="J287" t="s">
        <v>79</v>
      </c>
      <c r="K287" t="s">
        <v>80</v>
      </c>
      <c r="L287" t="s">
        <v>22</v>
      </c>
      <c r="M287" t="s">
        <v>23</v>
      </c>
      <c r="N287" s="11">
        <v>11</v>
      </c>
      <c r="O287" s="11">
        <v>6.1466666669999999</v>
      </c>
      <c r="P287" t="s">
        <v>24</v>
      </c>
      <c r="Q287" t="s">
        <v>25</v>
      </c>
      <c r="R287" t="s">
        <v>26</v>
      </c>
      <c r="S287" s="13" t="s">
        <v>31</v>
      </c>
      <c r="T287" t="str">
        <f>VLOOKUP(B287,'[1]Plant data'!$A$1:$AB$315,2,0)</f>
        <v>Meliaceae</v>
      </c>
      <c r="U287" t="str">
        <f>VLOOKUP($B287,'[1]Plant data'!$A$1:$AB$315,3,0)</f>
        <v>NA</v>
      </c>
      <c r="V287" t="str">
        <f>VLOOKUP($B287,'[1]Plant data'!$A$1:$AB$315,4,0)</f>
        <v>yellow</v>
      </c>
      <c r="W287" t="str">
        <f>VLOOKUP($B287,'[1]Plant data'!$A$1:$AB$315,5,0)</f>
        <v>YES</v>
      </c>
      <c r="X287">
        <f>VLOOKUP($B287,'[1]Plant data'!$A$1:$AB$315,6,0)</f>
        <v>12</v>
      </c>
      <c r="Y287">
        <f>VLOOKUP($B287,'[1]Plant data'!$A$1:$AB$315,7,0)</f>
        <v>18</v>
      </c>
      <c r="Z287">
        <f>VLOOKUP($B287,'[1]Plant data'!$A$1:$AB$315,8,0)</f>
        <v>1.6</v>
      </c>
      <c r="AA287">
        <f>VLOOKUP($B287,'[1]Plant data'!$A$1:$AB$315,9,0)</f>
        <v>3.5</v>
      </c>
      <c r="AB287">
        <f>VLOOKUP($B287,'[1]Plant data'!$A$1:$AB$315,10,0)</f>
        <v>1.19</v>
      </c>
      <c r="AC287" t="str">
        <f>VLOOKUP($B287,'[1]Plant data'!$A$1:$AB$315,11,0)</f>
        <v>NA</v>
      </c>
      <c r="AD287" t="str">
        <f>VLOOKUP($B287,'[1]Plant data'!$A$1:$AB$315,12,0)</f>
        <v>NA</v>
      </c>
      <c r="AE287">
        <f>VLOOKUP($B287,'[1]Plant data'!$A$1:$AB$315,13,0)</f>
        <v>0.27</v>
      </c>
      <c r="AF287" t="str">
        <f>VLOOKUP($B287,'[1]Plant data'!$A$1:$AB$315,14,0)</f>
        <v>NA</v>
      </c>
      <c r="AG287" t="str">
        <f>VLOOKUP($B287,'[1]Plant data'!$A$1:$AB$315,15,0)</f>
        <v>NA</v>
      </c>
      <c r="AH287" t="str">
        <f>VLOOKUP($B287,'[1]Plant data'!$A$1:$AB$315,16,0)</f>
        <v>NA</v>
      </c>
      <c r="AI287" t="str">
        <f>VLOOKUP($B287,'[1]Plant data'!$A$1:$AB$315,17,0)</f>
        <v>NA</v>
      </c>
      <c r="AJ287" t="str">
        <f>VLOOKUP($B287,'[1]Plant data'!$A$1:$AB$315,18,0)</f>
        <v>ATLANTIC, Castro 2001</v>
      </c>
      <c r="AK287">
        <f>VLOOKUP($B287,'[1]Plant data'!$A$1:$AB$315,19,0)</f>
        <v>0.629</v>
      </c>
      <c r="AL287">
        <f>VLOOKUP($B287,'[1]Plant data'!$A$1:$AB$315,20,0)</f>
        <v>4.8850000000000005E-2</v>
      </c>
      <c r="AM287">
        <f>VLOOKUP($B287,'[1]Plant data'!$A$1:$AB$315,21,0)</f>
        <v>6.0950000000000004E-2</v>
      </c>
      <c r="AN287" t="str">
        <f>VLOOKUP($B287,'[1]Plant data'!$A$1:$AB$315,22,0)</f>
        <v>NA</v>
      </c>
      <c r="AO287" t="str">
        <f>VLOOKUP($B287,'[1]Plant data'!$A$1:$AB$315,23,0)</f>
        <v>NA</v>
      </c>
      <c r="AP287" t="str">
        <f>VLOOKUP($B287,'[1]Plant data'!$A$1:$AB$315,24,0)</f>
        <v>NA</v>
      </c>
      <c r="AQ287" t="str">
        <f>VLOOKUP($B287,'[1]Plant data'!$A$1:$AB$315,25,0)</f>
        <v>NA</v>
      </c>
      <c r="AR287">
        <f>VLOOKUP($B287,'[1]Plant data'!$A$1:$AB$315,26,0)</f>
        <v>4.3999999999999997E-2</v>
      </c>
      <c r="AS287">
        <f>VLOOKUP($B287,'[1]Plant data'!$A$1:$AB$315,27,0)</f>
        <v>0.38679999999999998</v>
      </c>
      <c r="AT287" t="str">
        <f>VLOOKUP($B287,'[1]Plant data'!$A$1:$AB$315,28,0)</f>
        <v>Chiffelle et al 2009 Chilean J of Agricultural Research, FRUBASE</v>
      </c>
    </row>
    <row r="288" spans="1:46">
      <c r="A288" s="5" t="s">
        <v>28</v>
      </c>
      <c r="B288" s="39" t="s">
        <v>78</v>
      </c>
      <c r="C288" s="7">
        <v>26</v>
      </c>
      <c r="D288" s="7">
        <v>30</v>
      </c>
      <c r="E288" s="8">
        <f>C288/D288</f>
        <v>0.8666666666666667</v>
      </c>
      <c r="F288">
        <v>51</v>
      </c>
      <c r="G288" s="9">
        <v>1.87</v>
      </c>
      <c r="H288" s="9"/>
      <c r="I288" s="8">
        <f t="shared" si="22"/>
        <v>1.6206666666666669</v>
      </c>
      <c r="J288" t="s">
        <v>79</v>
      </c>
      <c r="K288" t="s">
        <v>80</v>
      </c>
      <c r="L288" t="s">
        <v>22</v>
      </c>
      <c r="M288" t="s">
        <v>30</v>
      </c>
      <c r="N288" s="11">
        <v>18</v>
      </c>
      <c r="O288" s="11">
        <v>7.4188405800000004</v>
      </c>
      <c r="P288" t="s">
        <v>24</v>
      </c>
      <c r="Q288" s="13" t="s">
        <v>25</v>
      </c>
      <c r="R288" s="13" t="s">
        <v>26</v>
      </c>
      <c r="S288" s="13" t="s">
        <v>31</v>
      </c>
      <c r="T288" t="str">
        <f>VLOOKUP(B288,'[1]Plant data'!$A$1:$AB$315,2,0)</f>
        <v>Meliaceae</v>
      </c>
      <c r="U288" t="str">
        <f>VLOOKUP($B288,'[1]Plant data'!$A$1:$AB$315,3,0)</f>
        <v>NA</v>
      </c>
      <c r="V288" t="str">
        <f>VLOOKUP($B288,'[1]Plant data'!$A$1:$AB$315,4,0)</f>
        <v>yellow</v>
      </c>
      <c r="W288" t="str">
        <f>VLOOKUP($B288,'[1]Plant data'!$A$1:$AB$315,5,0)</f>
        <v>YES</v>
      </c>
      <c r="X288">
        <f>VLOOKUP($B288,'[1]Plant data'!$A$1:$AB$315,6,0)</f>
        <v>12</v>
      </c>
      <c r="Y288">
        <f>VLOOKUP($B288,'[1]Plant data'!$A$1:$AB$315,7,0)</f>
        <v>18</v>
      </c>
      <c r="Z288">
        <f>VLOOKUP($B288,'[1]Plant data'!$A$1:$AB$315,8,0)</f>
        <v>1.6</v>
      </c>
      <c r="AA288">
        <f>VLOOKUP($B288,'[1]Plant data'!$A$1:$AB$315,9,0)</f>
        <v>3.5</v>
      </c>
      <c r="AB288">
        <f>VLOOKUP($B288,'[1]Plant data'!$A$1:$AB$315,10,0)</f>
        <v>1.19</v>
      </c>
      <c r="AC288" t="str">
        <f>VLOOKUP($B288,'[1]Plant data'!$A$1:$AB$315,11,0)</f>
        <v>NA</v>
      </c>
      <c r="AD288" t="str">
        <f>VLOOKUP($B288,'[1]Plant data'!$A$1:$AB$315,12,0)</f>
        <v>NA</v>
      </c>
      <c r="AE288">
        <f>VLOOKUP($B288,'[1]Plant data'!$A$1:$AB$315,13,0)</f>
        <v>0.27</v>
      </c>
      <c r="AF288" t="str">
        <f>VLOOKUP($B288,'[1]Plant data'!$A$1:$AB$315,14,0)</f>
        <v>NA</v>
      </c>
      <c r="AG288" t="str">
        <f>VLOOKUP($B288,'[1]Plant data'!$A$1:$AB$315,15,0)</f>
        <v>NA</v>
      </c>
      <c r="AH288" t="str">
        <f>VLOOKUP($B288,'[1]Plant data'!$A$1:$AB$315,16,0)</f>
        <v>NA</v>
      </c>
      <c r="AI288" t="str">
        <f>VLOOKUP($B288,'[1]Plant data'!$A$1:$AB$315,17,0)</f>
        <v>NA</v>
      </c>
      <c r="AJ288" t="str">
        <f>VLOOKUP($B288,'[1]Plant data'!$A$1:$AB$315,18,0)</f>
        <v>ATLANTIC, Castro 2001</v>
      </c>
      <c r="AK288">
        <f>VLOOKUP($B288,'[1]Plant data'!$A$1:$AB$315,19,0)</f>
        <v>0.629</v>
      </c>
      <c r="AL288">
        <f>VLOOKUP($B288,'[1]Plant data'!$A$1:$AB$315,20,0)</f>
        <v>4.8850000000000005E-2</v>
      </c>
      <c r="AM288">
        <f>VLOOKUP($B288,'[1]Plant data'!$A$1:$AB$315,21,0)</f>
        <v>6.0950000000000004E-2</v>
      </c>
      <c r="AN288" t="str">
        <f>VLOOKUP($B288,'[1]Plant data'!$A$1:$AB$315,22,0)</f>
        <v>NA</v>
      </c>
      <c r="AO288" t="str">
        <f>VLOOKUP($B288,'[1]Plant data'!$A$1:$AB$315,23,0)</f>
        <v>NA</v>
      </c>
      <c r="AP288" t="str">
        <f>VLOOKUP($B288,'[1]Plant data'!$A$1:$AB$315,24,0)</f>
        <v>NA</v>
      </c>
      <c r="AQ288" t="str">
        <f>VLOOKUP($B288,'[1]Plant data'!$A$1:$AB$315,25,0)</f>
        <v>NA</v>
      </c>
      <c r="AR288">
        <f>VLOOKUP($B288,'[1]Plant data'!$A$1:$AB$315,26,0)</f>
        <v>4.3999999999999997E-2</v>
      </c>
      <c r="AS288">
        <f>VLOOKUP($B288,'[1]Plant data'!$A$1:$AB$315,27,0)</f>
        <v>0.38679999999999998</v>
      </c>
      <c r="AT288" t="str">
        <f>VLOOKUP($B288,'[1]Plant data'!$A$1:$AB$315,28,0)</f>
        <v>Chiffelle et al 2009 Chilean J of Agricultural Research, FRUBASE</v>
      </c>
    </row>
    <row r="289" spans="1:46">
      <c r="A289" s="5" t="s">
        <v>43</v>
      </c>
      <c r="B289" s="37" t="s">
        <v>78</v>
      </c>
      <c r="C289">
        <v>120</v>
      </c>
      <c r="D289" s="7">
        <v>30</v>
      </c>
      <c r="E289" s="8">
        <f>C289/30</f>
        <v>4</v>
      </c>
      <c r="F289">
        <v>253</v>
      </c>
      <c r="G289" s="9">
        <v>2.78</v>
      </c>
      <c r="H289" s="9"/>
      <c r="I289" s="8">
        <f t="shared" si="22"/>
        <v>11.12</v>
      </c>
      <c r="J289" t="s">
        <v>79</v>
      </c>
      <c r="K289" t="s">
        <v>80</v>
      </c>
      <c r="L289" t="s">
        <v>22</v>
      </c>
      <c r="M289" t="s">
        <v>30</v>
      </c>
      <c r="N289" s="11">
        <v>32.5</v>
      </c>
      <c r="O289" s="11">
        <v>8.9205555560000001</v>
      </c>
      <c r="P289" t="s">
        <v>24</v>
      </c>
      <c r="Q289" t="s">
        <v>25</v>
      </c>
      <c r="R289" t="s">
        <v>26</v>
      </c>
      <c r="S289" t="s">
        <v>31</v>
      </c>
      <c r="T289" t="str">
        <f>VLOOKUP(B289,'[1]Plant data'!$A$1:$AB$315,2,0)</f>
        <v>Meliaceae</v>
      </c>
      <c r="U289" t="str">
        <f>VLOOKUP($B289,'[1]Plant data'!$A$1:$AB$315,3,0)</f>
        <v>NA</v>
      </c>
      <c r="V289" t="str">
        <f>VLOOKUP($B289,'[1]Plant data'!$A$1:$AB$315,4,0)</f>
        <v>yellow</v>
      </c>
      <c r="W289" t="str">
        <f>VLOOKUP($B289,'[1]Plant data'!$A$1:$AB$315,5,0)</f>
        <v>YES</v>
      </c>
      <c r="X289">
        <f>VLOOKUP($B289,'[1]Plant data'!$A$1:$AB$315,6,0)</f>
        <v>12</v>
      </c>
      <c r="Y289">
        <f>VLOOKUP($B289,'[1]Plant data'!$A$1:$AB$315,7,0)</f>
        <v>18</v>
      </c>
      <c r="Z289">
        <f>VLOOKUP($B289,'[1]Plant data'!$A$1:$AB$315,8,0)</f>
        <v>1.6</v>
      </c>
      <c r="AA289">
        <f>VLOOKUP($B289,'[1]Plant data'!$A$1:$AB$315,9,0)</f>
        <v>3.5</v>
      </c>
      <c r="AB289">
        <f>VLOOKUP($B289,'[1]Plant data'!$A$1:$AB$315,10,0)</f>
        <v>1.19</v>
      </c>
      <c r="AC289" t="str">
        <f>VLOOKUP($B289,'[1]Plant data'!$A$1:$AB$315,11,0)</f>
        <v>NA</v>
      </c>
      <c r="AD289" t="str">
        <f>VLOOKUP($B289,'[1]Plant data'!$A$1:$AB$315,12,0)</f>
        <v>NA</v>
      </c>
      <c r="AE289">
        <f>VLOOKUP($B289,'[1]Plant data'!$A$1:$AB$315,13,0)</f>
        <v>0.27</v>
      </c>
      <c r="AF289" t="str">
        <f>VLOOKUP($B289,'[1]Plant data'!$A$1:$AB$315,14,0)</f>
        <v>NA</v>
      </c>
      <c r="AG289" t="str">
        <f>VLOOKUP($B289,'[1]Plant data'!$A$1:$AB$315,15,0)</f>
        <v>NA</v>
      </c>
      <c r="AH289" t="str">
        <f>VLOOKUP($B289,'[1]Plant data'!$A$1:$AB$315,16,0)</f>
        <v>NA</v>
      </c>
      <c r="AI289" t="str">
        <f>VLOOKUP($B289,'[1]Plant data'!$A$1:$AB$315,17,0)</f>
        <v>NA</v>
      </c>
      <c r="AJ289" t="str">
        <f>VLOOKUP($B289,'[1]Plant data'!$A$1:$AB$315,18,0)</f>
        <v>ATLANTIC, Castro 2001</v>
      </c>
      <c r="AK289">
        <f>VLOOKUP($B289,'[1]Plant data'!$A$1:$AB$315,19,0)</f>
        <v>0.629</v>
      </c>
      <c r="AL289">
        <f>VLOOKUP($B289,'[1]Plant data'!$A$1:$AB$315,20,0)</f>
        <v>4.8850000000000005E-2</v>
      </c>
      <c r="AM289">
        <f>VLOOKUP($B289,'[1]Plant data'!$A$1:$AB$315,21,0)</f>
        <v>6.0950000000000004E-2</v>
      </c>
      <c r="AN289" t="str">
        <f>VLOOKUP($B289,'[1]Plant data'!$A$1:$AB$315,22,0)</f>
        <v>NA</v>
      </c>
      <c r="AO289" t="str">
        <f>VLOOKUP($B289,'[1]Plant data'!$A$1:$AB$315,23,0)</f>
        <v>NA</v>
      </c>
      <c r="AP289" t="str">
        <f>VLOOKUP($B289,'[1]Plant data'!$A$1:$AB$315,24,0)</f>
        <v>NA</v>
      </c>
      <c r="AQ289" t="str">
        <f>VLOOKUP($B289,'[1]Plant data'!$A$1:$AB$315,25,0)</f>
        <v>NA</v>
      </c>
      <c r="AR289">
        <f>VLOOKUP($B289,'[1]Plant data'!$A$1:$AB$315,26,0)</f>
        <v>4.3999999999999997E-2</v>
      </c>
      <c r="AS289">
        <f>VLOOKUP($B289,'[1]Plant data'!$A$1:$AB$315,27,0)</f>
        <v>0.38679999999999998</v>
      </c>
      <c r="AT289" t="str">
        <f>VLOOKUP($B289,'[1]Plant data'!$A$1:$AB$315,28,0)</f>
        <v>Chiffelle et al 2009 Chilean J of Agricultural Research, FRUBASE</v>
      </c>
    </row>
    <row r="290" spans="1:46">
      <c r="A290" s="5" t="s">
        <v>50</v>
      </c>
      <c r="B290" s="37" t="s">
        <v>78</v>
      </c>
      <c r="C290">
        <v>3</v>
      </c>
      <c r="D290" s="7">
        <v>30</v>
      </c>
      <c r="E290" s="8">
        <f>C290/30</f>
        <v>0.1</v>
      </c>
      <c r="F290">
        <v>8</v>
      </c>
      <c r="G290" s="9">
        <f>F290/C290</f>
        <v>2.6666666666666665</v>
      </c>
      <c r="H290" s="9"/>
      <c r="I290" s="8">
        <f t="shared" si="22"/>
        <v>0.26666666666666666</v>
      </c>
      <c r="J290" t="s">
        <v>79</v>
      </c>
      <c r="K290" t="s">
        <v>80</v>
      </c>
      <c r="L290" t="s">
        <v>22</v>
      </c>
      <c r="M290" t="s">
        <v>47</v>
      </c>
      <c r="N290" s="11">
        <v>69.5</v>
      </c>
      <c r="O290" s="11">
        <v>13.253214290000001</v>
      </c>
      <c r="P290" t="s">
        <v>48</v>
      </c>
      <c r="Q290" t="s">
        <v>25</v>
      </c>
      <c r="R290" t="s">
        <v>26</v>
      </c>
      <c r="S290" t="s">
        <v>31</v>
      </c>
      <c r="T290" t="str">
        <f>VLOOKUP(B290,'[1]Plant data'!$A$1:$AB$315,2,0)</f>
        <v>Meliaceae</v>
      </c>
      <c r="U290" t="str">
        <f>VLOOKUP($B290,'[1]Plant data'!$A$1:$AB$315,3,0)</f>
        <v>NA</v>
      </c>
      <c r="V290" t="str">
        <f>VLOOKUP($B290,'[1]Plant data'!$A$1:$AB$315,4,0)</f>
        <v>yellow</v>
      </c>
      <c r="W290" t="str">
        <f>VLOOKUP($B290,'[1]Plant data'!$A$1:$AB$315,5,0)</f>
        <v>YES</v>
      </c>
      <c r="X290">
        <f>VLOOKUP($B290,'[1]Plant data'!$A$1:$AB$315,6,0)</f>
        <v>12</v>
      </c>
      <c r="Y290">
        <f>VLOOKUP($B290,'[1]Plant data'!$A$1:$AB$315,7,0)</f>
        <v>18</v>
      </c>
      <c r="Z290">
        <f>VLOOKUP($B290,'[1]Plant data'!$A$1:$AB$315,8,0)</f>
        <v>1.6</v>
      </c>
      <c r="AA290">
        <f>VLOOKUP($B290,'[1]Plant data'!$A$1:$AB$315,9,0)</f>
        <v>3.5</v>
      </c>
      <c r="AB290">
        <f>VLOOKUP($B290,'[1]Plant data'!$A$1:$AB$315,10,0)</f>
        <v>1.19</v>
      </c>
      <c r="AC290" t="str">
        <f>VLOOKUP($B290,'[1]Plant data'!$A$1:$AB$315,11,0)</f>
        <v>NA</v>
      </c>
      <c r="AD290" t="str">
        <f>VLOOKUP($B290,'[1]Plant data'!$A$1:$AB$315,12,0)</f>
        <v>NA</v>
      </c>
      <c r="AE290">
        <f>VLOOKUP($B290,'[1]Plant data'!$A$1:$AB$315,13,0)</f>
        <v>0.27</v>
      </c>
      <c r="AF290" t="str">
        <f>VLOOKUP($B290,'[1]Plant data'!$A$1:$AB$315,14,0)</f>
        <v>NA</v>
      </c>
      <c r="AG290" t="str">
        <f>VLOOKUP($B290,'[1]Plant data'!$A$1:$AB$315,15,0)</f>
        <v>NA</v>
      </c>
      <c r="AH290" t="str">
        <f>VLOOKUP($B290,'[1]Plant data'!$A$1:$AB$315,16,0)</f>
        <v>NA</v>
      </c>
      <c r="AI290" t="str">
        <f>VLOOKUP($B290,'[1]Plant data'!$A$1:$AB$315,17,0)</f>
        <v>NA</v>
      </c>
      <c r="AJ290" t="str">
        <f>VLOOKUP($B290,'[1]Plant data'!$A$1:$AB$315,18,0)</f>
        <v>ATLANTIC, Castro 2001</v>
      </c>
      <c r="AK290">
        <f>VLOOKUP($B290,'[1]Plant data'!$A$1:$AB$315,19,0)</f>
        <v>0.629</v>
      </c>
      <c r="AL290">
        <f>VLOOKUP($B290,'[1]Plant data'!$A$1:$AB$315,20,0)</f>
        <v>4.8850000000000005E-2</v>
      </c>
      <c r="AM290">
        <f>VLOOKUP($B290,'[1]Plant data'!$A$1:$AB$315,21,0)</f>
        <v>6.0950000000000004E-2</v>
      </c>
      <c r="AN290" t="str">
        <f>VLOOKUP($B290,'[1]Plant data'!$A$1:$AB$315,22,0)</f>
        <v>NA</v>
      </c>
      <c r="AO290" t="str">
        <f>VLOOKUP($B290,'[1]Plant data'!$A$1:$AB$315,23,0)</f>
        <v>NA</v>
      </c>
      <c r="AP290" t="str">
        <f>VLOOKUP($B290,'[1]Plant data'!$A$1:$AB$315,24,0)</f>
        <v>NA</v>
      </c>
      <c r="AQ290" t="str">
        <f>VLOOKUP($B290,'[1]Plant data'!$A$1:$AB$315,25,0)</f>
        <v>NA</v>
      </c>
      <c r="AR290">
        <f>VLOOKUP($B290,'[1]Plant data'!$A$1:$AB$315,26,0)</f>
        <v>4.3999999999999997E-2</v>
      </c>
      <c r="AS290">
        <f>VLOOKUP($B290,'[1]Plant data'!$A$1:$AB$315,27,0)</f>
        <v>0.38679999999999998</v>
      </c>
      <c r="AT290" t="str">
        <f>VLOOKUP($B290,'[1]Plant data'!$A$1:$AB$315,28,0)</f>
        <v>Chiffelle et al 2009 Chilean J of Agricultural Research, FRUBASE</v>
      </c>
    </row>
    <row r="291" spans="1:46">
      <c r="A291" s="5" t="s">
        <v>110</v>
      </c>
      <c r="B291" s="38" t="s">
        <v>163</v>
      </c>
      <c r="C291">
        <v>2</v>
      </c>
      <c r="D291" t="s">
        <v>19</v>
      </c>
      <c r="E291" s="9" t="s">
        <v>19</v>
      </c>
      <c r="F291" s="9" t="s">
        <v>19</v>
      </c>
      <c r="G291" s="9" t="s">
        <v>19</v>
      </c>
      <c r="H291" s="9"/>
      <c r="I291" s="8" t="s">
        <v>19</v>
      </c>
      <c r="J291" t="s">
        <v>157</v>
      </c>
      <c r="K291" t="s">
        <v>123</v>
      </c>
      <c r="L291" t="s">
        <v>100</v>
      </c>
      <c r="M291" t="s">
        <v>101</v>
      </c>
      <c r="N291" s="11">
        <v>1250</v>
      </c>
      <c r="O291" s="11">
        <v>19.114999999999998</v>
      </c>
      <c r="P291" t="s">
        <v>48</v>
      </c>
      <c r="Q291" t="s">
        <v>95</v>
      </c>
      <c r="R291" t="s">
        <v>114</v>
      </c>
      <c r="S291" t="s">
        <v>27</v>
      </c>
      <c r="T291" t="str">
        <f>VLOOKUP(B291,'[1]Plant data'!$A$1:$AB$315,2,0)</f>
        <v>Sabiaceae</v>
      </c>
      <c r="U291" t="str">
        <f>VLOOKUP($B291,'[1]Plant data'!$A$1:$AB$315,3,0)</f>
        <v>NA</v>
      </c>
      <c r="V291" t="str">
        <f>VLOOKUP($B291,'[1]Plant data'!$A$1:$AB$315,4,0)</f>
        <v>white</v>
      </c>
      <c r="W291" t="str">
        <f>VLOOKUP($B291,'[1]Plant data'!$A$1:$AB$315,5,0)</f>
        <v>YES</v>
      </c>
      <c r="X291">
        <f>VLOOKUP($B291,'[1]Plant data'!$A$1:$AB$315,6,0)</f>
        <v>21</v>
      </c>
      <c r="Y291">
        <f>VLOOKUP($B291,'[1]Plant data'!$A$1:$AB$315,7,0)</f>
        <v>29</v>
      </c>
      <c r="Z291">
        <f>VLOOKUP($B291,'[1]Plant data'!$A$1:$AB$315,8,0)</f>
        <v>11</v>
      </c>
      <c r="AA291">
        <f>VLOOKUP($B291,'[1]Plant data'!$A$1:$AB$315,9,0)</f>
        <v>14</v>
      </c>
      <c r="AB291">
        <f>VLOOKUP($B291,'[1]Plant data'!$A$1:$AB$315,10,0)</f>
        <v>5.2</v>
      </c>
      <c r="AC291" t="str">
        <f>VLOOKUP($B291,'[1]Plant data'!$A$1:$AB$315,11,0)</f>
        <v>NA</v>
      </c>
      <c r="AD291">
        <f>VLOOKUP($B291,'[1]Plant data'!$A$1:$AB$315,12,0)</f>
        <v>1.1000000000000001</v>
      </c>
      <c r="AE291" t="str">
        <f>VLOOKUP($B291,'[1]Plant data'!$A$1:$AB$315,13,0)</f>
        <v>NA</v>
      </c>
      <c r="AF291" t="str">
        <f>VLOOKUP($B291,'[1]Plant data'!$A$1:$AB$315,14,0)</f>
        <v>NA</v>
      </c>
      <c r="AG291">
        <f>VLOOKUP($B291,'[1]Plant data'!$A$1:$AB$315,15,0)</f>
        <v>1</v>
      </c>
      <c r="AH291" t="str">
        <f>VLOOKUP($B291,'[1]Plant data'!$A$1:$AB$315,16,0)</f>
        <v>NA</v>
      </c>
      <c r="AI291" t="str">
        <f>VLOOKUP($B291,'[1]Plant data'!$A$1:$AB$315,17,0)</f>
        <v>NA</v>
      </c>
      <c r="AJ291" t="str">
        <f>VLOOKUP($B291,'[1]Plant data'!$A$1:$AB$315,18,0)</f>
        <v>Intervales_morfo</v>
      </c>
      <c r="AK291" t="str">
        <f>VLOOKUP($B291,'[1]Plant data'!$A$1:$AB$315,19,0)</f>
        <v>NA</v>
      </c>
      <c r="AL291" t="str">
        <f>VLOOKUP($B291,'[1]Plant data'!$A$1:$AB$315,20,0)</f>
        <v>NA</v>
      </c>
      <c r="AM291" t="str">
        <f>VLOOKUP($B291,'[1]Plant data'!$A$1:$AB$315,21,0)</f>
        <v>NA</v>
      </c>
      <c r="AN291" t="str">
        <f>VLOOKUP($B291,'[1]Plant data'!$A$1:$AB$315,22,0)</f>
        <v>NA</v>
      </c>
      <c r="AO291" t="str">
        <f>VLOOKUP($B291,'[1]Plant data'!$A$1:$AB$315,23,0)</f>
        <v>NA</v>
      </c>
      <c r="AP291" t="str">
        <f>VLOOKUP($B291,'[1]Plant data'!$A$1:$AB$315,24,0)</f>
        <v>NA</v>
      </c>
      <c r="AQ291" t="str">
        <f>VLOOKUP($B291,'[1]Plant data'!$A$1:$AB$315,25,0)</f>
        <v>NA</v>
      </c>
      <c r="AR291" t="str">
        <f>VLOOKUP($B291,'[1]Plant data'!$A$1:$AB$315,26,0)</f>
        <v>NA</v>
      </c>
      <c r="AS291" t="str">
        <f>VLOOKUP($B291,'[1]Plant data'!$A$1:$AB$315,27,0)</f>
        <v>NA</v>
      </c>
      <c r="AT291" t="str">
        <f>VLOOKUP($B291,'[1]Plant data'!$A$1:$AB$315,28,0)</f>
        <v>NA</v>
      </c>
    </row>
    <row r="292" spans="1:46">
      <c r="A292" s="5" t="s">
        <v>32</v>
      </c>
      <c r="B292" s="40" t="s">
        <v>36</v>
      </c>
      <c r="C292" s="7">
        <v>70</v>
      </c>
      <c r="D292" s="7">
        <v>13</v>
      </c>
      <c r="E292" s="8">
        <f>C292/D292</f>
        <v>5.384615384615385</v>
      </c>
      <c r="F292" t="s">
        <v>19</v>
      </c>
      <c r="G292" s="41">
        <v>8.3333333333333339</v>
      </c>
      <c r="H292" s="41"/>
      <c r="I292" s="8">
        <f t="shared" ref="I292:I298" si="23">E292*G292</f>
        <v>44.871794871794876</v>
      </c>
      <c r="J292" s="10" t="s">
        <v>20</v>
      </c>
      <c r="K292" t="s">
        <v>21</v>
      </c>
      <c r="L292" t="s">
        <v>22</v>
      </c>
      <c r="M292" t="s">
        <v>30</v>
      </c>
      <c r="N292" s="11">
        <v>18</v>
      </c>
      <c r="O292" s="11">
        <v>5.1684999999999999</v>
      </c>
      <c r="P292" t="s">
        <v>24</v>
      </c>
      <c r="Q292" s="13" t="s">
        <v>25</v>
      </c>
      <c r="R292" s="13" t="s">
        <v>26</v>
      </c>
      <c r="S292" s="13" t="s">
        <v>31</v>
      </c>
      <c r="T292" t="str">
        <f>VLOOKUP(B292,'[1]Plant data'!$A$1:$AB$315,2,0)</f>
        <v>Melastomataceae</v>
      </c>
      <c r="U292" t="str">
        <f>VLOOKUP($B292,'[1]Plant data'!$A$1:$AB$315,3,0)</f>
        <v>NA</v>
      </c>
      <c r="V292" t="str">
        <f>VLOOKUP($B292,'[1]Plant data'!$A$1:$AB$315,4,0)</f>
        <v>black</v>
      </c>
      <c r="W292" t="str">
        <f>VLOOKUP($B292,'[1]Plant data'!$A$1:$AB$315,5,0)</f>
        <v>YES</v>
      </c>
      <c r="X292">
        <f>VLOOKUP($B292,'[1]Plant data'!$A$1:$AB$315,6,0)</f>
        <v>6.9700000000000006</v>
      </c>
      <c r="Y292">
        <f>VLOOKUP($B292,'[1]Plant data'!$A$1:$AB$315,7,0)</f>
        <v>5.0200000000000005</v>
      </c>
      <c r="Z292">
        <f>VLOOKUP($B292,'[1]Plant data'!$A$1:$AB$315,8,0)</f>
        <v>0.86</v>
      </c>
      <c r="AA292">
        <f>VLOOKUP($B292,'[1]Plant data'!$A$1:$AB$315,9,0)</f>
        <v>1.02</v>
      </c>
      <c r="AB292">
        <f>VLOOKUP($B292,'[1]Plant data'!$A$1:$AB$315,10,0)</f>
        <v>0.215</v>
      </c>
      <c r="AC292" t="str">
        <f>VLOOKUP($B292,'[1]Plant data'!$A$1:$AB$315,11,0)</f>
        <v>NA</v>
      </c>
      <c r="AD292" t="str">
        <f>VLOOKUP($B292,'[1]Plant data'!$A$1:$AB$315,12,0)</f>
        <v>NA</v>
      </c>
      <c r="AE292" t="str">
        <f>VLOOKUP($B292,'[1]Plant data'!$A$1:$AB$315,13,0)</f>
        <v>NA</v>
      </c>
      <c r="AF292" t="str">
        <f>VLOOKUP($B292,'[1]Plant data'!$A$1:$AB$315,14,0)</f>
        <v>NA</v>
      </c>
      <c r="AG292">
        <f>VLOOKUP($B292,'[1]Plant data'!$A$1:$AB$315,15,0)</f>
        <v>31.060000000000002</v>
      </c>
      <c r="AH292">
        <f>VLOOKUP($B292,'[1]Plant data'!$A$1:$AB$315,16,0)</f>
        <v>24</v>
      </c>
      <c r="AI292" t="str">
        <f>VLOOKUP($B292,'[1]Plant data'!$A$1:$AB$315,17,0)</f>
        <v>NA</v>
      </c>
      <c r="AJ292" t="str">
        <f>VLOOKUP($B292,'[1]Plant data'!$A$1:$AB$315,18,0)</f>
        <v>ATLANTIC, Alves 2008, Camargo 2014, Gondim 2002, Correia 1997</v>
      </c>
      <c r="AK292" t="str">
        <f>VLOOKUP($B292,'[1]Plant data'!$A$1:$AB$315,19,0)</f>
        <v>NA</v>
      </c>
      <c r="AL292" t="str">
        <f>VLOOKUP($B292,'[1]Plant data'!$A$1:$AB$315,20,0)</f>
        <v>NA</v>
      </c>
      <c r="AM292" t="str">
        <f>VLOOKUP($B292,'[1]Plant data'!$A$1:$AB$315,21,0)</f>
        <v>NA</v>
      </c>
      <c r="AN292" t="str">
        <f>VLOOKUP($B292,'[1]Plant data'!$A$1:$AB$315,22,0)</f>
        <v>NA</v>
      </c>
      <c r="AO292" t="str">
        <f>VLOOKUP($B292,'[1]Plant data'!$A$1:$AB$315,23,0)</f>
        <v>NA</v>
      </c>
      <c r="AP292" t="str">
        <f>VLOOKUP($B292,'[1]Plant data'!$A$1:$AB$315,24,0)</f>
        <v>NA</v>
      </c>
      <c r="AQ292" t="str">
        <f>VLOOKUP($B292,'[1]Plant data'!$A$1:$AB$315,25,0)</f>
        <v>NA</v>
      </c>
      <c r="AR292" t="str">
        <f>VLOOKUP($B292,'[1]Plant data'!$A$1:$AB$315,26,0)</f>
        <v>NA</v>
      </c>
      <c r="AS292" t="str">
        <f>VLOOKUP($B292,'[1]Plant data'!$A$1:$AB$315,27,0)</f>
        <v>NA</v>
      </c>
      <c r="AT292" t="str">
        <f>VLOOKUP($B292,'[1]Plant data'!$A$1:$AB$315,28,0)</f>
        <v>NA</v>
      </c>
    </row>
    <row r="293" spans="1:46">
      <c r="A293" s="5" t="s">
        <v>41</v>
      </c>
      <c r="B293" s="39" t="s">
        <v>36</v>
      </c>
      <c r="C293" s="7">
        <v>1</v>
      </c>
      <c r="D293" s="7">
        <v>13</v>
      </c>
      <c r="E293" s="8">
        <f>C293/D293</f>
        <v>7.6923076923076927E-2</v>
      </c>
      <c r="F293" t="s">
        <v>19</v>
      </c>
      <c r="G293" s="41">
        <v>2.1</v>
      </c>
      <c r="H293" s="41"/>
      <c r="I293" s="8">
        <f t="shared" si="23"/>
        <v>0.16153846153846155</v>
      </c>
      <c r="J293" s="10" t="s">
        <v>20</v>
      </c>
      <c r="K293" t="s">
        <v>21</v>
      </c>
      <c r="L293" t="s">
        <v>22</v>
      </c>
      <c r="M293" t="s">
        <v>30</v>
      </c>
      <c r="N293" s="11">
        <v>39</v>
      </c>
      <c r="O293" s="11">
        <v>8.2839869279999991</v>
      </c>
      <c r="P293" t="s">
        <v>24</v>
      </c>
      <c r="Q293" t="s">
        <v>25</v>
      </c>
      <c r="R293" t="s">
        <v>26</v>
      </c>
      <c r="S293" t="s">
        <v>31</v>
      </c>
      <c r="T293" t="str">
        <f>VLOOKUP(B293,'[1]Plant data'!$A$1:$AB$315,2,0)</f>
        <v>Melastomataceae</v>
      </c>
      <c r="U293" t="str">
        <f>VLOOKUP($B293,'[1]Plant data'!$A$1:$AB$315,3,0)</f>
        <v>NA</v>
      </c>
      <c r="V293" t="str">
        <f>VLOOKUP($B293,'[1]Plant data'!$A$1:$AB$315,4,0)</f>
        <v>black</v>
      </c>
      <c r="W293" t="str">
        <f>VLOOKUP($B293,'[1]Plant data'!$A$1:$AB$315,5,0)</f>
        <v>YES</v>
      </c>
      <c r="X293">
        <f>VLOOKUP($B293,'[1]Plant data'!$A$1:$AB$315,6,0)</f>
        <v>6.9700000000000006</v>
      </c>
      <c r="Y293">
        <f>VLOOKUP($B293,'[1]Plant data'!$A$1:$AB$315,7,0)</f>
        <v>5.0200000000000005</v>
      </c>
      <c r="Z293">
        <f>VLOOKUP($B293,'[1]Plant data'!$A$1:$AB$315,8,0)</f>
        <v>0.86</v>
      </c>
      <c r="AA293">
        <f>VLOOKUP($B293,'[1]Plant data'!$A$1:$AB$315,9,0)</f>
        <v>1.02</v>
      </c>
      <c r="AB293">
        <f>VLOOKUP($B293,'[1]Plant data'!$A$1:$AB$315,10,0)</f>
        <v>0.215</v>
      </c>
      <c r="AC293" t="str">
        <f>VLOOKUP($B293,'[1]Plant data'!$A$1:$AB$315,11,0)</f>
        <v>NA</v>
      </c>
      <c r="AD293" t="str">
        <f>VLOOKUP($B293,'[1]Plant data'!$A$1:$AB$315,12,0)</f>
        <v>NA</v>
      </c>
      <c r="AE293" t="str">
        <f>VLOOKUP($B293,'[1]Plant data'!$A$1:$AB$315,13,0)</f>
        <v>NA</v>
      </c>
      <c r="AF293" t="str">
        <f>VLOOKUP($B293,'[1]Plant data'!$A$1:$AB$315,14,0)</f>
        <v>NA</v>
      </c>
      <c r="AG293">
        <f>VLOOKUP($B293,'[1]Plant data'!$A$1:$AB$315,15,0)</f>
        <v>31.060000000000002</v>
      </c>
      <c r="AH293">
        <f>VLOOKUP($B293,'[1]Plant data'!$A$1:$AB$315,16,0)</f>
        <v>24</v>
      </c>
      <c r="AI293" t="str">
        <f>VLOOKUP($B293,'[1]Plant data'!$A$1:$AB$315,17,0)</f>
        <v>NA</v>
      </c>
      <c r="AJ293" t="str">
        <f>VLOOKUP($B293,'[1]Plant data'!$A$1:$AB$315,18,0)</f>
        <v>ATLANTIC, Alves 2008, Camargo 2014, Gondim 2002, Correia 1997</v>
      </c>
      <c r="AK293" t="str">
        <f>VLOOKUP($B293,'[1]Plant data'!$A$1:$AB$315,19,0)</f>
        <v>NA</v>
      </c>
      <c r="AL293" t="str">
        <f>VLOOKUP($B293,'[1]Plant data'!$A$1:$AB$315,20,0)</f>
        <v>NA</v>
      </c>
      <c r="AM293" t="str">
        <f>VLOOKUP($B293,'[1]Plant data'!$A$1:$AB$315,21,0)</f>
        <v>NA</v>
      </c>
      <c r="AN293" t="str">
        <f>VLOOKUP($B293,'[1]Plant data'!$A$1:$AB$315,22,0)</f>
        <v>NA</v>
      </c>
      <c r="AO293" t="str">
        <f>VLOOKUP($B293,'[1]Plant data'!$A$1:$AB$315,23,0)</f>
        <v>NA</v>
      </c>
      <c r="AP293" t="str">
        <f>VLOOKUP($B293,'[1]Plant data'!$A$1:$AB$315,24,0)</f>
        <v>NA</v>
      </c>
      <c r="AQ293" t="str">
        <f>VLOOKUP($B293,'[1]Plant data'!$A$1:$AB$315,25,0)</f>
        <v>NA</v>
      </c>
      <c r="AR293" t="str">
        <f>VLOOKUP($B293,'[1]Plant data'!$A$1:$AB$315,26,0)</f>
        <v>NA</v>
      </c>
      <c r="AS293" t="str">
        <f>VLOOKUP($B293,'[1]Plant data'!$A$1:$AB$315,27,0)</f>
        <v>NA</v>
      </c>
      <c r="AT293" t="str">
        <f>VLOOKUP($B293,'[1]Plant data'!$A$1:$AB$315,28,0)</f>
        <v>NA</v>
      </c>
    </row>
    <row r="294" spans="1:46">
      <c r="A294" s="5" t="s">
        <v>43</v>
      </c>
      <c r="B294" s="40" t="s">
        <v>36</v>
      </c>
      <c r="C294" s="7">
        <v>1</v>
      </c>
      <c r="D294" s="7">
        <v>13</v>
      </c>
      <c r="E294" s="8">
        <f>C294/D294</f>
        <v>7.6923076923076927E-2</v>
      </c>
      <c r="F294" t="s">
        <v>19</v>
      </c>
      <c r="G294" s="41">
        <v>2.1</v>
      </c>
      <c r="H294" s="41"/>
      <c r="I294" s="8">
        <f t="shared" si="23"/>
        <v>0.16153846153846155</v>
      </c>
      <c r="J294" s="10" t="s">
        <v>20</v>
      </c>
      <c r="K294" t="s">
        <v>21</v>
      </c>
      <c r="L294" t="s">
        <v>22</v>
      </c>
      <c r="M294" t="s">
        <v>30</v>
      </c>
      <c r="N294" s="11">
        <v>32.5</v>
      </c>
      <c r="O294" s="11">
        <v>8.9205555560000001</v>
      </c>
      <c r="P294" t="s">
        <v>24</v>
      </c>
      <c r="Q294" t="s">
        <v>25</v>
      </c>
      <c r="R294" t="s">
        <v>26</v>
      </c>
      <c r="S294" t="s">
        <v>31</v>
      </c>
      <c r="T294" t="str">
        <f>VLOOKUP(B294,'[1]Plant data'!$A$1:$AB$315,2,0)</f>
        <v>Melastomataceae</v>
      </c>
      <c r="U294" t="str">
        <f>VLOOKUP($B294,'[1]Plant data'!$A$1:$AB$315,3,0)</f>
        <v>NA</v>
      </c>
      <c r="V294" t="str">
        <f>VLOOKUP($B294,'[1]Plant data'!$A$1:$AB$315,4,0)</f>
        <v>black</v>
      </c>
      <c r="W294" t="str">
        <f>VLOOKUP($B294,'[1]Plant data'!$A$1:$AB$315,5,0)</f>
        <v>YES</v>
      </c>
      <c r="X294">
        <f>VLOOKUP($B294,'[1]Plant data'!$A$1:$AB$315,6,0)</f>
        <v>6.9700000000000006</v>
      </c>
      <c r="Y294">
        <f>VLOOKUP($B294,'[1]Plant data'!$A$1:$AB$315,7,0)</f>
        <v>5.0200000000000005</v>
      </c>
      <c r="Z294">
        <f>VLOOKUP($B294,'[1]Plant data'!$A$1:$AB$315,8,0)</f>
        <v>0.86</v>
      </c>
      <c r="AA294">
        <f>VLOOKUP($B294,'[1]Plant data'!$A$1:$AB$315,9,0)</f>
        <v>1.02</v>
      </c>
      <c r="AB294">
        <f>VLOOKUP($B294,'[1]Plant data'!$A$1:$AB$315,10,0)</f>
        <v>0.215</v>
      </c>
      <c r="AC294" t="str">
        <f>VLOOKUP($B294,'[1]Plant data'!$A$1:$AB$315,11,0)</f>
        <v>NA</v>
      </c>
      <c r="AD294" t="str">
        <f>VLOOKUP($B294,'[1]Plant data'!$A$1:$AB$315,12,0)</f>
        <v>NA</v>
      </c>
      <c r="AE294" t="str">
        <f>VLOOKUP($B294,'[1]Plant data'!$A$1:$AB$315,13,0)</f>
        <v>NA</v>
      </c>
      <c r="AF294" t="str">
        <f>VLOOKUP($B294,'[1]Plant data'!$A$1:$AB$315,14,0)</f>
        <v>NA</v>
      </c>
      <c r="AG294">
        <f>VLOOKUP($B294,'[1]Plant data'!$A$1:$AB$315,15,0)</f>
        <v>31.060000000000002</v>
      </c>
      <c r="AH294">
        <f>VLOOKUP($B294,'[1]Plant data'!$A$1:$AB$315,16,0)</f>
        <v>24</v>
      </c>
      <c r="AI294" t="str">
        <f>VLOOKUP($B294,'[1]Plant data'!$A$1:$AB$315,17,0)</f>
        <v>NA</v>
      </c>
      <c r="AJ294" t="str">
        <f>VLOOKUP($B294,'[1]Plant data'!$A$1:$AB$315,18,0)</f>
        <v>ATLANTIC, Alves 2008, Camargo 2014, Gondim 2002, Correia 1997</v>
      </c>
      <c r="AK294" t="str">
        <f>VLOOKUP($B294,'[1]Plant data'!$A$1:$AB$315,19,0)</f>
        <v>NA</v>
      </c>
      <c r="AL294" t="str">
        <f>VLOOKUP($B294,'[1]Plant data'!$A$1:$AB$315,20,0)</f>
        <v>NA</v>
      </c>
      <c r="AM294" t="str">
        <f>VLOOKUP($B294,'[1]Plant data'!$A$1:$AB$315,21,0)</f>
        <v>NA</v>
      </c>
      <c r="AN294" t="str">
        <f>VLOOKUP($B294,'[1]Plant data'!$A$1:$AB$315,22,0)</f>
        <v>NA</v>
      </c>
      <c r="AO294" t="str">
        <f>VLOOKUP($B294,'[1]Plant data'!$A$1:$AB$315,23,0)</f>
        <v>NA</v>
      </c>
      <c r="AP294" t="str">
        <f>VLOOKUP($B294,'[1]Plant data'!$A$1:$AB$315,24,0)</f>
        <v>NA</v>
      </c>
      <c r="AQ294" t="str">
        <f>VLOOKUP($B294,'[1]Plant data'!$A$1:$AB$315,25,0)</f>
        <v>NA</v>
      </c>
      <c r="AR294" t="str">
        <f>VLOOKUP($B294,'[1]Plant data'!$A$1:$AB$315,26,0)</f>
        <v>NA</v>
      </c>
      <c r="AS294" t="str">
        <f>VLOOKUP($B294,'[1]Plant data'!$A$1:$AB$315,27,0)</f>
        <v>NA</v>
      </c>
      <c r="AT294" t="str">
        <f>VLOOKUP($B294,'[1]Plant data'!$A$1:$AB$315,28,0)</f>
        <v>NA</v>
      </c>
    </row>
    <row r="295" spans="1:46">
      <c r="A295" s="5" t="s">
        <v>46</v>
      </c>
      <c r="B295" s="40" t="s">
        <v>36</v>
      </c>
      <c r="C295" s="7">
        <v>3</v>
      </c>
      <c r="D295" s="7">
        <v>13</v>
      </c>
      <c r="E295" s="8">
        <f>C295/D295</f>
        <v>0.23076923076923078</v>
      </c>
      <c r="F295" t="s">
        <v>19</v>
      </c>
      <c r="G295" s="41">
        <v>10.029292929292929</v>
      </c>
      <c r="H295" s="41"/>
      <c r="I295" s="8">
        <f t="shared" si="23"/>
        <v>2.3144522144522144</v>
      </c>
      <c r="J295" s="10" t="s">
        <v>20</v>
      </c>
      <c r="K295" t="s">
        <v>21</v>
      </c>
      <c r="L295" t="s">
        <v>22</v>
      </c>
      <c r="M295" t="s">
        <v>47</v>
      </c>
      <c r="N295" s="11">
        <v>54</v>
      </c>
      <c r="O295" s="11">
        <v>11.14875</v>
      </c>
      <c r="P295" t="s">
        <v>48</v>
      </c>
      <c r="Q295" t="s">
        <v>49</v>
      </c>
      <c r="R295" t="s">
        <v>26</v>
      </c>
      <c r="S295" t="s">
        <v>31</v>
      </c>
      <c r="T295" t="str">
        <f>VLOOKUP(B295,'[1]Plant data'!$A$1:$AB$315,2,0)</f>
        <v>Melastomataceae</v>
      </c>
      <c r="U295" t="str">
        <f>VLOOKUP($B295,'[1]Plant data'!$A$1:$AB$315,3,0)</f>
        <v>NA</v>
      </c>
      <c r="V295" t="str">
        <f>VLOOKUP($B295,'[1]Plant data'!$A$1:$AB$315,4,0)</f>
        <v>black</v>
      </c>
      <c r="W295" t="str">
        <f>VLOOKUP($B295,'[1]Plant data'!$A$1:$AB$315,5,0)</f>
        <v>YES</v>
      </c>
      <c r="X295">
        <f>VLOOKUP($B295,'[1]Plant data'!$A$1:$AB$315,6,0)</f>
        <v>6.9700000000000006</v>
      </c>
      <c r="Y295">
        <f>VLOOKUP($B295,'[1]Plant data'!$A$1:$AB$315,7,0)</f>
        <v>5.0200000000000005</v>
      </c>
      <c r="Z295">
        <f>VLOOKUP($B295,'[1]Plant data'!$A$1:$AB$315,8,0)</f>
        <v>0.86</v>
      </c>
      <c r="AA295">
        <f>VLOOKUP($B295,'[1]Plant data'!$A$1:$AB$315,9,0)</f>
        <v>1.02</v>
      </c>
      <c r="AB295">
        <f>VLOOKUP($B295,'[1]Plant data'!$A$1:$AB$315,10,0)</f>
        <v>0.215</v>
      </c>
      <c r="AC295" t="str">
        <f>VLOOKUP($B295,'[1]Plant data'!$A$1:$AB$315,11,0)</f>
        <v>NA</v>
      </c>
      <c r="AD295" t="str">
        <f>VLOOKUP($B295,'[1]Plant data'!$A$1:$AB$315,12,0)</f>
        <v>NA</v>
      </c>
      <c r="AE295" t="str">
        <f>VLOOKUP($B295,'[1]Plant data'!$A$1:$AB$315,13,0)</f>
        <v>NA</v>
      </c>
      <c r="AF295" t="str">
        <f>VLOOKUP($B295,'[1]Plant data'!$A$1:$AB$315,14,0)</f>
        <v>NA</v>
      </c>
      <c r="AG295">
        <f>VLOOKUP($B295,'[1]Plant data'!$A$1:$AB$315,15,0)</f>
        <v>31.060000000000002</v>
      </c>
      <c r="AH295">
        <f>VLOOKUP($B295,'[1]Plant data'!$A$1:$AB$315,16,0)</f>
        <v>24</v>
      </c>
      <c r="AI295" t="str">
        <f>VLOOKUP($B295,'[1]Plant data'!$A$1:$AB$315,17,0)</f>
        <v>NA</v>
      </c>
      <c r="AJ295" t="str">
        <f>VLOOKUP($B295,'[1]Plant data'!$A$1:$AB$315,18,0)</f>
        <v>ATLANTIC, Alves 2008, Camargo 2014, Gondim 2002, Correia 1997</v>
      </c>
      <c r="AK295" t="str">
        <f>VLOOKUP($B295,'[1]Plant data'!$A$1:$AB$315,19,0)</f>
        <v>NA</v>
      </c>
      <c r="AL295" t="str">
        <f>VLOOKUP($B295,'[1]Plant data'!$A$1:$AB$315,20,0)</f>
        <v>NA</v>
      </c>
      <c r="AM295" t="str">
        <f>VLOOKUP($B295,'[1]Plant data'!$A$1:$AB$315,21,0)</f>
        <v>NA</v>
      </c>
      <c r="AN295" t="str">
        <f>VLOOKUP($B295,'[1]Plant data'!$A$1:$AB$315,22,0)</f>
        <v>NA</v>
      </c>
      <c r="AO295" t="str">
        <f>VLOOKUP($B295,'[1]Plant data'!$A$1:$AB$315,23,0)</f>
        <v>NA</v>
      </c>
      <c r="AP295" t="str">
        <f>VLOOKUP($B295,'[1]Plant data'!$A$1:$AB$315,24,0)</f>
        <v>NA</v>
      </c>
      <c r="AQ295" t="str">
        <f>VLOOKUP($B295,'[1]Plant data'!$A$1:$AB$315,25,0)</f>
        <v>NA</v>
      </c>
      <c r="AR295" t="str">
        <f>VLOOKUP($B295,'[1]Plant data'!$A$1:$AB$315,26,0)</f>
        <v>NA</v>
      </c>
      <c r="AS295" t="str">
        <f>VLOOKUP($B295,'[1]Plant data'!$A$1:$AB$315,27,0)</f>
        <v>NA</v>
      </c>
      <c r="AT295" t="str">
        <f>VLOOKUP($B295,'[1]Plant data'!$A$1:$AB$315,28,0)</f>
        <v>NA</v>
      </c>
    </row>
    <row r="296" spans="1:46">
      <c r="A296" s="5" t="s">
        <v>41</v>
      </c>
      <c r="B296" s="37" t="s">
        <v>36</v>
      </c>
      <c r="C296" s="7">
        <v>1</v>
      </c>
      <c r="D296">
        <v>254</v>
      </c>
      <c r="E296" s="8">
        <f>C296/D296</f>
        <v>3.937007874015748E-3</v>
      </c>
      <c r="F296" t="s">
        <v>19</v>
      </c>
      <c r="G296" s="41">
        <v>2.1</v>
      </c>
      <c r="H296" s="41"/>
      <c r="I296" s="8">
        <f t="shared" si="23"/>
        <v>8.2677165354330708E-3</v>
      </c>
      <c r="J296" t="s">
        <v>52</v>
      </c>
      <c r="K296" t="s">
        <v>53</v>
      </c>
      <c r="L296" t="s">
        <v>22</v>
      </c>
      <c r="M296" t="s">
        <v>30</v>
      </c>
      <c r="N296" s="11">
        <v>39</v>
      </c>
      <c r="O296" s="11">
        <v>8.2839869279999991</v>
      </c>
      <c r="P296" t="s">
        <v>24</v>
      </c>
      <c r="Q296" t="s">
        <v>25</v>
      </c>
      <c r="R296" t="s">
        <v>26</v>
      </c>
      <c r="S296" t="s">
        <v>31</v>
      </c>
      <c r="T296" t="str">
        <f>VLOOKUP(B296,'[1]Plant data'!$A$1:$AB$315,2,0)</f>
        <v>Melastomataceae</v>
      </c>
      <c r="U296" t="str">
        <f>VLOOKUP($B296,'[1]Plant data'!$A$1:$AB$315,3,0)</f>
        <v>NA</v>
      </c>
      <c r="V296" t="str">
        <f>VLOOKUP($B296,'[1]Plant data'!$A$1:$AB$315,4,0)</f>
        <v>black</v>
      </c>
      <c r="W296" t="str">
        <f>VLOOKUP($B296,'[1]Plant data'!$A$1:$AB$315,5,0)</f>
        <v>YES</v>
      </c>
      <c r="X296">
        <f>VLOOKUP($B296,'[1]Plant data'!$A$1:$AB$315,6,0)</f>
        <v>6.9700000000000006</v>
      </c>
      <c r="Y296">
        <f>VLOOKUP($B296,'[1]Plant data'!$A$1:$AB$315,7,0)</f>
        <v>5.0200000000000005</v>
      </c>
      <c r="Z296">
        <f>VLOOKUP($B296,'[1]Plant data'!$A$1:$AB$315,8,0)</f>
        <v>0.86</v>
      </c>
      <c r="AA296">
        <f>VLOOKUP($B296,'[1]Plant data'!$A$1:$AB$315,9,0)</f>
        <v>1.02</v>
      </c>
      <c r="AB296">
        <f>VLOOKUP($B296,'[1]Plant data'!$A$1:$AB$315,10,0)</f>
        <v>0.215</v>
      </c>
      <c r="AC296" t="str">
        <f>VLOOKUP($B296,'[1]Plant data'!$A$1:$AB$315,11,0)</f>
        <v>NA</v>
      </c>
      <c r="AD296" t="str">
        <f>VLOOKUP($B296,'[1]Plant data'!$A$1:$AB$315,12,0)</f>
        <v>NA</v>
      </c>
      <c r="AE296" t="str">
        <f>VLOOKUP($B296,'[1]Plant data'!$A$1:$AB$315,13,0)</f>
        <v>NA</v>
      </c>
      <c r="AF296" t="str">
        <f>VLOOKUP($B296,'[1]Plant data'!$A$1:$AB$315,14,0)</f>
        <v>NA</v>
      </c>
      <c r="AG296">
        <f>VLOOKUP($B296,'[1]Plant data'!$A$1:$AB$315,15,0)</f>
        <v>31.060000000000002</v>
      </c>
      <c r="AH296">
        <f>VLOOKUP($B296,'[1]Plant data'!$A$1:$AB$315,16,0)</f>
        <v>24</v>
      </c>
      <c r="AI296" t="str">
        <f>VLOOKUP($B296,'[1]Plant data'!$A$1:$AB$315,17,0)</f>
        <v>NA</v>
      </c>
      <c r="AJ296" t="str">
        <f>VLOOKUP($B296,'[1]Plant data'!$A$1:$AB$315,18,0)</f>
        <v>ATLANTIC, Alves 2008, Camargo 2014, Gondim 2002, Correia 1997</v>
      </c>
      <c r="AK296" t="str">
        <f>VLOOKUP($B296,'[1]Plant data'!$A$1:$AB$315,19,0)</f>
        <v>NA</v>
      </c>
      <c r="AL296" t="str">
        <f>VLOOKUP($B296,'[1]Plant data'!$A$1:$AB$315,20,0)</f>
        <v>NA</v>
      </c>
      <c r="AM296" t="str">
        <f>VLOOKUP($B296,'[1]Plant data'!$A$1:$AB$315,21,0)</f>
        <v>NA</v>
      </c>
      <c r="AN296" t="str">
        <f>VLOOKUP($B296,'[1]Plant data'!$A$1:$AB$315,22,0)</f>
        <v>NA</v>
      </c>
      <c r="AO296" t="str">
        <f>VLOOKUP($B296,'[1]Plant data'!$A$1:$AB$315,23,0)</f>
        <v>NA</v>
      </c>
      <c r="AP296" t="str">
        <f>VLOOKUP($B296,'[1]Plant data'!$A$1:$AB$315,24,0)</f>
        <v>NA</v>
      </c>
      <c r="AQ296" t="str">
        <f>VLOOKUP($B296,'[1]Plant data'!$A$1:$AB$315,25,0)</f>
        <v>NA</v>
      </c>
      <c r="AR296" t="str">
        <f>VLOOKUP($B296,'[1]Plant data'!$A$1:$AB$315,26,0)</f>
        <v>NA</v>
      </c>
      <c r="AS296" t="str">
        <f>VLOOKUP($B296,'[1]Plant data'!$A$1:$AB$315,27,0)</f>
        <v>NA</v>
      </c>
      <c r="AT296" t="str">
        <f>VLOOKUP($B296,'[1]Plant data'!$A$1:$AB$315,28,0)</f>
        <v>NA</v>
      </c>
    </row>
    <row r="297" spans="1:46">
      <c r="A297" s="5" t="s">
        <v>70</v>
      </c>
      <c r="B297" s="40" t="s">
        <v>36</v>
      </c>
      <c r="C297" s="7">
        <v>1</v>
      </c>
      <c r="D297" s="7">
        <v>15</v>
      </c>
      <c r="E297" s="23">
        <f>(C297/15)*2</f>
        <v>0.13333333333333333</v>
      </c>
      <c r="F297" s="8" t="s">
        <v>19</v>
      </c>
      <c r="G297" s="30">
        <v>1</v>
      </c>
      <c r="H297" s="30"/>
      <c r="I297" s="8">
        <f t="shared" si="23"/>
        <v>0.13333333333333333</v>
      </c>
      <c r="J297" t="s">
        <v>132</v>
      </c>
      <c r="K297" t="s">
        <v>133</v>
      </c>
      <c r="L297" t="s">
        <v>22</v>
      </c>
      <c r="M297" t="s">
        <v>23</v>
      </c>
      <c r="N297" s="11">
        <v>15</v>
      </c>
      <c r="O297" s="11">
        <v>6.9235714289999999</v>
      </c>
      <c r="P297" t="s">
        <v>24</v>
      </c>
      <c r="Q297" t="s">
        <v>25</v>
      </c>
      <c r="R297" t="s">
        <v>26</v>
      </c>
      <c r="S297" t="s">
        <v>27</v>
      </c>
      <c r="T297" t="str">
        <f>VLOOKUP(B297,'[1]Plant data'!$A$1:$AB$315,2,0)</f>
        <v>Melastomataceae</v>
      </c>
      <c r="U297" t="str">
        <f>VLOOKUP($B297,'[1]Plant data'!$A$1:$AB$315,3,0)</f>
        <v>NA</v>
      </c>
      <c r="V297" t="str">
        <f>VLOOKUP($B297,'[1]Plant data'!$A$1:$AB$315,4,0)</f>
        <v>black</v>
      </c>
      <c r="W297" t="str">
        <f>VLOOKUP($B297,'[1]Plant data'!$A$1:$AB$315,5,0)</f>
        <v>YES</v>
      </c>
      <c r="X297">
        <f>VLOOKUP($B297,'[1]Plant data'!$A$1:$AB$315,6,0)</f>
        <v>6.9700000000000006</v>
      </c>
      <c r="Y297">
        <f>VLOOKUP($B297,'[1]Plant data'!$A$1:$AB$315,7,0)</f>
        <v>5.0200000000000005</v>
      </c>
      <c r="Z297">
        <f>VLOOKUP($B297,'[1]Plant data'!$A$1:$AB$315,8,0)</f>
        <v>0.86</v>
      </c>
      <c r="AA297">
        <f>VLOOKUP($B297,'[1]Plant data'!$A$1:$AB$315,9,0)</f>
        <v>1.02</v>
      </c>
      <c r="AB297">
        <f>VLOOKUP($B297,'[1]Plant data'!$A$1:$AB$315,10,0)</f>
        <v>0.215</v>
      </c>
      <c r="AC297" t="str">
        <f>VLOOKUP($B297,'[1]Plant data'!$A$1:$AB$315,11,0)</f>
        <v>NA</v>
      </c>
      <c r="AD297" t="str">
        <f>VLOOKUP($B297,'[1]Plant data'!$A$1:$AB$315,12,0)</f>
        <v>NA</v>
      </c>
      <c r="AE297" t="str">
        <f>VLOOKUP($B297,'[1]Plant data'!$A$1:$AB$315,13,0)</f>
        <v>NA</v>
      </c>
      <c r="AF297" t="str">
        <f>VLOOKUP($B297,'[1]Plant data'!$A$1:$AB$315,14,0)</f>
        <v>NA</v>
      </c>
      <c r="AG297">
        <f>VLOOKUP($B297,'[1]Plant data'!$A$1:$AB$315,15,0)</f>
        <v>31.060000000000002</v>
      </c>
      <c r="AH297">
        <f>VLOOKUP($B297,'[1]Plant data'!$A$1:$AB$315,16,0)</f>
        <v>24</v>
      </c>
      <c r="AI297" t="str">
        <f>VLOOKUP($B297,'[1]Plant data'!$A$1:$AB$315,17,0)</f>
        <v>NA</v>
      </c>
      <c r="AJ297" t="str">
        <f>VLOOKUP($B297,'[1]Plant data'!$A$1:$AB$315,18,0)</f>
        <v>ATLANTIC, Alves 2008, Camargo 2014, Gondim 2002, Correia 1997</v>
      </c>
      <c r="AK297" t="str">
        <f>VLOOKUP($B297,'[1]Plant data'!$A$1:$AB$315,19,0)</f>
        <v>NA</v>
      </c>
      <c r="AL297" t="str">
        <f>VLOOKUP($B297,'[1]Plant data'!$A$1:$AB$315,20,0)</f>
        <v>NA</v>
      </c>
      <c r="AM297" t="str">
        <f>VLOOKUP($B297,'[1]Plant data'!$A$1:$AB$315,21,0)</f>
        <v>NA</v>
      </c>
      <c r="AN297" t="str">
        <f>VLOOKUP($B297,'[1]Plant data'!$A$1:$AB$315,22,0)</f>
        <v>NA</v>
      </c>
      <c r="AO297" t="str">
        <f>VLOOKUP($B297,'[1]Plant data'!$A$1:$AB$315,23,0)</f>
        <v>NA</v>
      </c>
      <c r="AP297" t="str">
        <f>VLOOKUP($B297,'[1]Plant data'!$A$1:$AB$315,24,0)</f>
        <v>NA</v>
      </c>
      <c r="AQ297" t="str">
        <f>VLOOKUP($B297,'[1]Plant data'!$A$1:$AB$315,25,0)</f>
        <v>NA</v>
      </c>
      <c r="AR297" t="str">
        <f>VLOOKUP($B297,'[1]Plant data'!$A$1:$AB$315,26,0)</f>
        <v>NA</v>
      </c>
      <c r="AS297" t="str">
        <f>VLOOKUP($B297,'[1]Plant data'!$A$1:$AB$315,27,0)</f>
        <v>NA</v>
      </c>
      <c r="AT297" t="str">
        <f>VLOOKUP($B297,'[1]Plant data'!$A$1:$AB$315,28,0)</f>
        <v>NA</v>
      </c>
    </row>
    <row r="298" spans="1:46">
      <c r="A298" s="5" t="s">
        <v>43</v>
      </c>
      <c r="B298" s="32" t="s">
        <v>36</v>
      </c>
      <c r="C298" s="7">
        <v>1</v>
      </c>
      <c r="D298" s="7">
        <v>15</v>
      </c>
      <c r="E298" s="23">
        <f>C298/15</f>
        <v>6.6666666666666666E-2</v>
      </c>
      <c r="F298" s="8" t="s">
        <v>19</v>
      </c>
      <c r="G298" s="9">
        <v>1</v>
      </c>
      <c r="H298" s="9"/>
      <c r="I298" s="8">
        <f t="shared" si="23"/>
        <v>6.6666666666666666E-2</v>
      </c>
      <c r="J298" t="s">
        <v>132</v>
      </c>
      <c r="K298" t="s">
        <v>133</v>
      </c>
      <c r="L298" t="s">
        <v>22</v>
      </c>
      <c r="M298" t="s">
        <v>30</v>
      </c>
      <c r="N298" s="11">
        <v>32.5</v>
      </c>
      <c r="O298" s="11">
        <v>8.9205555560000001</v>
      </c>
      <c r="P298" t="s">
        <v>24</v>
      </c>
      <c r="Q298" t="s">
        <v>25</v>
      </c>
      <c r="R298" t="s">
        <v>26</v>
      </c>
      <c r="S298" t="s">
        <v>31</v>
      </c>
      <c r="T298" t="str">
        <f>VLOOKUP(B298,'[1]Plant data'!$A$1:$AB$315,2,0)</f>
        <v>Melastomataceae</v>
      </c>
      <c r="U298" t="str">
        <f>VLOOKUP($B298,'[1]Plant data'!$A$1:$AB$315,3,0)</f>
        <v>NA</v>
      </c>
      <c r="V298" t="str">
        <f>VLOOKUP($B298,'[1]Plant data'!$A$1:$AB$315,4,0)</f>
        <v>black</v>
      </c>
      <c r="W298" t="str">
        <f>VLOOKUP($B298,'[1]Plant data'!$A$1:$AB$315,5,0)</f>
        <v>YES</v>
      </c>
      <c r="X298">
        <f>VLOOKUP($B298,'[1]Plant data'!$A$1:$AB$315,6,0)</f>
        <v>6.9700000000000006</v>
      </c>
      <c r="Y298">
        <f>VLOOKUP($B298,'[1]Plant data'!$A$1:$AB$315,7,0)</f>
        <v>5.0200000000000005</v>
      </c>
      <c r="Z298">
        <f>VLOOKUP($B298,'[1]Plant data'!$A$1:$AB$315,8,0)</f>
        <v>0.86</v>
      </c>
      <c r="AA298">
        <f>VLOOKUP($B298,'[1]Plant data'!$A$1:$AB$315,9,0)</f>
        <v>1.02</v>
      </c>
      <c r="AB298">
        <f>VLOOKUP($B298,'[1]Plant data'!$A$1:$AB$315,10,0)</f>
        <v>0.215</v>
      </c>
      <c r="AC298" t="str">
        <f>VLOOKUP($B298,'[1]Plant data'!$A$1:$AB$315,11,0)</f>
        <v>NA</v>
      </c>
      <c r="AD298" t="str">
        <f>VLOOKUP($B298,'[1]Plant data'!$A$1:$AB$315,12,0)</f>
        <v>NA</v>
      </c>
      <c r="AE298" t="str">
        <f>VLOOKUP($B298,'[1]Plant data'!$A$1:$AB$315,13,0)</f>
        <v>NA</v>
      </c>
      <c r="AF298" t="str">
        <f>VLOOKUP($B298,'[1]Plant data'!$A$1:$AB$315,14,0)</f>
        <v>NA</v>
      </c>
      <c r="AG298">
        <f>VLOOKUP($B298,'[1]Plant data'!$A$1:$AB$315,15,0)</f>
        <v>31.060000000000002</v>
      </c>
      <c r="AH298">
        <f>VLOOKUP($B298,'[1]Plant data'!$A$1:$AB$315,16,0)</f>
        <v>24</v>
      </c>
      <c r="AI298" t="str">
        <f>VLOOKUP($B298,'[1]Plant data'!$A$1:$AB$315,17,0)</f>
        <v>NA</v>
      </c>
      <c r="AJ298" t="str">
        <f>VLOOKUP($B298,'[1]Plant data'!$A$1:$AB$315,18,0)</f>
        <v>ATLANTIC, Alves 2008, Camargo 2014, Gondim 2002, Correia 1997</v>
      </c>
      <c r="AK298" t="str">
        <f>VLOOKUP($B298,'[1]Plant data'!$A$1:$AB$315,19,0)</f>
        <v>NA</v>
      </c>
      <c r="AL298" t="str">
        <f>VLOOKUP($B298,'[1]Plant data'!$A$1:$AB$315,20,0)</f>
        <v>NA</v>
      </c>
      <c r="AM298" t="str">
        <f>VLOOKUP($B298,'[1]Plant data'!$A$1:$AB$315,21,0)</f>
        <v>NA</v>
      </c>
      <c r="AN298" t="str">
        <f>VLOOKUP($B298,'[1]Plant data'!$A$1:$AB$315,22,0)</f>
        <v>NA</v>
      </c>
      <c r="AO298" t="str">
        <f>VLOOKUP($B298,'[1]Plant data'!$A$1:$AB$315,23,0)</f>
        <v>NA</v>
      </c>
      <c r="AP298" t="str">
        <f>VLOOKUP($B298,'[1]Plant data'!$A$1:$AB$315,24,0)</f>
        <v>NA</v>
      </c>
      <c r="AQ298" t="str">
        <f>VLOOKUP($B298,'[1]Plant data'!$A$1:$AB$315,25,0)</f>
        <v>NA</v>
      </c>
      <c r="AR298" t="str">
        <f>VLOOKUP($B298,'[1]Plant data'!$A$1:$AB$315,26,0)</f>
        <v>NA</v>
      </c>
      <c r="AS298" t="str">
        <f>VLOOKUP($B298,'[1]Plant data'!$A$1:$AB$315,27,0)</f>
        <v>NA</v>
      </c>
      <c r="AT298" t="str">
        <f>VLOOKUP($B298,'[1]Plant data'!$A$1:$AB$315,28,0)</f>
        <v>NA</v>
      </c>
    </row>
    <row r="299" spans="1:46">
      <c r="A299" s="5" t="s">
        <v>96</v>
      </c>
      <c r="B299" s="34" t="s">
        <v>248</v>
      </c>
      <c r="C299" s="7">
        <v>4</v>
      </c>
      <c r="D299" s="7">
        <v>85.3</v>
      </c>
      <c r="E299" s="8">
        <f>C299/85.3</f>
        <v>4.6893317702227433E-2</v>
      </c>
      <c r="F299" s="9" t="s">
        <v>19</v>
      </c>
      <c r="G299" s="9" t="s">
        <v>19</v>
      </c>
      <c r="H299" s="9"/>
      <c r="I299" s="8" t="s">
        <v>19</v>
      </c>
      <c r="J299" t="s">
        <v>246</v>
      </c>
      <c r="K299" t="s">
        <v>247</v>
      </c>
      <c r="L299" t="s">
        <v>100</v>
      </c>
      <c r="M299" t="s">
        <v>101</v>
      </c>
      <c r="N299" s="11">
        <v>1770</v>
      </c>
      <c r="O299" s="11">
        <v>22.349</v>
      </c>
      <c r="P299" t="s">
        <v>48</v>
      </c>
      <c r="Q299" t="s">
        <v>25</v>
      </c>
      <c r="R299" t="s">
        <v>26</v>
      </c>
      <c r="S299" t="s">
        <v>27</v>
      </c>
      <c r="T299" t="str">
        <f>VLOOKUP(B299,'[1]Plant data'!$A$1:$AB$315,2,0)</f>
        <v>Melastomataceae</v>
      </c>
      <c r="U299" t="str">
        <f>VLOOKUP($B299,'[1]Plant data'!$A$1:$AB$315,3,0)</f>
        <v>NA</v>
      </c>
      <c r="V299" t="str">
        <f>VLOOKUP($B299,'[1]Plant data'!$A$1:$AB$315,4,0)</f>
        <v>black</v>
      </c>
      <c r="W299" t="str">
        <f>VLOOKUP($B299,'[1]Plant data'!$A$1:$AB$315,5,0)</f>
        <v>YES</v>
      </c>
      <c r="X299">
        <f>VLOOKUP($B299,'[1]Plant data'!$A$1:$AB$315,6,0)</f>
        <v>4</v>
      </c>
      <c r="Y299">
        <f>VLOOKUP($B299,'[1]Plant data'!$A$1:$AB$315,7,0)</f>
        <v>3.3</v>
      </c>
      <c r="Z299" t="str">
        <f>VLOOKUP($B299,'[1]Plant data'!$A$1:$AB$315,8,0)</f>
        <v>NA</v>
      </c>
      <c r="AA299" t="str">
        <f>VLOOKUP($B299,'[1]Plant data'!$A$1:$AB$315,9,0)</f>
        <v>NA</v>
      </c>
      <c r="AB299" t="str">
        <f>VLOOKUP($B299,'[1]Plant data'!$A$1:$AB$315,10,0)</f>
        <v>NA</v>
      </c>
      <c r="AC299" t="str">
        <f>VLOOKUP($B299,'[1]Plant data'!$A$1:$AB$315,11,0)</f>
        <v>NA</v>
      </c>
      <c r="AD299" t="str">
        <f>VLOOKUP($B299,'[1]Plant data'!$A$1:$AB$315,12,0)</f>
        <v>NA</v>
      </c>
      <c r="AE299" t="str">
        <f>VLOOKUP($B299,'[1]Plant data'!$A$1:$AB$315,13,0)</f>
        <v>NA</v>
      </c>
      <c r="AF299" t="str">
        <f>VLOOKUP($B299,'[1]Plant data'!$A$1:$AB$315,14,0)</f>
        <v>NA</v>
      </c>
      <c r="AG299" t="str">
        <f>VLOOKUP($B299,'[1]Plant data'!$A$1:$AB$315,15,0)</f>
        <v>NA</v>
      </c>
      <c r="AH299" t="str">
        <f>VLOOKUP($B299,'[1]Plant data'!$A$1:$AB$315,16,0)</f>
        <v>NA</v>
      </c>
      <c r="AI299" t="str">
        <f>VLOOKUP($B299,'[1]Plant data'!$A$1:$AB$315,17,0)</f>
        <v>NA</v>
      </c>
      <c r="AJ299" t="str">
        <f>VLOOKUP($B299,'[1]Plant data'!$A$1:$AB$315,18,0)</f>
        <v>ATLANTIC</v>
      </c>
      <c r="AK299" t="str">
        <f>VLOOKUP($B299,'[1]Plant data'!$A$1:$AB$315,19,0)</f>
        <v>NA</v>
      </c>
      <c r="AL299" t="str">
        <f>VLOOKUP($B299,'[1]Plant data'!$A$1:$AB$315,20,0)</f>
        <v>NA</v>
      </c>
      <c r="AM299" t="str">
        <f>VLOOKUP($B299,'[1]Plant data'!$A$1:$AB$315,21,0)</f>
        <v>NA</v>
      </c>
      <c r="AN299" t="str">
        <f>VLOOKUP($B299,'[1]Plant data'!$A$1:$AB$315,22,0)</f>
        <v>NA</v>
      </c>
      <c r="AO299" t="str">
        <f>VLOOKUP($B299,'[1]Plant data'!$A$1:$AB$315,23,0)</f>
        <v>NA</v>
      </c>
      <c r="AP299" t="str">
        <f>VLOOKUP($B299,'[1]Plant data'!$A$1:$AB$315,24,0)</f>
        <v>NA</v>
      </c>
      <c r="AQ299" t="str">
        <f>VLOOKUP($B299,'[1]Plant data'!$A$1:$AB$315,25,0)</f>
        <v>NA</v>
      </c>
      <c r="AR299" t="str">
        <f>VLOOKUP($B299,'[1]Plant data'!$A$1:$AB$315,26,0)</f>
        <v>NA</v>
      </c>
      <c r="AS299" t="str">
        <f>VLOOKUP($B299,'[1]Plant data'!$A$1:$AB$315,27,0)</f>
        <v>NA</v>
      </c>
      <c r="AT299" t="str">
        <f>VLOOKUP($B299,'[1]Plant data'!$A$1:$AB$315,28,0)</f>
        <v>NA</v>
      </c>
    </row>
    <row r="300" spans="1:46">
      <c r="A300" s="5" t="s">
        <v>74</v>
      </c>
      <c r="B300" s="37" t="s">
        <v>248</v>
      </c>
      <c r="C300" s="7">
        <v>2</v>
      </c>
      <c r="D300" s="7">
        <v>85.3</v>
      </c>
      <c r="E300" s="8">
        <f>C300/85.3</f>
        <v>2.3446658851113716E-2</v>
      </c>
      <c r="F300" s="9" t="s">
        <v>19</v>
      </c>
      <c r="G300" s="9" t="s">
        <v>19</v>
      </c>
      <c r="H300" s="9"/>
      <c r="I300" s="8" t="s">
        <v>19</v>
      </c>
      <c r="J300" s="25" t="s">
        <v>246</v>
      </c>
      <c r="K300" s="25" t="s">
        <v>247</v>
      </c>
      <c r="L300" t="s">
        <v>22</v>
      </c>
      <c r="M300" t="s">
        <v>75</v>
      </c>
      <c r="N300" s="11">
        <v>200</v>
      </c>
      <c r="O300" s="11">
        <v>23.614285710000001</v>
      </c>
      <c r="P300" t="s">
        <v>48</v>
      </c>
      <c r="Q300" t="s">
        <v>25</v>
      </c>
      <c r="R300" t="s">
        <v>76</v>
      </c>
      <c r="S300" t="s">
        <v>27</v>
      </c>
      <c r="T300" t="str">
        <f>VLOOKUP(B300,'[1]Plant data'!$A$1:$AB$315,2,0)</f>
        <v>Melastomataceae</v>
      </c>
      <c r="U300" t="str">
        <f>VLOOKUP($B300,'[1]Plant data'!$A$1:$AB$315,3,0)</f>
        <v>NA</v>
      </c>
      <c r="V300" t="str">
        <f>VLOOKUP($B300,'[1]Plant data'!$A$1:$AB$315,4,0)</f>
        <v>black</v>
      </c>
      <c r="W300" t="str">
        <f>VLOOKUP($B300,'[1]Plant data'!$A$1:$AB$315,5,0)</f>
        <v>YES</v>
      </c>
      <c r="X300">
        <f>VLOOKUP($B300,'[1]Plant data'!$A$1:$AB$315,6,0)</f>
        <v>4</v>
      </c>
      <c r="Y300">
        <f>VLOOKUP($B300,'[1]Plant data'!$A$1:$AB$315,7,0)</f>
        <v>3.3</v>
      </c>
      <c r="Z300" t="str">
        <f>VLOOKUP($B300,'[1]Plant data'!$A$1:$AB$315,8,0)</f>
        <v>NA</v>
      </c>
      <c r="AA300" t="str">
        <f>VLOOKUP($B300,'[1]Plant data'!$A$1:$AB$315,9,0)</f>
        <v>NA</v>
      </c>
      <c r="AB300" t="str">
        <f>VLOOKUP($B300,'[1]Plant data'!$A$1:$AB$315,10,0)</f>
        <v>NA</v>
      </c>
      <c r="AC300" t="str">
        <f>VLOOKUP($B300,'[1]Plant data'!$A$1:$AB$315,11,0)</f>
        <v>NA</v>
      </c>
      <c r="AD300" t="str">
        <f>VLOOKUP($B300,'[1]Plant data'!$A$1:$AB$315,12,0)</f>
        <v>NA</v>
      </c>
      <c r="AE300" t="str">
        <f>VLOOKUP($B300,'[1]Plant data'!$A$1:$AB$315,13,0)</f>
        <v>NA</v>
      </c>
      <c r="AF300" t="str">
        <f>VLOOKUP($B300,'[1]Plant data'!$A$1:$AB$315,14,0)</f>
        <v>NA</v>
      </c>
      <c r="AG300" t="str">
        <f>VLOOKUP($B300,'[1]Plant data'!$A$1:$AB$315,15,0)</f>
        <v>NA</v>
      </c>
      <c r="AH300" t="str">
        <f>VLOOKUP($B300,'[1]Plant data'!$A$1:$AB$315,16,0)</f>
        <v>NA</v>
      </c>
      <c r="AI300" t="str">
        <f>VLOOKUP($B300,'[1]Plant data'!$A$1:$AB$315,17,0)</f>
        <v>NA</v>
      </c>
      <c r="AJ300" t="str">
        <f>VLOOKUP($B300,'[1]Plant data'!$A$1:$AB$315,18,0)</f>
        <v>ATLANTIC</v>
      </c>
      <c r="AK300" t="str">
        <f>VLOOKUP($B300,'[1]Plant data'!$A$1:$AB$315,19,0)</f>
        <v>NA</v>
      </c>
      <c r="AL300" t="str">
        <f>VLOOKUP($B300,'[1]Plant data'!$A$1:$AB$315,20,0)</f>
        <v>NA</v>
      </c>
      <c r="AM300" t="str">
        <f>VLOOKUP($B300,'[1]Plant data'!$A$1:$AB$315,21,0)</f>
        <v>NA</v>
      </c>
      <c r="AN300" t="str">
        <f>VLOOKUP($B300,'[1]Plant data'!$A$1:$AB$315,22,0)</f>
        <v>NA</v>
      </c>
      <c r="AO300" t="str">
        <f>VLOOKUP($B300,'[1]Plant data'!$A$1:$AB$315,23,0)</f>
        <v>NA</v>
      </c>
      <c r="AP300" t="str">
        <f>VLOOKUP($B300,'[1]Plant data'!$A$1:$AB$315,24,0)</f>
        <v>NA</v>
      </c>
      <c r="AQ300" t="str">
        <f>VLOOKUP($B300,'[1]Plant data'!$A$1:$AB$315,25,0)</f>
        <v>NA</v>
      </c>
      <c r="AR300" t="str">
        <f>VLOOKUP($B300,'[1]Plant data'!$A$1:$AB$315,26,0)</f>
        <v>NA</v>
      </c>
      <c r="AS300" t="str">
        <f>VLOOKUP($B300,'[1]Plant data'!$A$1:$AB$315,27,0)</f>
        <v>NA</v>
      </c>
      <c r="AT300" t="str">
        <f>VLOOKUP($B300,'[1]Plant data'!$A$1:$AB$315,28,0)</f>
        <v>NA</v>
      </c>
    </row>
    <row r="301" spans="1:46">
      <c r="A301" s="5" t="s">
        <v>50</v>
      </c>
      <c r="B301" s="37" t="s">
        <v>248</v>
      </c>
      <c r="C301">
        <v>4</v>
      </c>
      <c r="D301" s="7">
        <v>85.3</v>
      </c>
      <c r="E301" s="8">
        <f>C301/85.3</f>
        <v>4.6893317702227433E-2</v>
      </c>
      <c r="F301" s="9" t="s">
        <v>19</v>
      </c>
      <c r="G301" s="41">
        <v>10.029292929292929</v>
      </c>
      <c r="H301" s="41"/>
      <c r="I301" s="8">
        <f t="shared" ref="I301:I306" si="24">E301*G301</f>
        <v>0.47030681966203652</v>
      </c>
      <c r="J301" s="25" t="s">
        <v>246</v>
      </c>
      <c r="K301" s="25" t="s">
        <v>247</v>
      </c>
      <c r="L301" t="s">
        <v>22</v>
      </c>
      <c r="M301" t="s">
        <v>47</v>
      </c>
      <c r="N301" s="11">
        <v>69.5</v>
      </c>
      <c r="O301" s="11">
        <v>13.253214290000001</v>
      </c>
      <c r="P301" t="s">
        <v>48</v>
      </c>
      <c r="Q301" t="s">
        <v>25</v>
      </c>
      <c r="R301" t="s">
        <v>26</v>
      </c>
      <c r="S301" t="s">
        <v>31</v>
      </c>
      <c r="T301" t="str">
        <f>VLOOKUP(B301,'[1]Plant data'!$A$1:$AB$315,2,0)</f>
        <v>Melastomataceae</v>
      </c>
      <c r="U301" t="str">
        <f>VLOOKUP($B301,'[1]Plant data'!$A$1:$AB$315,3,0)</f>
        <v>NA</v>
      </c>
      <c r="V301" t="str">
        <f>VLOOKUP($B301,'[1]Plant data'!$A$1:$AB$315,4,0)</f>
        <v>black</v>
      </c>
      <c r="W301" t="str">
        <f>VLOOKUP($B301,'[1]Plant data'!$A$1:$AB$315,5,0)</f>
        <v>YES</v>
      </c>
      <c r="X301">
        <f>VLOOKUP($B301,'[1]Plant data'!$A$1:$AB$315,6,0)</f>
        <v>4</v>
      </c>
      <c r="Y301">
        <f>VLOOKUP($B301,'[1]Plant data'!$A$1:$AB$315,7,0)</f>
        <v>3.3</v>
      </c>
      <c r="Z301" t="str">
        <f>VLOOKUP($B301,'[1]Plant data'!$A$1:$AB$315,8,0)</f>
        <v>NA</v>
      </c>
      <c r="AA301" t="str">
        <f>VLOOKUP($B301,'[1]Plant data'!$A$1:$AB$315,9,0)</f>
        <v>NA</v>
      </c>
      <c r="AB301" t="str">
        <f>VLOOKUP($B301,'[1]Plant data'!$A$1:$AB$315,10,0)</f>
        <v>NA</v>
      </c>
      <c r="AC301" t="str">
        <f>VLOOKUP($B301,'[1]Plant data'!$A$1:$AB$315,11,0)</f>
        <v>NA</v>
      </c>
      <c r="AD301" t="str">
        <f>VLOOKUP($B301,'[1]Plant data'!$A$1:$AB$315,12,0)</f>
        <v>NA</v>
      </c>
      <c r="AE301" t="str">
        <f>VLOOKUP($B301,'[1]Plant data'!$A$1:$AB$315,13,0)</f>
        <v>NA</v>
      </c>
      <c r="AF301" t="str">
        <f>VLOOKUP($B301,'[1]Plant data'!$A$1:$AB$315,14,0)</f>
        <v>NA</v>
      </c>
      <c r="AG301" t="str">
        <f>VLOOKUP($B301,'[1]Plant data'!$A$1:$AB$315,15,0)</f>
        <v>NA</v>
      </c>
      <c r="AH301" t="str">
        <f>VLOOKUP($B301,'[1]Plant data'!$A$1:$AB$315,16,0)</f>
        <v>NA</v>
      </c>
      <c r="AI301" t="str">
        <f>VLOOKUP($B301,'[1]Plant data'!$A$1:$AB$315,17,0)</f>
        <v>NA</v>
      </c>
      <c r="AJ301" t="str">
        <f>VLOOKUP($B301,'[1]Plant data'!$A$1:$AB$315,18,0)</f>
        <v>ATLANTIC</v>
      </c>
      <c r="AK301" t="str">
        <f>VLOOKUP($B301,'[1]Plant data'!$A$1:$AB$315,19,0)</f>
        <v>NA</v>
      </c>
      <c r="AL301" t="str">
        <f>VLOOKUP($B301,'[1]Plant data'!$A$1:$AB$315,20,0)</f>
        <v>NA</v>
      </c>
      <c r="AM301" t="str">
        <f>VLOOKUP($B301,'[1]Plant data'!$A$1:$AB$315,21,0)</f>
        <v>NA</v>
      </c>
      <c r="AN301" t="str">
        <f>VLOOKUP($B301,'[1]Plant data'!$A$1:$AB$315,22,0)</f>
        <v>NA</v>
      </c>
      <c r="AO301" t="str">
        <f>VLOOKUP($B301,'[1]Plant data'!$A$1:$AB$315,23,0)</f>
        <v>NA</v>
      </c>
      <c r="AP301" t="str">
        <f>VLOOKUP($B301,'[1]Plant data'!$A$1:$AB$315,24,0)</f>
        <v>NA</v>
      </c>
      <c r="AQ301" t="str">
        <f>VLOOKUP($B301,'[1]Plant data'!$A$1:$AB$315,25,0)</f>
        <v>NA</v>
      </c>
      <c r="AR301" t="str">
        <f>VLOOKUP($B301,'[1]Plant data'!$A$1:$AB$315,26,0)</f>
        <v>NA</v>
      </c>
      <c r="AS301" t="str">
        <f>VLOOKUP($B301,'[1]Plant data'!$A$1:$AB$315,27,0)</f>
        <v>NA</v>
      </c>
      <c r="AT301" t="str">
        <f>VLOOKUP($B301,'[1]Plant data'!$A$1:$AB$315,28,0)</f>
        <v>NA</v>
      </c>
    </row>
    <row r="302" spans="1:46">
      <c r="A302" s="5" t="s">
        <v>90</v>
      </c>
      <c r="B302" s="40" t="s">
        <v>173</v>
      </c>
      <c r="C302" s="25">
        <v>3</v>
      </c>
      <c r="D302" s="25">
        <v>44</v>
      </c>
      <c r="E302" s="26">
        <f>C302/44</f>
        <v>6.8181818181818177E-2</v>
      </c>
      <c r="F302" s="25">
        <v>9</v>
      </c>
      <c r="G302" s="27">
        <f>F302/C302</f>
        <v>3</v>
      </c>
      <c r="H302" s="27"/>
      <c r="I302" s="8">
        <f t="shared" si="24"/>
        <v>0.20454545454545453</v>
      </c>
      <c r="J302" t="s">
        <v>174</v>
      </c>
      <c r="K302" t="s">
        <v>175</v>
      </c>
      <c r="L302" t="s">
        <v>93</v>
      </c>
      <c r="M302" t="s">
        <v>94</v>
      </c>
      <c r="N302" s="11">
        <v>331</v>
      </c>
      <c r="O302" s="11">
        <v>30.7</v>
      </c>
      <c r="P302" t="s">
        <v>48</v>
      </c>
      <c r="Q302" t="s">
        <v>95</v>
      </c>
      <c r="R302" t="s">
        <v>26</v>
      </c>
      <c r="S302" t="s">
        <v>27</v>
      </c>
      <c r="T302" t="str">
        <f>VLOOKUP(B302,'[1]Plant data'!$A$1:$AB$315,2,0)</f>
        <v>Melastomataceae</v>
      </c>
      <c r="U302" t="str">
        <f>VLOOKUP($B302,'[1]Plant data'!$A$1:$AB$315,3,0)</f>
        <v>NA</v>
      </c>
      <c r="V302" t="str">
        <f>VLOOKUP($B302,'[1]Plant data'!$A$1:$AB$315,4,0)</f>
        <v>black</v>
      </c>
      <c r="W302" t="str">
        <f>VLOOKUP($B302,'[1]Plant data'!$A$1:$AB$315,5,0)</f>
        <v>YES</v>
      </c>
      <c r="X302">
        <f>VLOOKUP($B302,'[1]Plant data'!$A$1:$AB$315,6,0)</f>
        <v>4.8899999999999997</v>
      </c>
      <c r="Y302">
        <f>VLOOKUP($B302,'[1]Plant data'!$A$1:$AB$315,7,0)</f>
        <v>4.1950000000000003</v>
      </c>
      <c r="Z302">
        <f>VLOOKUP($B302,'[1]Plant data'!$A$1:$AB$315,8,0)</f>
        <v>2.34</v>
      </c>
      <c r="AA302">
        <f>VLOOKUP($B302,'[1]Plant data'!$A$1:$AB$315,9,0)</f>
        <v>1.47</v>
      </c>
      <c r="AB302">
        <f>VLOOKUP($B302,'[1]Plant data'!$A$1:$AB$315,10,0)</f>
        <v>0.124</v>
      </c>
      <c r="AC302" t="str">
        <f>VLOOKUP($B302,'[1]Plant data'!$A$1:$AB$315,11,0)</f>
        <v>NA</v>
      </c>
      <c r="AD302">
        <f>VLOOKUP($B302,'[1]Plant data'!$A$1:$AB$315,12,0)</f>
        <v>3.8E-3</v>
      </c>
      <c r="AE302" t="str">
        <f>VLOOKUP($B302,'[1]Plant data'!$A$1:$AB$315,13,0)</f>
        <v>NA</v>
      </c>
      <c r="AF302" t="str">
        <f>VLOOKUP($B302,'[1]Plant data'!$A$1:$AB$315,14,0)</f>
        <v>NA</v>
      </c>
      <c r="AG302">
        <f>VLOOKUP($B302,'[1]Plant data'!$A$1:$AB$315,15,0)</f>
        <v>4.55</v>
      </c>
      <c r="AH302" t="str">
        <f>VLOOKUP($B302,'[1]Plant data'!$A$1:$AB$315,16,0)</f>
        <v>NA</v>
      </c>
      <c r="AI302" t="str">
        <f>VLOOKUP($B302,'[1]Plant data'!$A$1:$AB$315,17,0)</f>
        <v>NA</v>
      </c>
      <c r="AJ302" t="str">
        <f>VLOOKUP($B302,'[1]Plant data'!$A$1:$AB$315,18,0)</f>
        <v>ATLANTIC, Kindel 1996, Gridi-Papp et al. 2004</v>
      </c>
      <c r="AK302" t="str">
        <f>VLOOKUP($B302,'[1]Plant data'!$A$1:$AB$315,19,0)</f>
        <v>NA</v>
      </c>
      <c r="AL302" t="str">
        <f>VLOOKUP($B302,'[1]Plant data'!$A$1:$AB$315,20,0)</f>
        <v>NA</v>
      </c>
      <c r="AM302" t="str">
        <f>VLOOKUP($B302,'[1]Plant data'!$A$1:$AB$315,21,0)</f>
        <v>NA</v>
      </c>
      <c r="AN302" t="str">
        <f>VLOOKUP($B302,'[1]Plant data'!$A$1:$AB$315,22,0)</f>
        <v>NA</v>
      </c>
      <c r="AO302" t="str">
        <f>VLOOKUP($B302,'[1]Plant data'!$A$1:$AB$315,23,0)</f>
        <v>NA</v>
      </c>
      <c r="AP302" t="str">
        <f>VLOOKUP($B302,'[1]Plant data'!$A$1:$AB$315,24,0)</f>
        <v>NA</v>
      </c>
      <c r="AQ302" t="str">
        <f>VLOOKUP($B302,'[1]Plant data'!$A$1:$AB$315,25,0)</f>
        <v>NA</v>
      </c>
      <c r="AR302" t="str">
        <f>VLOOKUP($B302,'[1]Plant data'!$A$1:$AB$315,26,0)</f>
        <v>NA</v>
      </c>
      <c r="AS302" t="str">
        <f>VLOOKUP($B302,'[1]Plant data'!$A$1:$AB$315,27,0)</f>
        <v>NA</v>
      </c>
      <c r="AT302" t="str">
        <f>VLOOKUP($B302,'[1]Plant data'!$A$1:$AB$315,28,0)</f>
        <v>NA</v>
      </c>
    </row>
    <row r="303" spans="1:46">
      <c r="A303" s="5" t="s">
        <v>46</v>
      </c>
      <c r="B303" s="40" t="s">
        <v>173</v>
      </c>
      <c r="C303">
        <v>11</v>
      </c>
      <c r="D303" s="7">
        <v>44</v>
      </c>
      <c r="E303" s="8">
        <f>C303/44</f>
        <v>0.25</v>
      </c>
      <c r="F303">
        <v>23</v>
      </c>
      <c r="G303" s="9">
        <f>F303/C303</f>
        <v>2.0909090909090908</v>
      </c>
      <c r="H303" s="9"/>
      <c r="I303" s="8">
        <f t="shared" si="24"/>
        <v>0.52272727272727271</v>
      </c>
      <c r="J303" s="10" t="s">
        <v>174</v>
      </c>
      <c r="K303" t="s">
        <v>175</v>
      </c>
      <c r="L303" t="s">
        <v>22</v>
      </c>
      <c r="M303" t="s">
        <v>47</v>
      </c>
      <c r="N303" s="11">
        <v>54</v>
      </c>
      <c r="O303" s="11">
        <v>11.14875</v>
      </c>
      <c r="P303" t="s">
        <v>48</v>
      </c>
      <c r="Q303" t="s">
        <v>49</v>
      </c>
      <c r="R303" t="s">
        <v>26</v>
      </c>
      <c r="S303" t="s">
        <v>31</v>
      </c>
      <c r="T303" t="str">
        <f>VLOOKUP(B303,'[1]Plant data'!$A$1:$AB$315,2,0)</f>
        <v>Melastomataceae</v>
      </c>
      <c r="U303" t="str">
        <f>VLOOKUP($B303,'[1]Plant data'!$A$1:$AB$315,3,0)</f>
        <v>NA</v>
      </c>
      <c r="V303" t="str">
        <f>VLOOKUP($B303,'[1]Plant data'!$A$1:$AB$315,4,0)</f>
        <v>black</v>
      </c>
      <c r="W303" t="str">
        <f>VLOOKUP($B303,'[1]Plant data'!$A$1:$AB$315,5,0)</f>
        <v>YES</v>
      </c>
      <c r="X303">
        <f>VLOOKUP($B303,'[1]Plant data'!$A$1:$AB$315,6,0)</f>
        <v>4.8899999999999997</v>
      </c>
      <c r="Y303">
        <f>VLOOKUP($B303,'[1]Plant data'!$A$1:$AB$315,7,0)</f>
        <v>4.1950000000000003</v>
      </c>
      <c r="Z303">
        <f>VLOOKUP($B303,'[1]Plant data'!$A$1:$AB$315,8,0)</f>
        <v>2.34</v>
      </c>
      <c r="AA303">
        <f>VLOOKUP($B303,'[1]Plant data'!$A$1:$AB$315,9,0)</f>
        <v>1.47</v>
      </c>
      <c r="AB303">
        <f>VLOOKUP($B303,'[1]Plant data'!$A$1:$AB$315,10,0)</f>
        <v>0.124</v>
      </c>
      <c r="AC303" t="str">
        <f>VLOOKUP($B303,'[1]Plant data'!$A$1:$AB$315,11,0)</f>
        <v>NA</v>
      </c>
      <c r="AD303">
        <f>VLOOKUP($B303,'[1]Plant data'!$A$1:$AB$315,12,0)</f>
        <v>3.8E-3</v>
      </c>
      <c r="AE303" t="str">
        <f>VLOOKUP($B303,'[1]Plant data'!$A$1:$AB$315,13,0)</f>
        <v>NA</v>
      </c>
      <c r="AF303" t="str">
        <f>VLOOKUP($B303,'[1]Plant data'!$A$1:$AB$315,14,0)</f>
        <v>NA</v>
      </c>
      <c r="AG303">
        <f>VLOOKUP($B303,'[1]Plant data'!$A$1:$AB$315,15,0)</f>
        <v>4.55</v>
      </c>
      <c r="AH303" t="str">
        <f>VLOOKUP($B303,'[1]Plant data'!$A$1:$AB$315,16,0)</f>
        <v>NA</v>
      </c>
      <c r="AI303" t="str">
        <f>VLOOKUP($B303,'[1]Plant data'!$A$1:$AB$315,17,0)</f>
        <v>NA</v>
      </c>
      <c r="AJ303" t="str">
        <f>VLOOKUP($B303,'[1]Plant data'!$A$1:$AB$315,18,0)</f>
        <v>ATLANTIC, Kindel 1996, Gridi-Papp et al. 2004</v>
      </c>
      <c r="AK303" t="str">
        <f>VLOOKUP($B303,'[1]Plant data'!$A$1:$AB$315,19,0)</f>
        <v>NA</v>
      </c>
      <c r="AL303" t="str">
        <f>VLOOKUP($B303,'[1]Plant data'!$A$1:$AB$315,20,0)</f>
        <v>NA</v>
      </c>
      <c r="AM303" t="str">
        <f>VLOOKUP($B303,'[1]Plant data'!$A$1:$AB$315,21,0)</f>
        <v>NA</v>
      </c>
      <c r="AN303" t="str">
        <f>VLOOKUP($B303,'[1]Plant data'!$A$1:$AB$315,22,0)</f>
        <v>NA</v>
      </c>
      <c r="AO303" t="str">
        <f>VLOOKUP($B303,'[1]Plant data'!$A$1:$AB$315,23,0)</f>
        <v>NA</v>
      </c>
      <c r="AP303" t="str">
        <f>VLOOKUP($B303,'[1]Plant data'!$A$1:$AB$315,24,0)</f>
        <v>NA</v>
      </c>
      <c r="AQ303" t="str">
        <f>VLOOKUP($B303,'[1]Plant data'!$A$1:$AB$315,25,0)</f>
        <v>NA</v>
      </c>
      <c r="AR303" t="str">
        <f>VLOOKUP($B303,'[1]Plant data'!$A$1:$AB$315,26,0)</f>
        <v>NA</v>
      </c>
      <c r="AS303" t="str">
        <f>VLOOKUP($B303,'[1]Plant data'!$A$1:$AB$315,27,0)</f>
        <v>NA</v>
      </c>
      <c r="AT303" t="str">
        <f>VLOOKUP($B303,'[1]Plant data'!$A$1:$AB$315,28,0)</f>
        <v>NA</v>
      </c>
    </row>
    <row r="304" spans="1:46">
      <c r="A304" s="5" t="s">
        <v>50</v>
      </c>
      <c r="B304" s="37" t="s">
        <v>173</v>
      </c>
      <c r="C304" s="7">
        <v>9</v>
      </c>
      <c r="D304" s="7">
        <v>44</v>
      </c>
      <c r="E304" s="8">
        <f>C304/44</f>
        <v>0.20454545454545456</v>
      </c>
      <c r="F304">
        <v>50</v>
      </c>
      <c r="G304" s="9">
        <f>F304/C304</f>
        <v>5.5555555555555554</v>
      </c>
      <c r="H304" s="9"/>
      <c r="I304" s="8">
        <f t="shared" si="24"/>
        <v>1.1363636363636365</v>
      </c>
      <c r="J304" t="s">
        <v>174</v>
      </c>
      <c r="K304" t="s">
        <v>175</v>
      </c>
      <c r="L304" t="s">
        <v>22</v>
      </c>
      <c r="M304" t="s">
        <v>47</v>
      </c>
      <c r="N304" s="11">
        <v>69.5</v>
      </c>
      <c r="O304" s="11">
        <v>13.253214290000001</v>
      </c>
      <c r="P304" t="s">
        <v>48</v>
      </c>
      <c r="Q304" t="s">
        <v>25</v>
      </c>
      <c r="R304" t="s">
        <v>26</v>
      </c>
      <c r="S304" t="s">
        <v>31</v>
      </c>
      <c r="T304" t="str">
        <f>VLOOKUP(B304,'[1]Plant data'!$A$1:$AB$315,2,0)</f>
        <v>Melastomataceae</v>
      </c>
      <c r="U304" t="str">
        <f>VLOOKUP($B304,'[1]Plant data'!$A$1:$AB$315,3,0)</f>
        <v>NA</v>
      </c>
      <c r="V304" t="str">
        <f>VLOOKUP($B304,'[1]Plant data'!$A$1:$AB$315,4,0)</f>
        <v>black</v>
      </c>
      <c r="W304" t="str">
        <f>VLOOKUP($B304,'[1]Plant data'!$A$1:$AB$315,5,0)</f>
        <v>YES</v>
      </c>
      <c r="X304">
        <f>VLOOKUP($B304,'[1]Plant data'!$A$1:$AB$315,6,0)</f>
        <v>4.8899999999999997</v>
      </c>
      <c r="Y304">
        <f>VLOOKUP($B304,'[1]Plant data'!$A$1:$AB$315,7,0)</f>
        <v>4.1950000000000003</v>
      </c>
      <c r="Z304">
        <f>VLOOKUP($B304,'[1]Plant data'!$A$1:$AB$315,8,0)</f>
        <v>2.34</v>
      </c>
      <c r="AA304">
        <f>VLOOKUP($B304,'[1]Plant data'!$A$1:$AB$315,9,0)</f>
        <v>1.47</v>
      </c>
      <c r="AB304">
        <f>VLOOKUP($B304,'[1]Plant data'!$A$1:$AB$315,10,0)</f>
        <v>0.124</v>
      </c>
      <c r="AC304" t="str">
        <f>VLOOKUP($B304,'[1]Plant data'!$A$1:$AB$315,11,0)</f>
        <v>NA</v>
      </c>
      <c r="AD304">
        <f>VLOOKUP($B304,'[1]Plant data'!$A$1:$AB$315,12,0)</f>
        <v>3.8E-3</v>
      </c>
      <c r="AE304" t="str">
        <f>VLOOKUP($B304,'[1]Plant data'!$A$1:$AB$315,13,0)</f>
        <v>NA</v>
      </c>
      <c r="AF304" t="str">
        <f>VLOOKUP($B304,'[1]Plant data'!$A$1:$AB$315,14,0)</f>
        <v>NA</v>
      </c>
      <c r="AG304">
        <f>VLOOKUP($B304,'[1]Plant data'!$A$1:$AB$315,15,0)</f>
        <v>4.55</v>
      </c>
      <c r="AH304" t="str">
        <f>VLOOKUP($B304,'[1]Plant data'!$A$1:$AB$315,16,0)</f>
        <v>NA</v>
      </c>
      <c r="AI304" t="str">
        <f>VLOOKUP($B304,'[1]Plant data'!$A$1:$AB$315,17,0)</f>
        <v>NA</v>
      </c>
      <c r="AJ304" t="str">
        <f>VLOOKUP($B304,'[1]Plant data'!$A$1:$AB$315,18,0)</f>
        <v>ATLANTIC, Kindel 1996, Gridi-Papp et al. 2004</v>
      </c>
      <c r="AK304" t="str">
        <f>VLOOKUP($B304,'[1]Plant data'!$A$1:$AB$315,19,0)</f>
        <v>NA</v>
      </c>
      <c r="AL304" t="str">
        <f>VLOOKUP($B304,'[1]Plant data'!$A$1:$AB$315,20,0)</f>
        <v>NA</v>
      </c>
      <c r="AM304" t="str">
        <f>VLOOKUP($B304,'[1]Plant data'!$A$1:$AB$315,21,0)</f>
        <v>NA</v>
      </c>
      <c r="AN304" t="str">
        <f>VLOOKUP($B304,'[1]Plant data'!$A$1:$AB$315,22,0)</f>
        <v>NA</v>
      </c>
      <c r="AO304" t="str">
        <f>VLOOKUP($B304,'[1]Plant data'!$A$1:$AB$315,23,0)</f>
        <v>NA</v>
      </c>
      <c r="AP304" t="str">
        <f>VLOOKUP($B304,'[1]Plant data'!$A$1:$AB$315,24,0)</f>
        <v>NA</v>
      </c>
      <c r="AQ304" t="str">
        <f>VLOOKUP($B304,'[1]Plant data'!$A$1:$AB$315,25,0)</f>
        <v>NA</v>
      </c>
      <c r="AR304" t="str">
        <f>VLOOKUP($B304,'[1]Plant data'!$A$1:$AB$315,26,0)</f>
        <v>NA</v>
      </c>
      <c r="AS304" t="str">
        <f>VLOOKUP($B304,'[1]Plant data'!$A$1:$AB$315,27,0)</f>
        <v>NA</v>
      </c>
      <c r="AT304" t="str">
        <f>VLOOKUP($B304,'[1]Plant data'!$A$1:$AB$315,28,0)</f>
        <v>NA</v>
      </c>
    </row>
    <row r="305" spans="1:46">
      <c r="A305" s="5" t="s">
        <v>46</v>
      </c>
      <c r="B305" s="40" t="s">
        <v>173</v>
      </c>
      <c r="C305" s="25">
        <v>2</v>
      </c>
      <c r="D305" s="25" t="s">
        <v>19</v>
      </c>
      <c r="E305" s="76">
        <v>0.22749999999999998</v>
      </c>
      <c r="F305" s="25">
        <v>43</v>
      </c>
      <c r="G305" s="27">
        <f>F305/C305</f>
        <v>21.5</v>
      </c>
      <c r="H305" s="27"/>
      <c r="I305" s="8">
        <f t="shared" si="24"/>
        <v>4.8912499999999994</v>
      </c>
      <c r="J305" s="25" t="s">
        <v>202</v>
      </c>
      <c r="K305" s="25" t="s">
        <v>203</v>
      </c>
      <c r="L305" t="s">
        <v>22</v>
      </c>
      <c r="M305" t="s">
        <v>47</v>
      </c>
      <c r="N305" s="11">
        <v>54</v>
      </c>
      <c r="O305" s="11">
        <v>11.14875</v>
      </c>
      <c r="P305" t="s">
        <v>48</v>
      </c>
      <c r="Q305" t="s">
        <v>49</v>
      </c>
      <c r="R305" t="s">
        <v>26</v>
      </c>
      <c r="S305" t="s">
        <v>31</v>
      </c>
      <c r="T305" t="str">
        <f>VLOOKUP(B305,'[1]Plant data'!$A$1:$AB$315,2,0)</f>
        <v>Melastomataceae</v>
      </c>
      <c r="U305" t="str">
        <f>VLOOKUP($B305,'[1]Plant data'!$A$1:$AB$315,3,0)</f>
        <v>NA</v>
      </c>
      <c r="V305" t="str">
        <f>VLOOKUP($B305,'[1]Plant data'!$A$1:$AB$315,4,0)</f>
        <v>black</v>
      </c>
      <c r="W305" t="str">
        <f>VLOOKUP($B305,'[1]Plant data'!$A$1:$AB$315,5,0)</f>
        <v>YES</v>
      </c>
      <c r="X305">
        <f>VLOOKUP($B305,'[1]Plant data'!$A$1:$AB$315,6,0)</f>
        <v>4.8899999999999997</v>
      </c>
      <c r="Y305">
        <f>VLOOKUP($B305,'[1]Plant data'!$A$1:$AB$315,7,0)</f>
        <v>4.1950000000000003</v>
      </c>
      <c r="Z305">
        <f>VLOOKUP($B305,'[1]Plant data'!$A$1:$AB$315,8,0)</f>
        <v>2.34</v>
      </c>
      <c r="AA305">
        <f>VLOOKUP($B305,'[1]Plant data'!$A$1:$AB$315,9,0)</f>
        <v>1.47</v>
      </c>
      <c r="AB305">
        <f>VLOOKUP($B305,'[1]Plant data'!$A$1:$AB$315,10,0)</f>
        <v>0.124</v>
      </c>
      <c r="AC305" t="str">
        <f>VLOOKUP($B305,'[1]Plant data'!$A$1:$AB$315,11,0)</f>
        <v>NA</v>
      </c>
      <c r="AD305">
        <f>VLOOKUP($B305,'[1]Plant data'!$A$1:$AB$315,12,0)</f>
        <v>3.8E-3</v>
      </c>
      <c r="AE305" t="str">
        <f>VLOOKUP($B305,'[1]Plant data'!$A$1:$AB$315,13,0)</f>
        <v>NA</v>
      </c>
      <c r="AF305" t="str">
        <f>VLOOKUP($B305,'[1]Plant data'!$A$1:$AB$315,14,0)</f>
        <v>NA</v>
      </c>
      <c r="AG305">
        <f>VLOOKUP($B305,'[1]Plant data'!$A$1:$AB$315,15,0)</f>
        <v>4.55</v>
      </c>
      <c r="AH305" t="str">
        <f>VLOOKUP($B305,'[1]Plant data'!$A$1:$AB$315,16,0)</f>
        <v>NA</v>
      </c>
      <c r="AI305" t="str">
        <f>VLOOKUP($B305,'[1]Plant data'!$A$1:$AB$315,17,0)</f>
        <v>NA</v>
      </c>
      <c r="AJ305" t="str">
        <f>VLOOKUP($B305,'[1]Plant data'!$A$1:$AB$315,18,0)</f>
        <v>ATLANTIC, Kindel 1996, Gridi-Papp et al. 2004</v>
      </c>
      <c r="AK305" t="str">
        <f>VLOOKUP($B305,'[1]Plant data'!$A$1:$AB$315,19,0)</f>
        <v>NA</v>
      </c>
      <c r="AL305" t="str">
        <f>VLOOKUP($B305,'[1]Plant data'!$A$1:$AB$315,20,0)</f>
        <v>NA</v>
      </c>
      <c r="AM305" t="str">
        <f>VLOOKUP($B305,'[1]Plant data'!$A$1:$AB$315,21,0)</f>
        <v>NA</v>
      </c>
      <c r="AN305" t="str">
        <f>VLOOKUP($B305,'[1]Plant data'!$A$1:$AB$315,22,0)</f>
        <v>NA</v>
      </c>
      <c r="AO305" t="str">
        <f>VLOOKUP($B305,'[1]Plant data'!$A$1:$AB$315,23,0)</f>
        <v>NA</v>
      </c>
      <c r="AP305" t="str">
        <f>VLOOKUP($B305,'[1]Plant data'!$A$1:$AB$315,24,0)</f>
        <v>NA</v>
      </c>
      <c r="AQ305" t="str">
        <f>VLOOKUP($B305,'[1]Plant data'!$A$1:$AB$315,25,0)</f>
        <v>NA</v>
      </c>
      <c r="AR305" t="str">
        <f>VLOOKUP($B305,'[1]Plant data'!$A$1:$AB$315,26,0)</f>
        <v>NA</v>
      </c>
      <c r="AS305" t="str">
        <f>VLOOKUP($B305,'[1]Plant data'!$A$1:$AB$315,27,0)</f>
        <v>NA</v>
      </c>
      <c r="AT305" t="str">
        <f>VLOOKUP($B305,'[1]Plant data'!$A$1:$AB$315,28,0)</f>
        <v>NA</v>
      </c>
    </row>
    <row r="306" spans="1:46">
      <c r="A306" s="5" t="s">
        <v>32</v>
      </c>
      <c r="B306" s="40" t="s">
        <v>37</v>
      </c>
      <c r="C306" s="7">
        <v>3</v>
      </c>
      <c r="D306" s="7">
        <v>6.1</v>
      </c>
      <c r="E306" s="8">
        <f>C306/D306</f>
        <v>0.49180327868852464</v>
      </c>
      <c r="F306" t="s">
        <v>19</v>
      </c>
      <c r="G306" s="41">
        <v>8.3333333333333339</v>
      </c>
      <c r="H306" s="41"/>
      <c r="I306" s="8">
        <f t="shared" si="24"/>
        <v>4.0983606557377055</v>
      </c>
      <c r="J306" s="10" t="s">
        <v>20</v>
      </c>
      <c r="K306" t="s">
        <v>21</v>
      </c>
      <c r="L306" t="s">
        <v>22</v>
      </c>
      <c r="M306" t="s">
        <v>30</v>
      </c>
      <c r="N306" s="11">
        <v>18</v>
      </c>
      <c r="O306" s="11">
        <v>5.1684999999999999</v>
      </c>
      <c r="P306" t="s">
        <v>24</v>
      </c>
      <c r="Q306" s="13" t="s">
        <v>25</v>
      </c>
      <c r="R306" s="13" t="s">
        <v>26</v>
      </c>
      <c r="S306" s="13" t="s">
        <v>31</v>
      </c>
      <c r="T306" t="str">
        <f>VLOOKUP(B306,'[1]Plant data'!$A$1:$AB$315,2,0)</f>
        <v>Melastomataceae</v>
      </c>
      <c r="U306" t="str">
        <f>VLOOKUP($B306,'[1]Plant data'!$A$1:$AB$315,3,0)</f>
        <v>NA</v>
      </c>
      <c r="V306" t="str">
        <f>VLOOKUP($B306,'[1]Plant data'!$A$1:$AB$315,4,0)</f>
        <v>black</v>
      </c>
      <c r="W306" t="str">
        <f>VLOOKUP($B306,'[1]Plant data'!$A$1:$AB$315,5,0)</f>
        <v>YES</v>
      </c>
      <c r="X306">
        <f>VLOOKUP($B306,'[1]Plant data'!$A$1:$AB$315,6,0)</f>
        <v>3.16</v>
      </c>
      <c r="Y306">
        <f>VLOOKUP($B306,'[1]Plant data'!$A$1:$AB$315,7,0)</f>
        <v>4.0274999999999999</v>
      </c>
      <c r="Z306">
        <f>VLOOKUP($B306,'[1]Plant data'!$A$1:$AB$315,8,0)</f>
        <v>0.55000000000000004</v>
      </c>
      <c r="AA306">
        <f>VLOOKUP($B306,'[1]Plant data'!$A$1:$AB$315,9,0)</f>
        <v>0.8</v>
      </c>
      <c r="AB306" t="str">
        <f>VLOOKUP($B306,'[1]Plant data'!$A$1:$AB$315,10,0)</f>
        <v>NA</v>
      </c>
      <c r="AC306" t="str">
        <f>VLOOKUP($B306,'[1]Plant data'!$A$1:$AB$315,11,0)</f>
        <v>NA</v>
      </c>
      <c r="AD306" t="str">
        <f>VLOOKUP($B306,'[1]Plant data'!$A$1:$AB$315,12,0)</f>
        <v>NA</v>
      </c>
      <c r="AE306" t="str">
        <f>VLOOKUP($B306,'[1]Plant data'!$A$1:$AB$315,13,0)</f>
        <v>NA</v>
      </c>
      <c r="AF306" t="str">
        <f>VLOOKUP($B306,'[1]Plant data'!$A$1:$AB$315,14,0)</f>
        <v>NA</v>
      </c>
      <c r="AG306" t="str">
        <f>VLOOKUP($B306,'[1]Plant data'!$A$1:$AB$315,15,0)</f>
        <v>NA</v>
      </c>
      <c r="AH306" t="str">
        <f>VLOOKUP($B306,'[1]Plant data'!$A$1:$AB$315,16,0)</f>
        <v>NA</v>
      </c>
      <c r="AI306" t="str">
        <f>VLOOKUP($B306,'[1]Plant data'!$A$1:$AB$315,17,0)</f>
        <v>NA</v>
      </c>
      <c r="AJ306" t="str">
        <f>VLOOKUP($B306,'[1]Plant data'!$A$1:$AB$315,18,0)</f>
        <v>ATLANTIC, Erica&amp;Wesley, Alves 2008, Correia 1997</v>
      </c>
      <c r="AK306" t="str">
        <f>VLOOKUP($B306,'[1]Plant data'!$A$1:$AB$315,19,0)</f>
        <v>NA</v>
      </c>
      <c r="AL306" t="str">
        <f>VLOOKUP($B306,'[1]Plant data'!$A$1:$AB$315,20,0)</f>
        <v>NA</v>
      </c>
      <c r="AM306" t="str">
        <f>VLOOKUP($B306,'[1]Plant data'!$A$1:$AB$315,21,0)</f>
        <v>NA</v>
      </c>
      <c r="AN306" t="str">
        <f>VLOOKUP($B306,'[1]Plant data'!$A$1:$AB$315,22,0)</f>
        <v>NA</v>
      </c>
      <c r="AO306" t="str">
        <f>VLOOKUP($B306,'[1]Plant data'!$A$1:$AB$315,23,0)</f>
        <v>NA</v>
      </c>
      <c r="AP306" t="str">
        <f>VLOOKUP($B306,'[1]Plant data'!$A$1:$AB$315,24,0)</f>
        <v>NA</v>
      </c>
      <c r="AQ306" t="str">
        <f>VLOOKUP($B306,'[1]Plant data'!$A$1:$AB$315,25,0)</f>
        <v>NA</v>
      </c>
      <c r="AR306" t="str">
        <f>VLOOKUP($B306,'[1]Plant data'!$A$1:$AB$315,26,0)</f>
        <v>NA</v>
      </c>
      <c r="AS306" t="str">
        <f>VLOOKUP($B306,'[1]Plant data'!$A$1:$AB$315,27,0)</f>
        <v>NA</v>
      </c>
      <c r="AT306" t="str">
        <f>VLOOKUP($B306,'[1]Plant data'!$A$1:$AB$315,28,0)</f>
        <v>NA</v>
      </c>
    </row>
    <row r="307" spans="1:46">
      <c r="A307" s="5" t="s">
        <v>144</v>
      </c>
      <c r="B307" s="39" t="s">
        <v>37</v>
      </c>
      <c r="C307">
        <v>2</v>
      </c>
      <c r="D307">
        <v>250</v>
      </c>
      <c r="E307" s="8">
        <f>C307/250</f>
        <v>8.0000000000000002E-3</v>
      </c>
      <c r="F307" s="8" t="s">
        <v>19</v>
      </c>
      <c r="G307" s="9" t="s">
        <v>19</v>
      </c>
      <c r="H307" s="9"/>
      <c r="I307" s="8" t="s">
        <v>19</v>
      </c>
      <c r="J307" s="24" t="s">
        <v>146</v>
      </c>
      <c r="K307" s="25" t="s">
        <v>147</v>
      </c>
      <c r="L307" t="s">
        <v>93</v>
      </c>
      <c r="M307" t="s">
        <v>94</v>
      </c>
      <c r="N307" s="11">
        <v>146</v>
      </c>
      <c r="O307" s="11">
        <v>23.6</v>
      </c>
      <c r="P307" t="s">
        <v>48</v>
      </c>
      <c r="Q307" t="s">
        <v>25</v>
      </c>
      <c r="R307" t="s">
        <v>145</v>
      </c>
      <c r="S307" t="s">
        <v>27</v>
      </c>
      <c r="T307" t="str">
        <f>VLOOKUP(B307,'[1]Plant data'!$A$1:$AB$315,2,0)</f>
        <v>Melastomataceae</v>
      </c>
      <c r="U307" t="str">
        <f>VLOOKUP($B307,'[1]Plant data'!$A$1:$AB$315,3,0)</f>
        <v>NA</v>
      </c>
      <c r="V307" t="str">
        <f>VLOOKUP($B307,'[1]Plant data'!$A$1:$AB$315,4,0)</f>
        <v>black</v>
      </c>
      <c r="W307" t="str">
        <f>VLOOKUP($B307,'[1]Plant data'!$A$1:$AB$315,5,0)</f>
        <v>YES</v>
      </c>
      <c r="X307">
        <f>VLOOKUP($B307,'[1]Plant data'!$A$1:$AB$315,6,0)</f>
        <v>3.16</v>
      </c>
      <c r="Y307">
        <f>VLOOKUP($B307,'[1]Plant data'!$A$1:$AB$315,7,0)</f>
        <v>4.0274999999999999</v>
      </c>
      <c r="Z307">
        <f>VLOOKUP($B307,'[1]Plant data'!$A$1:$AB$315,8,0)</f>
        <v>0.55000000000000004</v>
      </c>
      <c r="AA307">
        <f>VLOOKUP($B307,'[1]Plant data'!$A$1:$AB$315,9,0)</f>
        <v>0.8</v>
      </c>
      <c r="AB307" t="str">
        <f>VLOOKUP($B307,'[1]Plant data'!$A$1:$AB$315,10,0)</f>
        <v>NA</v>
      </c>
      <c r="AC307" t="str">
        <f>VLOOKUP($B307,'[1]Plant data'!$A$1:$AB$315,11,0)</f>
        <v>NA</v>
      </c>
      <c r="AD307" t="str">
        <f>VLOOKUP($B307,'[1]Plant data'!$A$1:$AB$315,12,0)</f>
        <v>NA</v>
      </c>
      <c r="AE307" t="str">
        <f>VLOOKUP($B307,'[1]Plant data'!$A$1:$AB$315,13,0)</f>
        <v>NA</v>
      </c>
      <c r="AF307" t="str">
        <f>VLOOKUP($B307,'[1]Plant data'!$A$1:$AB$315,14,0)</f>
        <v>NA</v>
      </c>
      <c r="AG307" t="str">
        <f>VLOOKUP($B307,'[1]Plant data'!$A$1:$AB$315,15,0)</f>
        <v>NA</v>
      </c>
      <c r="AH307" t="str">
        <f>VLOOKUP($B307,'[1]Plant data'!$A$1:$AB$315,16,0)</f>
        <v>NA</v>
      </c>
      <c r="AI307" t="str">
        <f>VLOOKUP($B307,'[1]Plant data'!$A$1:$AB$315,17,0)</f>
        <v>NA</v>
      </c>
      <c r="AJ307" t="str">
        <f>VLOOKUP($B307,'[1]Plant data'!$A$1:$AB$315,18,0)</f>
        <v>ATLANTIC, Erica&amp;Wesley, Alves 2008, Correia 1997</v>
      </c>
      <c r="AK307" t="str">
        <f>VLOOKUP($B307,'[1]Plant data'!$A$1:$AB$315,19,0)</f>
        <v>NA</v>
      </c>
      <c r="AL307" t="str">
        <f>VLOOKUP($B307,'[1]Plant data'!$A$1:$AB$315,20,0)</f>
        <v>NA</v>
      </c>
      <c r="AM307" t="str">
        <f>VLOOKUP($B307,'[1]Plant data'!$A$1:$AB$315,21,0)</f>
        <v>NA</v>
      </c>
      <c r="AN307" t="str">
        <f>VLOOKUP($B307,'[1]Plant data'!$A$1:$AB$315,22,0)</f>
        <v>NA</v>
      </c>
      <c r="AO307" t="str">
        <f>VLOOKUP($B307,'[1]Plant data'!$A$1:$AB$315,23,0)</f>
        <v>NA</v>
      </c>
      <c r="AP307" t="str">
        <f>VLOOKUP($B307,'[1]Plant data'!$A$1:$AB$315,24,0)</f>
        <v>NA</v>
      </c>
      <c r="AQ307" t="str">
        <f>VLOOKUP($B307,'[1]Plant data'!$A$1:$AB$315,25,0)</f>
        <v>NA</v>
      </c>
      <c r="AR307" t="str">
        <f>VLOOKUP($B307,'[1]Plant data'!$A$1:$AB$315,26,0)</f>
        <v>NA</v>
      </c>
      <c r="AS307" t="str">
        <f>VLOOKUP($B307,'[1]Plant data'!$A$1:$AB$315,27,0)</f>
        <v>NA</v>
      </c>
      <c r="AT307" t="str">
        <f>VLOOKUP($B307,'[1]Plant data'!$A$1:$AB$315,28,0)</f>
        <v>NA</v>
      </c>
    </row>
    <row r="308" spans="1:46">
      <c r="A308" s="5" t="s">
        <v>96</v>
      </c>
      <c r="B308" s="39" t="s">
        <v>37</v>
      </c>
      <c r="C308" s="7">
        <v>2</v>
      </c>
      <c r="D308" s="7">
        <v>250</v>
      </c>
      <c r="E308" s="8">
        <f>C308/250</f>
        <v>8.0000000000000002E-3</v>
      </c>
      <c r="F308" s="8" t="s">
        <v>19</v>
      </c>
      <c r="G308" s="9" t="s">
        <v>19</v>
      </c>
      <c r="H308" s="9"/>
      <c r="I308" s="8" t="s">
        <v>19</v>
      </c>
      <c r="J308" s="25" t="s">
        <v>146</v>
      </c>
      <c r="K308" s="25" t="s">
        <v>147</v>
      </c>
      <c r="L308" t="s">
        <v>100</v>
      </c>
      <c r="M308" t="s">
        <v>101</v>
      </c>
      <c r="N308" s="11">
        <v>1770</v>
      </c>
      <c r="O308" s="11">
        <v>22.349</v>
      </c>
      <c r="P308" t="s">
        <v>48</v>
      </c>
      <c r="Q308" t="s">
        <v>25</v>
      </c>
      <c r="R308" t="s">
        <v>26</v>
      </c>
      <c r="S308" t="s">
        <v>27</v>
      </c>
      <c r="T308" t="str">
        <f>VLOOKUP(B308,'[1]Plant data'!$A$1:$AB$315,2,0)</f>
        <v>Melastomataceae</v>
      </c>
      <c r="U308" t="str">
        <f>VLOOKUP($B308,'[1]Plant data'!$A$1:$AB$315,3,0)</f>
        <v>NA</v>
      </c>
      <c r="V308" t="str">
        <f>VLOOKUP($B308,'[1]Plant data'!$A$1:$AB$315,4,0)</f>
        <v>black</v>
      </c>
      <c r="W308" t="str">
        <f>VLOOKUP($B308,'[1]Plant data'!$A$1:$AB$315,5,0)</f>
        <v>YES</v>
      </c>
      <c r="X308">
        <f>VLOOKUP($B308,'[1]Plant data'!$A$1:$AB$315,6,0)</f>
        <v>3.16</v>
      </c>
      <c r="Y308">
        <f>VLOOKUP($B308,'[1]Plant data'!$A$1:$AB$315,7,0)</f>
        <v>4.0274999999999999</v>
      </c>
      <c r="Z308">
        <f>VLOOKUP($B308,'[1]Plant data'!$A$1:$AB$315,8,0)</f>
        <v>0.55000000000000004</v>
      </c>
      <c r="AA308">
        <f>VLOOKUP($B308,'[1]Plant data'!$A$1:$AB$315,9,0)</f>
        <v>0.8</v>
      </c>
      <c r="AB308" t="str">
        <f>VLOOKUP($B308,'[1]Plant data'!$A$1:$AB$315,10,0)</f>
        <v>NA</v>
      </c>
      <c r="AC308" t="str">
        <f>VLOOKUP($B308,'[1]Plant data'!$A$1:$AB$315,11,0)</f>
        <v>NA</v>
      </c>
      <c r="AD308" t="str">
        <f>VLOOKUP($B308,'[1]Plant data'!$A$1:$AB$315,12,0)</f>
        <v>NA</v>
      </c>
      <c r="AE308" t="str">
        <f>VLOOKUP($B308,'[1]Plant data'!$A$1:$AB$315,13,0)</f>
        <v>NA</v>
      </c>
      <c r="AF308" t="str">
        <f>VLOOKUP($B308,'[1]Plant data'!$A$1:$AB$315,14,0)</f>
        <v>NA</v>
      </c>
      <c r="AG308" t="str">
        <f>VLOOKUP($B308,'[1]Plant data'!$A$1:$AB$315,15,0)</f>
        <v>NA</v>
      </c>
      <c r="AH308" t="str">
        <f>VLOOKUP($B308,'[1]Plant data'!$A$1:$AB$315,16,0)</f>
        <v>NA</v>
      </c>
      <c r="AI308" t="str">
        <f>VLOOKUP($B308,'[1]Plant data'!$A$1:$AB$315,17,0)</f>
        <v>NA</v>
      </c>
      <c r="AJ308" t="str">
        <f>VLOOKUP($B308,'[1]Plant data'!$A$1:$AB$315,18,0)</f>
        <v>ATLANTIC, Erica&amp;Wesley, Alves 2008, Correia 1997</v>
      </c>
      <c r="AK308" t="str">
        <f>VLOOKUP($B308,'[1]Plant data'!$A$1:$AB$315,19,0)</f>
        <v>NA</v>
      </c>
      <c r="AL308" t="str">
        <f>VLOOKUP($B308,'[1]Plant data'!$A$1:$AB$315,20,0)</f>
        <v>NA</v>
      </c>
      <c r="AM308" t="str">
        <f>VLOOKUP($B308,'[1]Plant data'!$A$1:$AB$315,21,0)</f>
        <v>NA</v>
      </c>
      <c r="AN308" t="str">
        <f>VLOOKUP($B308,'[1]Plant data'!$A$1:$AB$315,22,0)</f>
        <v>NA</v>
      </c>
      <c r="AO308" t="str">
        <f>VLOOKUP($B308,'[1]Plant data'!$A$1:$AB$315,23,0)</f>
        <v>NA</v>
      </c>
      <c r="AP308" t="str">
        <f>VLOOKUP($B308,'[1]Plant data'!$A$1:$AB$315,24,0)</f>
        <v>NA</v>
      </c>
      <c r="AQ308" t="str">
        <f>VLOOKUP($B308,'[1]Plant data'!$A$1:$AB$315,25,0)</f>
        <v>NA</v>
      </c>
      <c r="AR308" t="str">
        <f>VLOOKUP($B308,'[1]Plant data'!$A$1:$AB$315,26,0)</f>
        <v>NA</v>
      </c>
      <c r="AS308" t="str">
        <f>VLOOKUP($B308,'[1]Plant data'!$A$1:$AB$315,27,0)</f>
        <v>NA</v>
      </c>
      <c r="AT308" t="str">
        <f>VLOOKUP($B308,'[1]Plant data'!$A$1:$AB$315,28,0)</f>
        <v>NA</v>
      </c>
    </row>
    <row r="309" spans="1:46">
      <c r="A309" s="5" t="s">
        <v>43</v>
      </c>
      <c r="B309" s="37" t="s">
        <v>37</v>
      </c>
      <c r="C309" s="7">
        <v>6</v>
      </c>
      <c r="D309" s="7">
        <v>250</v>
      </c>
      <c r="E309" s="23">
        <f>C309/250</f>
        <v>2.4E-2</v>
      </c>
      <c r="F309" s="8" t="s">
        <v>19</v>
      </c>
      <c r="G309" s="41">
        <v>2.1</v>
      </c>
      <c r="H309" s="41"/>
      <c r="I309" s="8">
        <f>E309*G309</f>
        <v>5.04E-2</v>
      </c>
      <c r="J309" s="25" t="s">
        <v>146</v>
      </c>
      <c r="K309" s="25" t="s">
        <v>147</v>
      </c>
      <c r="L309" t="s">
        <v>22</v>
      </c>
      <c r="M309" t="s">
        <v>30</v>
      </c>
      <c r="N309" s="11">
        <v>32.5</v>
      </c>
      <c r="O309" s="11">
        <v>8.9205555560000001</v>
      </c>
      <c r="P309" t="s">
        <v>24</v>
      </c>
      <c r="Q309" t="s">
        <v>25</v>
      </c>
      <c r="R309" t="s">
        <v>26</v>
      </c>
      <c r="S309" t="s">
        <v>31</v>
      </c>
      <c r="T309" t="str">
        <f>VLOOKUP(B309,'[1]Plant data'!$A$1:$AB$315,2,0)</f>
        <v>Melastomataceae</v>
      </c>
      <c r="U309" t="str">
        <f>VLOOKUP($B309,'[1]Plant data'!$A$1:$AB$315,3,0)</f>
        <v>NA</v>
      </c>
      <c r="V309" t="str">
        <f>VLOOKUP($B309,'[1]Plant data'!$A$1:$AB$315,4,0)</f>
        <v>black</v>
      </c>
      <c r="W309" t="str">
        <f>VLOOKUP($B309,'[1]Plant data'!$A$1:$AB$315,5,0)</f>
        <v>YES</v>
      </c>
      <c r="X309">
        <f>VLOOKUP($B309,'[1]Plant data'!$A$1:$AB$315,6,0)</f>
        <v>3.16</v>
      </c>
      <c r="Y309">
        <f>VLOOKUP($B309,'[1]Plant data'!$A$1:$AB$315,7,0)</f>
        <v>4.0274999999999999</v>
      </c>
      <c r="Z309">
        <f>VLOOKUP($B309,'[1]Plant data'!$A$1:$AB$315,8,0)</f>
        <v>0.55000000000000004</v>
      </c>
      <c r="AA309">
        <f>VLOOKUP($B309,'[1]Plant data'!$A$1:$AB$315,9,0)</f>
        <v>0.8</v>
      </c>
      <c r="AB309" t="str">
        <f>VLOOKUP($B309,'[1]Plant data'!$A$1:$AB$315,10,0)</f>
        <v>NA</v>
      </c>
      <c r="AC309" t="str">
        <f>VLOOKUP($B309,'[1]Plant data'!$A$1:$AB$315,11,0)</f>
        <v>NA</v>
      </c>
      <c r="AD309" t="str">
        <f>VLOOKUP($B309,'[1]Plant data'!$A$1:$AB$315,12,0)</f>
        <v>NA</v>
      </c>
      <c r="AE309" t="str">
        <f>VLOOKUP($B309,'[1]Plant data'!$A$1:$AB$315,13,0)</f>
        <v>NA</v>
      </c>
      <c r="AF309" t="str">
        <f>VLOOKUP($B309,'[1]Plant data'!$A$1:$AB$315,14,0)</f>
        <v>NA</v>
      </c>
      <c r="AG309" t="str">
        <f>VLOOKUP($B309,'[1]Plant data'!$A$1:$AB$315,15,0)</f>
        <v>NA</v>
      </c>
      <c r="AH309" t="str">
        <f>VLOOKUP($B309,'[1]Plant data'!$A$1:$AB$315,16,0)</f>
        <v>NA</v>
      </c>
      <c r="AI309" t="str">
        <f>VLOOKUP($B309,'[1]Plant data'!$A$1:$AB$315,17,0)</f>
        <v>NA</v>
      </c>
      <c r="AJ309" t="str">
        <f>VLOOKUP($B309,'[1]Plant data'!$A$1:$AB$315,18,0)</f>
        <v>ATLANTIC, Erica&amp;Wesley, Alves 2008, Correia 1997</v>
      </c>
      <c r="AK309" t="str">
        <f>VLOOKUP($B309,'[1]Plant data'!$A$1:$AB$315,19,0)</f>
        <v>NA</v>
      </c>
      <c r="AL309" t="str">
        <f>VLOOKUP($B309,'[1]Plant data'!$A$1:$AB$315,20,0)</f>
        <v>NA</v>
      </c>
      <c r="AM309" t="str">
        <f>VLOOKUP($B309,'[1]Plant data'!$A$1:$AB$315,21,0)</f>
        <v>NA</v>
      </c>
      <c r="AN309" t="str">
        <f>VLOOKUP($B309,'[1]Plant data'!$A$1:$AB$315,22,0)</f>
        <v>NA</v>
      </c>
      <c r="AO309" t="str">
        <f>VLOOKUP($B309,'[1]Plant data'!$A$1:$AB$315,23,0)</f>
        <v>NA</v>
      </c>
      <c r="AP309" t="str">
        <f>VLOOKUP($B309,'[1]Plant data'!$A$1:$AB$315,24,0)</f>
        <v>NA</v>
      </c>
      <c r="AQ309" t="str">
        <f>VLOOKUP($B309,'[1]Plant data'!$A$1:$AB$315,25,0)</f>
        <v>NA</v>
      </c>
      <c r="AR309" t="str">
        <f>VLOOKUP($B309,'[1]Plant data'!$A$1:$AB$315,26,0)</f>
        <v>NA</v>
      </c>
      <c r="AS309" t="str">
        <f>VLOOKUP($B309,'[1]Plant data'!$A$1:$AB$315,27,0)</f>
        <v>NA</v>
      </c>
      <c r="AT309" t="str">
        <f>VLOOKUP($B309,'[1]Plant data'!$A$1:$AB$315,28,0)</f>
        <v>NA</v>
      </c>
    </row>
    <row r="310" spans="1:46">
      <c r="A310" s="5" t="s">
        <v>46</v>
      </c>
      <c r="B310" s="40" t="s">
        <v>37</v>
      </c>
      <c r="C310">
        <v>5</v>
      </c>
      <c r="D310" s="7">
        <v>250</v>
      </c>
      <c r="E310" s="8">
        <f>C310/250</f>
        <v>0.02</v>
      </c>
      <c r="F310" s="8" t="s">
        <v>19</v>
      </c>
      <c r="G310" s="41">
        <v>10.029292929292929</v>
      </c>
      <c r="H310" s="41"/>
      <c r="I310" s="8">
        <f>E310*G310</f>
        <v>0.20058585858585859</v>
      </c>
      <c r="J310" s="25" t="s">
        <v>146</v>
      </c>
      <c r="K310" s="25" t="s">
        <v>147</v>
      </c>
      <c r="L310" t="s">
        <v>22</v>
      </c>
      <c r="M310" t="s">
        <v>47</v>
      </c>
      <c r="N310" s="11">
        <v>54</v>
      </c>
      <c r="O310" s="11">
        <v>11.14875</v>
      </c>
      <c r="P310" t="s">
        <v>48</v>
      </c>
      <c r="Q310" t="s">
        <v>49</v>
      </c>
      <c r="R310" t="s">
        <v>26</v>
      </c>
      <c r="S310" t="s">
        <v>31</v>
      </c>
      <c r="T310" t="str">
        <f>VLOOKUP(B310,'[1]Plant data'!$A$1:$AB$315,2,0)</f>
        <v>Melastomataceae</v>
      </c>
      <c r="U310" t="str">
        <f>VLOOKUP($B310,'[1]Plant data'!$A$1:$AB$315,3,0)</f>
        <v>NA</v>
      </c>
      <c r="V310" t="str">
        <f>VLOOKUP($B310,'[1]Plant data'!$A$1:$AB$315,4,0)</f>
        <v>black</v>
      </c>
      <c r="W310" t="str">
        <f>VLOOKUP($B310,'[1]Plant data'!$A$1:$AB$315,5,0)</f>
        <v>YES</v>
      </c>
      <c r="X310">
        <f>VLOOKUP($B310,'[1]Plant data'!$A$1:$AB$315,6,0)</f>
        <v>3.16</v>
      </c>
      <c r="Y310">
        <f>VLOOKUP($B310,'[1]Plant data'!$A$1:$AB$315,7,0)</f>
        <v>4.0274999999999999</v>
      </c>
      <c r="Z310">
        <f>VLOOKUP($B310,'[1]Plant data'!$A$1:$AB$315,8,0)</f>
        <v>0.55000000000000004</v>
      </c>
      <c r="AA310">
        <f>VLOOKUP($B310,'[1]Plant data'!$A$1:$AB$315,9,0)</f>
        <v>0.8</v>
      </c>
      <c r="AB310" t="str">
        <f>VLOOKUP($B310,'[1]Plant data'!$A$1:$AB$315,10,0)</f>
        <v>NA</v>
      </c>
      <c r="AC310" t="str">
        <f>VLOOKUP($B310,'[1]Plant data'!$A$1:$AB$315,11,0)</f>
        <v>NA</v>
      </c>
      <c r="AD310" t="str">
        <f>VLOOKUP($B310,'[1]Plant data'!$A$1:$AB$315,12,0)</f>
        <v>NA</v>
      </c>
      <c r="AE310" t="str">
        <f>VLOOKUP($B310,'[1]Plant data'!$A$1:$AB$315,13,0)</f>
        <v>NA</v>
      </c>
      <c r="AF310" t="str">
        <f>VLOOKUP($B310,'[1]Plant data'!$A$1:$AB$315,14,0)</f>
        <v>NA</v>
      </c>
      <c r="AG310" t="str">
        <f>VLOOKUP($B310,'[1]Plant data'!$A$1:$AB$315,15,0)</f>
        <v>NA</v>
      </c>
      <c r="AH310" t="str">
        <f>VLOOKUP($B310,'[1]Plant data'!$A$1:$AB$315,16,0)</f>
        <v>NA</v>
      </c>
      <c r="AI310" t="str">
        <f>VLOOKUP($B310,'[1]Plant data'!$A$1:$AB$315,17,0)</f>
        <v>NA</v>
      </c>
      <c r="AJ310" t="str">
        <f>VLOOKUP($B310,'[1]Plant data'!$A$1:$AB$315,18,0)</f>
        <v>ATLANTIC, Erica&amp;Wesley, Alves 2008, Correia 1997</v>
      </c>
      <c r="AK310" t="str">
        <f>VLOOKUP($B310,'[1]Plant data'!$A$1:$AB$315,19,0)</f>
        <v>NA</v>
      </c>
      <c r="AL310" t="str">
        <f>VLOOKUP($B310,'[1]Plant data'!$A$1:$AB$315,20,0)</f>
        <v>NA</v>
      </c>
      <c r="AM310" t="str">
        <f>VLOOKUP($B310,'[1]Plant data'!$A$1:$AB$315,21,0)</f>
        <v>NA</v>
      </c>
      <c r="AN310" t="str">
        <f>VLOOKUP($B310,'[1]Plant data'!$A$1:$AB$315,22,0)</f>
        <v>NA</v>
      </c>
      <c r="AO310" t="str">
        <f>VLOOKUP($B310,'[1]Plant data'!$A$1:$AB$315,23,0)</f>
        <v>NA</v>
      </c>
      <c r="AP310" t="str">
        <f>VLOOKUP($B310,'[1]Plant data'!$A$1:$AB$315,24,0)</f>
        <v>NA</v>
      </c>
      <c r="AQ310" t="str">
        <f>VLOOKUP($B310,'[1]Plant data'!$A$1:$AB$315,25,0)</f>
        <v>NA</v>
      </c>
      <c r="AR310" t="str">
        <f>VLOOKUP($B310,'[1]Plant data'!$A$1:$AB$315,26,0)</f>
        <v>NA</v>
      </c>
      <c r="AS310" t="str">
        <f>VLOOKUP($B310,'[1]Plant data'!$A$1:$AB$315,27,0)</f>
        <v>NA</v>
      </c>
      <c r="AT310" t="str">
        <f>VLOOKUP($B310,'[1]Plant data'!$A$1:$AB$315,28,0)</f>
        <v>NA</v>
      </c>
    </row>
    <row r="311" spans="1:46">
      <c r="A311" s="5" t="s">
        <v>50</v>
      </c>
      <c r="B311" s="37" t="s">
        <v>37</v>
      </c>
      <c r="C311" s="7">
        <v>1</v>
      </c>
      <c r="D311" s="7">
        <v>250</v>
      </c>
      <c r="E311" s="8">
        <f>C311/250</f>
        <v>4.0000000000000001E-3</v>
      </c>
      <c r="F311" s="8" t="s">
        <v>19</v>
      </c>
      <c r="G311" s="41">
        <v>10.029292929292929</v>
      </c>
      <c r="H311" s="41"/>
      <c r="I311" s="8">
        <f>E311*G311</f>
        <v>4.0117171717171718E-2</v>
      </c>
      <c r="J311" t="s">
        <v>146</v>
      </c>
      <c r="K311" t="s">
        <v>147</v>
      </c>
      <c r="L311" t="s">
        <v>22</v>
      </c>
      <c r="M311" t="s">
        <v>47</v>
      </c>
      <c r="N311" s="11">
        <v>69.5</v>
      </c>
      <c r="O311" s="11">
        <v>13.253214290000001</v>
      </c>
      <c r="P311" t="s">
        <v>48</v>
      </c>
      <c r="Q311" t="s">
        <v>25</v>
      </c>
      <c r="R311" t="s">
        <v>26</v>
      </c>
      <c r="S311" t="s">
        <v>31</v>
      </c>
      <c r="T311" t="str">
        <f>VLOOKUP(B311,'[1]Plant data'!$A$1:$AB$315,2,0)</f>
        <v>Melastomataceae</v>
      </c>
      <c r="U311" t="str">
        <f>VLOOKUP($B311,'[1]Plant data'!$A$1:$AB$315,3,0)</f>
        <v>NA</v>
      </c>
      <c r="V311" t="str">
        <f>VLOOKUP($B311,'[1]Plant data'!$A$1:$AB$315,4,0)</f>
        <v>black</v>
      </c>
      <c r="W311" t="str">
        <f>VLOOKUP($B311,'[1]Plant data'!$A$1:$AB$315,5,0)</f>
        <v>YES</v>
      </c>
      <c r="X311">
        <f>VLOOKUP($B311,'[1]Plant data'!$A$1:$AB$315,6,0)</f>
        <v>3.16</v>
      </c>
      <c r="Y311">
        <f>VLOOKUP($B311,'[1]Plant data'!$A$1:$AB$315,7,0)</f>
        <v>4.0274999999999999</v>
      </c>
      <c r="Z311">
        <f>VLOOKUP($B311,'[1]Plant data'!$A$1:$AB$315,8,0)</f>
        <v>0.55000000000000004</v>
      </c>
      <c r="AA311">
        <f>VLOOKUP($B311,'[1]Plant data'!$A$1:$AB$315,9,0)</f>
        <v>0.8</v>
      </c>
      <c r="AB311" t="str">
        <f>VLOOKUP($B311,'[1]Plant data'!$A$1:$AB$315,10,0)</f>
        <v>NA</v>
      </c>
      <c r="AC311" t="str">
        <f>VLOOKUP($B311,'[1]Plant data'!$A$1:$AB$315,11,0)</f>
        <v>NA</v>
      </c>
      <c r="AD311" t="str">
        <f>VLOOKUP($B311,'[1]Plant data'!$A$1:$AB$315,12,0)</f>
        <v>NA</v>
      </c>
      <c r="AE311" t="str">
        <f>VLOOKUP($B311,'[1]Plant data'!$A$1:$AB$315,13,0)</f>
        <v>NA</v>
      </c>
      <c r="AF311" t="str">
        <f>VLOOKUP($B311,'[1]Plant data'!$A$1:$AB$315,14,0)</f>
        <v>NA</v>
      </c>
      <c r="AG311" t="str">
        <f>VLOOKUP($B311,'[1]Plant data'!$A$1:$AB$315,15,0)</f>
        <v>NA</v>
      </c>
      <c r="AH311" t="str">
        <f>VLOOKUP($B311,'[1]Plant data'!$A$1:$AB$315,16,0)</f>
        <v>NA</v>
      </c>
      <c r="AI311" t="str">
        <f>VLOOKUP($B311,'[1]Plant data'!$A$1:$AB$315,17,0)</f>
        <v>NA</v>
      </c>
      <c r="AJ311" t="str">
        <f>VLOOKUP($B311,'[1]Plant data'!$A$1:$AB$315,18,0)</f>
        <v>ATLANTIC, Erica&amp;Wesley, Alves 2008, Correia 1997</v>
      </c>
      <c r="AK311" t="str">
        <f>VLOOKUP($B311,'[1]Plant data'!$A$1:$AB$315,19,0)</f>
        <v>NA</v>
      </c>
      <c r="AL311" t="str">
        <f>VLOOKUP($B311,'[1]Plant data'!$A$1:$AB$315,20,0)</f>
        <v>NA</v>
      </c>
      <c r="AM311" t="str">
        <f>VLOOKUP($B311,'[1]Plant data'!$A$1:$AB$315,21,0)</f>
        <v>NA</v>
      </c>
      <c r="AN311" t="str">
        <f>VLOOKUP($B311,'[1]Plant data'!$A$1:$AB$315,22,0)</f>
        <v>NA</v>
      </c>
      <c r="AO311" t="str">
        <f>VLOOKUP($B311,'[1]Plant data'!$A$1:$AB$315,23,0)</f>
        <v>NA</v>
      </c>
      <c r="AP311" t="str">
        <f>VLOOKUP($B311,'[1]Plant data'!$A$1:$AB$315,24,0)</f>
        <v>NA</v>
      </c>
      <c r="AQ311" t="str">
        <f>VLOOKUP($B311,'[1]Plant data'!$A$1:$AB$315,25,0)</f>
        <v>NA</v>
      </c>
      <c r="AR311" t="str">
        <f>VLOOKUP($B311,'[1]Plant data'!$A$1:$AB$315,26,0)</f>
        <v>NA</v>
      </c>
      <c r="AS311" t="str">
        <f>VLOOKUP($B311,'[1]Plant data'!$A$1:$AB$315,27,0)</f>
        <v>NA</v>
      </c>
      <c r="AT311" t="str">
        <f>VLOOKUP($B311,'[1]Plant data'!$A$1:$AB$315,28,0)</f>
        <v>NA</v>
      </c>
    </row>
    <row r="312" spans="1:46">
      <c r="A312" s="5" t="s">
        <v>144</v>
      </c>
      <c r="B312" s="39" t="s">
        <v>37</v>
      </c>
      <c r="C312" s="7">
        <v>2</v>
      </c>
      <c r="D312" s="7">
        <v>177.8</v>
      </c>
      <c r="E312" s="8">
        <f>C312/177.8</f>
        <v>1.1248593925759279E-2</v>
      </c>
      <c r="F312" s="27" t="s">
        <v>19</v>
      </c>
      <c r="G312" s="9" t="s">
        <v>19</v>
      </c>
      <c r="H312" s="9"/>
      <c r="I312" s="8" t="s">
        <v>19</v>
      </c>
      <c r="J312" s="25" t="s">
        <v>198</v>
      </c>
      <c r="K312" s="25" t="s">
        <v>199</v>
      </c>
      <c r="L312" t="s">
        <v>93</v>
      </c>
      <c r="M312" t="s">
        <v>94</v>
      </c>
      <c r="N312" s="11">
        <v>146</v>
      </c>
      <c r="O312" s="11">
        <v>23.6</v>
      </c>
      <c r="P312" t="s">
        <v>48</v>
      </c>
      <c r="Q312" t="s">
        <v>25</v>
      </c>
      <c r="R312" t="s">
        <v>145</v>
      </c>
      <c r="S312" t="s">
        <v>27</v>
      </c>
      <c r="T312" t="str">
        <f>VLOOKUP(B312,'[1]Plant data'!$A$1:$AB$315,2,0)</f>
        <v>Melastomataceae</v>
      </c>
      <c r="U312" t="str">
        <f>VLOOKUP($B312,'[1]Plant data'!$A$1:$AB$315,3,0)</f>
        <v>NA</v>
      </c>
      <c r="V312" t="str">
        <f>VLOOKUP($B312,'[1]Plant data'!$A$1:$AB$315,4,0)</f>
        <v>black</v>
      </c>
      <c r="W312" t="str">
        <f>VLOOKUP($B312,'[1]Plant data'!$A$1:$AB$315,5,0)</f>
        <v>YES</v>
      </c>
      <c r="X312">
        <f>VLOOKUP($B312,'[1]Plant data'!$A$1:$AB$315,6,0)</f>
        <v>3.16</v>
      </c>
      <c r="Y312">
        <f>VLOOKUP($B312,'[1]Plant data'!$A$1:$AB$315,7,0)</f>
        <v>4.0274999999999999</v>
      </c>
      <c r="Z312">
        <f>VLOOKUP($B312,'[1]Plant data'!$A$1:$AB$315,8,0)</f>
        <v>0.55000000000000004</v>
      </c>
      <c r="AA312">
        <f>VLOOKUP($B312,'[1]Plant data'!$A$1:$AB$315,9,0)</f>
        <v>0.8</v>
      </c>
      <c r="AB312" t="str">
        <f>VLOOKUP($B312,'[1]Plant data'!$A$1:$AB$315,10,0)</f>
        <v>NA</v>
      </c>
      <c r="AC312" t="str">
        <f>VLOOKUP($B312,'[1]Plant data'!$A$1:$AB$315,11,0)</f>
        <v>NA</v>
      </c>
      <c r="AD312" t="str">
        <f>VLOOKUP($B312,'[1]Plant data'!$A$1:$AB$315,12,0)</f>
        <v>NA</v>
      </c>
      <c r="AE312" t="str">
        <f>VLOOKUP($B312,'[1]Plant data'!$A$1:$AB$315,13,0)</f>
        <v>NA</v>
      </c>
      <c r="AF312" t="str">
        <f>VLOOKUP($B312,'[1]Plant data'!$A$1:$AB$315,14,0)</f>
        <v>NA</v>
      </c>
      <c r="AG312" t="str">
        <f>VLOOKUP($B312,'[1]Plant data'!$A$1:$AB$315,15,0)</f>
        <v>NA</v>
      </c>
      <c r="AH312" t="str">
        <f>VLOOKUP($B312,'[1]Plant data'!$A$1:$AB$315,16,0)</f>
        <v>NA</v>
      </c>
      <c r="AI312" t="str">
        <f>VLOOKUP($B312,'[1]Plant data'!$A$1:$AB$315,17,0)</f>
        <v>NA</v>
      </c>
      <c r="AJ312" t="str">
        <f>VLOOKUP($B312,'[1]Plant data'!$A$1:$AB$315,18,0)</f>
        <v>ATLANTIC, Erica&amp;Wesley, Alves 2008, Correia 1997</v>
      </c>
      <c r="AK312" t="str">
        <f>VLOOKUP($B312,'[1]Plant data'!$A$1:$AB$315,19,0)</f>
        <v>NA</v>
      </c>
      <c r="AL312" t="str">
        <f>VLOOKUP($B312,'[1]Plant data'!$A$1:$AB$315,20,0)</f>
        <v>NA</v>
      </c>
      <c r="AM312" t="str">
        <f>VLOOKUP($B312,'[1]Plant data'!$A$1:$AB$315,21,0)</f>
        <v>NA</v>
      </c>
      <c r="AN312" t="str">
        <f>VLOOKUP($B312,'[1]Plant data'!$A$1:$AB$315,22,0)</f>
        <v>NA</v>
      </c>
      <c r="AO312" t="str">
        <f>VLOOKUP($B312,'[1]Plant data'!$A$1:$AB$315,23,0)</f>
        <v>NA</v>
      </c>
      <c r="AP312" t="str">
        <f>VLOOKUP($B312,'[1]Plant data'!$A$1:$AB$315,24,0)</f>
        <v>NA</v>
      </c>
      <c r="AQ312" t="str">
        <f>VLOOKUP($B312,'[1]Plant data'!$A$1:$AB$315,25,0)</f>
        <v>NA</v>
      </c>
      <c r="AR312" t="str">
        <f>VLOOKUP($B312,'[1]Plant data'!$A$1:$AB$315,26,0)</f>
        <v>NA</v>
      </c>
      <c r="AS312" t="str">
        <f>VLOOKUP($B312,'[1]Plant data'!$A$1:$AB$315,27,0)</f>
        <v>NA</v>
      </c>
      <c r="AT312" t="str">
        <f>VLOOKUP($B312,'[1]Plant data'!$A$1:$AB$315,28,0)</f>
        <v>NA</v>
      </c>
    </row>
    <row r="313" spans="1:46">
      <c r="A313" s="5" t="s">
        <v>90</v>
      </c>
      <c r="B313" s="40" t="s">
        <v>37</v>
      </c>
      <c r="C313" s="25">
        <v>27</v>
      </c>
      <c r="D313" s="25">
        <v>177.8</v>
      </c>
      <c r="E313" s="26">
        <f>C313/177.8</f>
        <v>0.15185601799775028</v>
      </c>
      <c r="F313" s="27" t="s">
        <v>19</v>
      </c>
      <c r="G313" s="41">
        <v>3</v>
      </c>
      <c r="H313" s="41"/>
      <c r="I313" s="8">
        <f>E313*G313</f>
        <v>0.45556805399325084</v>
      </c>
      <c r="J313" s="25" t="s">
        <v>198</v>
      </c>
      <c r="K313" s="25" t="s">
        <v>199</v>
      </c>
      <c r="L313" t="s">
        <v>93</v>
      </c>
      <c r="M313" t="s">
        <v>94</v>
      </c>
      <c r="N313" s="11">
        <v>331</v>
      </c>
      <c r="O313" s="11">
        <v>30.7</v>
      </c>
      <c r="P313" t="s">
        <v>48</v>
      </c>
      <c r="Q313" t="s">
        <v>95</v>
      </c>
      <c r="R313" t="s">
        <v>26</v>
      </c>
      <c r="S313" t="s">
        <v>27</v>
      </c>
      <c r="T313" t="str">
        <f>VLOOKUP(B313,'[1]Plant data'!$A$1:$AB$315,2,0)</f>
        <v>Melastomataceae</v>
      </c>
      <c r="U313" t="str">
        <f>VLOOKUP($B313,'[1]Plant data'!$A$1:$AB$315,3,0)</f>
        <v>NA</v>
      </c>
      <c r="V313" t="str">
        <f>VLOOKUP($B313,'[1]Plant data'!$A$1:$AB$315,4,0)</f>
        <v>black</v>
      </c>
      <c r="W313" t="str">
        <f>VLOOKUP($B313,'[1]Plant data'!$A$1:$AB$315,5,0)</f>
        <v>YES</v>
      </c>
      <c r="X313">
        <f>VLOOKUP($B313,'[1]Plant data'!$A$1:$AB$315,6,0)</f>
        <v>3.16</v>
      </c>
      <c r="Y313">
        <f>VLOOKUP($B313,'[1]Plant data'!$A$1:$AB$315,7,0)</f>
        <v>4.0274999999999999</v>
      </c>
      <c r="Z313">
        <f>VLOOKUP($B313,'[1]Plant data'!$A$1:$AB$315,8,0)</f>
        <v>0.55000000000000004</v>
      </c>
      <c r="AA313">
        <f>VLOOKUP($B313,'[1]Plant data'!$A$1:$AB$315,9,0)</f>
        <v>0.8</v>
      </c>
      <c r="AB313" t="str">
        <f>VLOOKUP($B313,'[1]Plant data'!$A$1:$AB$315,10,0)</f>
        <v>NA</v>
      </c>
      <c r="AC313" t="str">
        <f>VLOOKUP($B313,'[1]Plant data'!$A$1:$AB$315,11,0)</f>
        <v>NA</v>
      </c>
      <c r="AD313" t="str">
        <f>VLOOKUP($B313,'[1]Plant data'!$A$1:$AB$315,12,0)</f>
        <v>NA</v>
      </c>
      <c r="AE313" t="str">
        <f>VLOOKUP($B313,'[1]Plant data'!$A$1:$AB$315,13,0)</f>
        <v>NA</v>
      </c>
      <c r="AF313" t="str">
        <f>VLOOKUP($B313,'[1]Plant data'!$A$1:$AB$315,14,0)</f>
        <v>NA</v>
      </c>
      <c r="AG313" t="str">
        <f>VLOOKUP($B313,'[1]Plant data'!$A$1:$AB$315,15,0)</f>
        <v>NA</v>
      </c>
      <c r="AH313" t="str">
        <f>VLOOKUP($B313,'[1]Plant data'!$A$1:$AB$315,16,0)</f>
        <v>NA</v>
      </c>
      <c r="AI313" t="str">
        <f>VLOOKUP($B313,'[1]Plant data'!$A$1:$AB$315,17,0)</f>
        <v>NA</v>
      </c>
      <c r="AJ313" t="str">
        <f>VLOOKUP($B313,'[1]Plant data'!$A$1:$AB$315,18,0)</f>
        <v>ATLANTIC, Erica&amp;Wesley, Alves 2008, Correia 1997</v>
      </c>
      <c r="AK313" t="str">
        <f>VLOOKUP($B313,'[1]Plant data'!$A$1:$AB$315,19,0)</f>
        <v>NA</v>
      </c>
      <c r="AL313" t="str">
        <f>VLOOKUP($B313,'[1]Plant data'!$A$1:$AB$315,20,0)</f>
        <v>NA</v>
      </c>
      <c r="AM313" t="str">
        <f>VLOOKUP($B313,'[1]Plant data'!$A$1:$AB$315,21,0)</f>
        <v>NA</v>
      </c>
      <c r="AN313" t="str">
        <f>VLOOKUP($B313,'[1]Plant data'!$A$1:$AB$315,22,0)</f>
        <v>NA</v>
      </c>
      <c r="AO313" t="str">
        <f>VLOOKUP($B313,'[1]Plant data'!$A$1:$AB$315,23,0)</f>
        <v>NA</v>
      </c>
      <c r="AP313" t="str">
        <f>VLOOKUP($B313,'[1]Plant data'!$A$1:$AB$315,24,0)</f>
        <v>NA</v>
      </c>
      <c r="AQ313" t="str">
        <f>VLOOKUP($B313,'[1]Plant data'!$A$1:$AB$315,25,0)</f>
        <v>NA</v>
      </c>
      <c r="AR313" t="str">
        <f>VLOOKUP($B313,'[1]Plant data'!$A$1:$AB$315,26,0)</f>
        <v>NA</v>
      </c>
      <c r="AS313" t="str">
        <f>VLOOKUP($B313,'[1]Plant data'!$A$1:$AB$315,27,0)</f>
        <v>NA</v>
      </c>
      <c r="AT313" t="str">
        <f>VLOOKUP($B313,'[1]Plant data'!$A$1:$AB$315,28,0)</f>
        <v>NA</v>
      </c>
    </row>
    <row r="314" spans="1:46">
      <c r="A314" s="5" t="s">
        <v>46</v>
      </c>
      <c r="B314" s="40" t="s">
        <v>37</v>
      </c>
      <c r="C314" s="7">
        <v>17</v>
      </c>
      <c r="D314" s="25">
        <v>177.8</v>
      </c>
      <c r="E314" s="23">
        <f>C314/177.8</f>
        <v>9.5613048368953873E-2</v>
      </c>
      <c r="F314" s="27" t="s">
        <v>19</v>
      </c>
      <c r="G314" s="41">
        <v>10.029292929292929</v>
      </c>
      <c r="H314" s="41"/>
      <c r="I314" s="8">
        <f>E314*G314</f>
        <v>0.95893126995489186</v>
      </c>
      <c r="J314" s="25" t="s">
        <v>198</v>
      </c>
      <c r="K314" s="25" t="s">
        <v>199</v>
      </c>
      <c r="L314" t="s">
        <v>22</v>
      </c>
      <c r="M314" t="s">
        <v>47</v>
      </c>
      <c r="N314" s="11">
        <v>54</v>
      </c>
      <c r="O314" s="11">
        <v>11.14875</v>
      </c>
      <c r="P314" t="s">
        <v>48</v>
      </c>
      <c r="Q314" t="s">
        <v>49</v>
      </c>
      <c r="R314" t="s">
        <v>26</v>
      </c>
      <c r="S314" t="s">
        <v>31</v>
      </c>
      <c r="T314" t="str">
        <f>VLOOKUP(B314,'[1]Plant data'!$A$1:$AB$315,2,0)</f>
        <v>Melastomataceae</v>
      </c>
      <c r="U314" t="str">
        <f>VLOOKUP($B314,'[1]Plant data'!$A$1:$AB$315,3,0)</f>
        <v>NA</v>
      </c>
      <c r="V314" t="str">
        <f>VLOOKUP($B314,'[1]Plant data'!$A$1:$AB$315,4,0)</f>
        <v>black</v>
      </c>
      <c r="W314" t="str">
        <f>VLOOKUP($B314,'[1]Plant data'!$A$1:$AB$315,5,0)</f>
        <v>YES</v>
      </c>
      <c r="X314">
        <f>VLOOKUP($B314,'[1]Plant data'!$A$1:$AB$315,6,0)</f>
        <v>3.16</v>
      </c>
      <c r="Y314">
        <f>VLOOKUP($B314,'[1]Plant data'!$A$1:$AB$315,7,0)</f>
        <v>4.0274999999999999</v>
      </c>
      <c r="Z314">
        <f>VLOOKUP($B314,'[1]Plant data'!$A$1:$AB$315,8,0)</f>
        <v>0.55000000000000004</v>
      </c>
      <c r="AA314">
        <f>VLOOKUP($B314,'[1]Plant data'!$A$1:$AB$315,9,0)</f>
        <v>0.8</v>
      </c>
      <c r="AB314" t="str">
        <f>VLOOKUP($B314,'[1]Plant data'!$A$1:$AB$315,10,0)</f>
        <v>NA</v>
      </c>
      <c r="AC314" t="str">
        <f>VLOOKUP($B314,'[1]Plant data'!$A$1:$AB$315,11,0)</f>
        <v>NA</v>
      </c>
      <c r="AD314" t="str">
        <f>VLOOKUP($B314,'[1]Plant data'!$A$1:$AB$315,12,0)</f>
        <v>NA</v>
      </c>
      <c r="AE314" t="str">
        <f>VLOOKUP($B314,'[1]Plant data'!$A$1:$AB$315,13,0)</f>
        <v>NA</v>
      </c>
      <c r="AF314" t="str">
        <f>VLOOKUP($B314,'[1]Plant data'!$A$1:$AB$315,14,0)</f>
        <v>NA</v>
      </c>
      <c r="AG314" t="str">
        <f>VLOOKUP($B314,'[1]Plant data'!$A$1:$AB$315,15,0)</f>
        <v>NA</v>
      </c>
      <c r="AH314" t="str">
        <f>VLOOKUP($B314,'[1]Plant data'!$A$1:$AB$315,16,0)</f>
        <v>NA</v>
      </c>
      <c r="AI314" t="str">
        <f>VLOOKUP($B314,'[1]Plant data'!$A$1:$AB$315,17,0)</f>
        <v>NA</v>
      </c>
      <c r="AJ314" t="str">
        <f>VLOOKUP($B314,'[1]Plant data'!$A$1:$AB$315,18,0)</f>
        <v>ATLANTIC, Erica&amp;Wesley, Alves 2008, Correia 1997</v>
      </c>
      <c r="AK314" t="str">
        <f>VLOOKUP($B314,'[1]Plant data'!$A$1:$AB$315,19,0)</f>
        <v>NA</v>
      </c>
      <c r="AL314" t="str">
        <f>VLOOKUP($B314,'[1]Plant data'!$A$1:$AB$315,20,0)</f>
        <v>NA</v>
      </c>
      <c r="AM314" t="str">
        <f>VLOOKUP($B314,'[1]Plant data'!$A$1:$AB$315,21,0)</f>
        <v>NA</v>
      </c>
      <c r="AN314" t="str">
        <f>VLOOKUP($B314,'[1]Plant data'!$A$1:$AB$315,22,0)</f>
        <v>NA</v>
      </c>
      <c r="AO314" t="str">
        <f>VLOOKUP($B314,'[1]Plant data'!$A$1:$AB$315,23,0)</f>
        <v>NA</v>
      </c>
      <c r="AP314" t="str">
        <f>VLOOKUP($B314,'[1]Plant data'!$A$1:$AB$315,24,0)</f>
        <v>NA</v>
      </c>
      <c r="AQ314" t="str">
        <f>VLOOKUP($B314,'[1]Plant data'!$A$1:$AB$315,25,0)</f>
        <v>NA</v>
      </c>
      <c r="AR314" t="str">
        <f>VLOOKUP($B314,'[1]Plant data'!$A$1:$AB$315,26,0)</f>
        <v>NA</v>
      </c>
      <c r="AS314" t="str">
        <f>VLOOKUP($B314,'[1]Plant data'!$A$1:$AB$315,27,0)</f>
        <v>NA</v>
      </c>
      <c r="AT314" t="str">
        <f>VLOOKUP($B314,'[1]Plant data'!$A$1:$AB$315,28,0)</f>
        <v>NA</v>
      </c>
    </row>
    <row r="315" spans="1:46">
      <c r="A315" s="5" t="s">
        <v>50</v>
      </c>
      <c r="B315" s="32" t="s">
        <v>37</v>
      </c>
      <c r="C315">
        <v>2</v>
      </c>
      <c r="D315" s="25">
        <v>177.8</v>
      </c>
      <c r="E315" s="8">
        <f>C315/177.8</f>
        <v>1.1248593925759279E-2</v>
      </c>
      <c r="F315" s="27" t="s">
        <v>19</v>
      </c>
      <c r="G315" s="41">
        <v>10.029292929292929</v>
      </c>
      <c r="H315" s="41"/>
      <c r="I315" s="8">
        <f>E315*G315</f>
        <v>0.11281544352410493</v>
      </c>
      <c r="J315" s="24" t="s">
        <v>198</v>
      </c>
      <c r="K315" s="25" t="s">
        <v>199</v>
      </c>
      <c r="L315" t="s">
        <v>22</v>
      </c>
      <c r="M315" t="s">
        <v>47</v>
      </c>
      <c r="N315" s="11">
        <v>69.5</v>
      </c>
      <c r="O315" s="11">
        <v>13.253214290000001</v>
      </c>
      <c r="P315" t="s">
        <v>48</v>
      </c>
      <c r="Q315" t="s">
        <v>25</v>
      </c>
      <c r="R315" t="s">
        <v>26</v>
      </c>
      <c r="S315" t="s">
        <v>31</v>
      </c>
      <c r="T315" t="str">
        <f>VLOOKUP(B315,'[1]Plant data'!$A$1:$AB$315,2,0)</f>
        <v>Melastomataceae</v>
      </c>
      <c r="U315" t="str">
        <f>VLOOKUP($B315,'[1]Plant data'!$A$1:$AB$315,3,0)</f>
        <v>NA</v>
      </c>
      <c r="V315" t="str">
        <f>VLOOKUP($B315,'[1]Plant data'!$A$1:$AB$315,4,0)</f>
        <v>black</v>
      </c>
      <c r="W315" t="str">
        <f>VLOOKUP($B315,'[1]Plant data'!$A$1:$AB$315,5,0)</f>
        <v>YES</v>
      </c>
      <c r="X315">
        <f>VLOOKUP($B315,'[1]Plant data'!$A$1:$AB$315,6,0)</f>
        <v>3.16</v>
      </c>
      <c r="Y315">
        <f>VLOOKUP($B315,'[1]Plant data'!$A$1:$AB$315,7,0)</f>
        <v>4.0274999999999999</v>
      </c>
      <c r="Z315">
        <f>VLOOKUP($B315,'[1]Plant data'!$A$1:$AB$315,8,0)</f>
        <v>0.55000000000000004</v>
      </c>
      <c r="AA315">
        <f>VLOOKUP($B315,'[1]Plant data'!$A$1:$AB$315,9,0)</f>
        <v>0.8</v>
      </c>
      <c r="AB315" t="str">
        <f>VLOOKUP($B315,'[1]Plant data'!$A$1:$AB$315,10,0)</f>
        <v>NA</v>
      </c>
      <c r="AC315" t="str">
        <f>VLOOKUP($B315,'[1]Plant data'!$A$1:$AB$315,11,0)</f>
        <v>NA</v>
      </c>
      <c r="AD315" t="str">
        <f>VLOOKUP($B315,'[1]Plant data'!$A$1:$AB$315,12,0)</f>
        <v>NA</v>
      </c>
      <c r="AE315" t="str">
        <f>VLOOKUP($B315,'[1]Plant data'!$A$1:$AB$315,13,0)</f>
        <v>NA</v>
      </c>
      <c r="AF315" t="str">
        <f>VLOOKUP($B315,'[1]Plant data'!$A$1:$AB$315,14,0)</f>
        <v>NA</v>
      </c>
      <c r="AG315" t="str">
        <f>VLOOKUP($B315,'[1]Plant data'!$A$1:$AB$315,15,0)</f>
        <v>NA</v>
      </c>
      <c r="AH315" t="str">
        <f>VLOOKUP($B315,'[1]Plant data'!$A$1:$AB$315,16,0)</f>
        <v>NA</v>
      </c>
      <c r="AI315" t="str">
        <f>VLOOKUP($B315,'[1]Plant data'!$A$1:$AB$315,17,0)</f>
        <v>NA</v>
      </c>
      <c r="AJ315" t="str">
        <f>VLOOKUP($B315,'[1]Plant data'!$A$1:$AB$315,18,0)</f>
        <v>ATLANTIC, Erica&amp;Wesley, Alves 2008, Correia 1997</v>
      </c>
      <c r="AK315" t="str">
        <f>VLOOKUP($B315,'[1]Plant data'!$A$1:$AB$315,19,0)</f>
        <v>NA</v>
      </c>
      <c r="AL315" t="str">
        <f>VLOOKUP($B315,'[1]Plant data'!$A$1:$AB$315,20,0)</f>
        <v>NA</v>
      </c>
      <c r="AM315" t="str">
        <f>VLOOKUP($B315,'[1]Plant data'!$A$1:$AB$315,21,0)</f>
        <v>NA</v>
      </c>
      <c r="AN315" t="str">
        <f>VLOOKUP($B315,'[1]Plant data'!$A$1:$AB$315,22,0)</f>
        <v>NA</v>
      </c>
      <c r="AO315" t="str">
        <f>VLOOKUP($B315,'[1]Plant data'!$A$1:$AB$315,23,0)</f>
        <v>NA</v>
      </c>
      <c r="AP315" t="str">
        <f>VLOOKUP($B315,'[1]Plant data'!$A$1:$AB$315,24,0)</f>
        <v>NA</v>
      </c>
      <c r="AQ315" t="str">
        <f>VLOOKUP($B315,'[1]Plant data'!$A$1:$AB$315,25,0)</f>
        <v>NA</v>
      </c>
      <c r="AR315" t="str">
        <f>VLOOKUP($B315,'[1]Plant data'!$A$1:$AB$315,26,0)</f>
        <v>NA</v>
      </c>
      <c r="AS315" t="str">
        <f>VLOOKUP($B315,'[1]Plant data'!$A$1:$AB$315,27,0)</f>
        <v>NA</v>
      </c>
      <c r="AT315" t="str">
        <f>VLOOKUP($B315,'[1]Plant data'!$A$1:$AB$315,28,0)</f>
        <v>NA</v>
      </c>
    </row>
    <row r="316" spans="1:46">
      <c r="A316" s="5" t="s">
        <v>70</v>
      </c>
      <c r="B316" s="33" t="s">
        <v>37</v>
      </c>
      <c r="C316" s="7">
        <v>4</v>
      </c>
      <c r="D316" s="16">
        <v>85.3</v>
      </c>
      <c r="E316" s="8">
        <f t="shared" ref="E316:E321" si="25">C316/85.3</f>
        <v>4.6893317702227433E-2</v>
      </c>
      <c r="F316" s="9" t="s">
        <v>19</v>
      </c>
      <c r="G316" s="41">
        <v>3.125</v>
      </c>
      <c r="H316" s="41"/>
      <c r="I316" s="8">
        <f>E316*G316</f>
        <v>0.14654161781946073</v>
      </c>
      <c r="J316" s="25" t="s">
        <v>246</v>
      </c>
      <c r="K316" s="25" t="s">
        <v>247</v>
      </c>
      <c r="L316" t="s">
        <v>22</v>
      </c>
      <c r="M316" t="s">
        <v>23</v>
      </c>
      <c r="N316" s="11">
        <v>15</v>
      </c>
      <c r="O316" s="11">
        <v>6.9235714289999999</v>
      </c>
      <c r="P316" t="s">
        <v>24</v>
      </c>
      <c r="Q316" t="s">
        <v>25</v>
      </c>
      <c r="R316" t="s">
        <v>26</v>
      </c>
      <c r="S316" t="s">
        <v>27</v>
      </c>
      <c r="T316" t="str">
        <f>VLOOKUP(B316,'[1]Plant data'!$A$1:$AB$315,2,0)</f>
        <v>Melastomataceae</v>
      </c>
      <c r="U316" t="str">
        <f>VLOOKUP($B316,'[1]Plant data'!$A$1:$AB$315,3,0)</f>
        <v>NA</v>
      </c>
      <c r="V316" t="str">
        <f>VLOOKUP($B316,'[1]Plant data'!$A$1:$AB$315,4,0)</f>
        <v>black</v>
      </c>
      <c r="W316" t="str">
        <f>VLOOKUP($B316,'[1]Plant data'!$A$1:$AB$315,5,0)</f>
        <v>YES</v>
      </c>
      <c r="X316">
        <f>VLOOKUP($B316,'[1]Plant data'!$A$1:$AB$315,6,0)</f>
        <v>3.16</v>
      </c>
      <c r="Y316">
        <f>VLOOKUP($B316,'[1]Plant data'!$A$1:$AB$315,7,0)</f>
        <v>4.0274999999999999</v>
      </c>
      <c r="Z316">
        <f>VLOOKUP($B316,'[1]Plant data'!$A$1:$AB$315,8,0)</f>
        <v>0.55000000000000004</v>
      </c>
      <c r="AA316">
        <f>VLOOKUP($B316,'[1]Plant data'!$A$1:$AB$315,9,0)</f>
        <v>0.8</v>
      </c>
      <c r="AB316" t="str">
        <f>VLOOKUP($B316,'[1]Plant data'!$A$1:$AB$315,10,0)</f>
        <v>NA</v>
      </c>
      <c r="AC316" t="str">
        <f>VLOOKUP($B316,'[1]Plant data'!$A$1:$AB$315,11,0)</f>
        <v>NA</v>
      </c>
      <c r="AD316" t="str">
        <f>VLOOKUP($B316,'[1]Plant data'!$A$1:$AB$315,12,0)</f>
        <v>NA</v>
      </c>
      <c r="AE316" t="str">
        <f>VLOOKUP($B316,'[1]Plant data'!$A$1:$AB$315,13,0)</f>
        <v>NA</v>
      </c>
      <c r="AF316" t="str">
        <f>VLOOKUP($B316,'[1]Plant data'!$A$1:$AB$315,14,0)</f>
        <v>NA</v>
      </c>
      <c r="AG316" t="str">
        <f>VLOOKUP($B316,'[1]Plant data'!$A$1:$AB$315,15,0)</f>
        <v>NA</v>
      </c>
      <c r="AH316" t="str">
        <f>VLOOKUP($B316,'[1]Plant data'!$A$1:$AB$315,16,0)</f>
        <v>NA</v>
      </c>
      <c r="AI316" t="str">
        <f>VLOOKUP($B316,'[1]Plant data'!$A$1:$AB$315,17,0)</f>
        <v>NA</v>
      </c>
      <c r="AJ316" t="str">
        <f>VLOOKUP($B316,'[1]Plant data'!$A$1:$AB$315,18,0)</f>
        <v>ATLANTIC, Erica&amp;Wesley, Alves 2008, Correia 1997</v>
      </c>
      <c r="AK316" t="str">
        <f>VLOOKUP($B316,'[1]Plant data'!$A$1:$AB$315,19,0)</f>
        <v>NA</v>
      </c>
      <c r="AL316" t="str">
        <f>VLOOKUP($B316,'[1]Plant data'!$A$1:$AB$315,20,0)</f>
        <v>NA</v>
      </c>
      <c r="AM316" t="str">
        <f>VLOOKUP($B316,'[1]Plant data'!$A$1:$AB$315,21,0)</f>
        <v>NA</v>
      </c>
      <c r="AN316" t="str">
        <f>VLOOKUP($B316,'[1]Plant data'!$A$1:$AB$315,22,0)</f>
        <v>NA</v>
      </c>
      <c r="AO316" t="str">
        <f>VLOOKUP($B316,'[1]Plant data'!$A$1:$AB$315,23,0)</f>
        <v>NA</v>
      </c>
      <c r="AP316" t="str">
        <f>VLOOKUP($B316,'[1]Plant data'!$A$1:$AB$315,24,0)</f>
        <v>NA</v>
      </c>
      <c r="AQ316" t="str">
        <f>VLOOKUP($B316,'[1]Plant data'!$A$1:$AB$315,25,0)</f>
        <v>NA</v>
      </c>
      <c r="AR316" t="str">
        <f>VLOOKUP($B316,'[1]Plant data'!$A$1:$AB$315,26,0)</f>
        <v>NA</v>
      </c>
      <c r="AS316" t="str">
        <f>VLOOKUP($B316,'[1]Plant data'!$A$1:$AB$315,27,0)</f>
        <v>NA</v>
      </c>
      <c r="AT316" t="str">
        <f>VLOOKUP($B316,'[1]Plant data'!$A$1:$AB$315,28,0)</f>
        <v>NA</v>
      </c>
    </row>
    <row r="317" spans="1:46">
      <c r="A317" s="5" t="s">
        <v>105</v>
      </c>
      <c r="B317" s="32" t="s">
        <v>37</v>
      </c>
      <c r="C317" s="7">
        <v>4</v>
      </c>
      <c r="D317" s="7">
        <v>85.3</v>
      </c>
      <c r="E317" s="8">
        <f t="shared" si="25"/>
        <v>4.6893317702227433E-2</v>
      </c>
      <c r="F317" s="9" t="s">
        <v>19</v>
      </c>
      <c r="G317" s="9" t="s">
        <v>19</v>
      </c>
      <c r="H317" s="9"/>
      <c r="I317" s="8" t="s">
        <v>19</v>
      </c>
      <c r="J317" t="s">
        <v>246</v>
      </c>
      <c r="K317" t="s">
        <v>247</v>
      </c>
      <c r="L317" t="s">
        <v>93</v>
      </c>
      <c r="M317" t="s">
        <v>94</v>
      </c>
      <c r="N317" s="11">
        <v>164</v>
      </c>
      <c r="O317" s="11">
        <v>25.039000000000001</v>
      </c>
      <c r="P317" t="s">
        <v>48</v>
      </c>
      <c r="Q317" t="s">
        <v>25</v>
      </c>
      <c r="R317" t="s">
        <v>26</v>
      </c>
      <c r="S317" t="s">
        <v>27</v>
      </c>
      <c r="T317" t="str">
        <f>VLOOKUP(B317,'[1]Plant data'!$A$1:$AB$315,2,0)</f>
        <v>Melastomataceae</v>
      </c>
      <c r="U317" t="str">
        <f>VLOOKUP($B317,'[1]Plant data'!$A$1:$AB$315,3,0)</f>
        <v>NA</v>
      </c>
      <c r="V317" t="str">
        <f>VLOOKUP($B317,'[1]Plant data'!$A$1:$AB$315,4,0)</f>
        <v>black</v>
      </c>
      <c r="W317" t="str">
        <f>VLOOKUP($B317,'[1]Plant data'!$A$1:$AB$315,5,0)</f>
        <v>YES</v>
      </c>
      <c r="X317">
        <f>VLOOKUP($B317,'[1]Plant data'!$A$1:$AB$315,6,0)</f>
        <v>3.16</v>
      </c>
      <c r="Y317">
        <f>VLOOKUP($B317,'[1]Plant data'!$A$1:$AB$315,7,0)</f>
        <v>4.0274999999999999</v>
      </c>
      <c r="Z317">
        <f>VLOOKUP($B317,'[1]Plant data'!$A$1:$AB$315,8,0)</f>
        <v>0.55000000000000004</v>
      </c>
      <c r="AA317">
        <f>VLOOKUP($B317,'[1]Plant data'!$A$1:$AB$315,9,0)</f>
        <v>0.8</v>
      </c>
      <c r="AB317" t="str">
        <f>VLOOKUP($B317,'[1]Plant data'!$A$1:$AB$315,10,0)</f>
        <v>NA</v>
      </c>
      <c r="AC317" t="str">
        <f>VLOOKUP($B317,'[1]Plant data'!$A$1:$AB$315,11,0)</f>
        <v>NA</v>
      </c>
      <c r="AD317" t="str">
        <f>VLOOKUP($B317,'[1]Plant data'!$A$1:$AB$315,12,0)</f>
        <v>NA</v>
      </c>
      <c r="AE317" t="str">
        <f>VLOOKUP($B317,'[1]Plant data'!$A$1:$AB$315,13,0)</f>
        <v>NA</v>
      </c>
      <c r="AF317" t="str">
        <f>VLOOKUP($B317,'[1]Plant data'!$A$1:$AB$315,14,0)</f>
        <v>NA</v>
      </c>
      <c r="AG317" t="str">
        <f>VLOOKUP($B317,'[1]Plant data'!$A$1:$AB$315,15,0)</f>
        <v>NA</v>
      </c>
      <c r="AH317" t="str">
        <f>VLOOKUP($B317,'[1]Plant data'!$A$1:$AB$315,16,0)</f>
        <v>NA</v>
      </c>
      <c r="AI317" t="str">
        <f>VLOOKUP($B317,'[1]Plant data'!$A$1:$AB$315,17,0)</f>
        <v>NA</v>
      </c>
      <c r="AJ317" t="str">
        <f>VLOOKUP($B317,'[1]Plant data'!$A$1:$AB$315,18,0)</f>
        <v>ATLANTIC, Erica&amp;Wesley, Alves 2008, Correia 1997</v>
      </c>
      <c r="AK317" t="str">
        <f>VLOOKUP($B317,'[1]Plant data'!$A$1:$AB$315,19,0)</f>
        <v>NA</v>
      </c>
      <c r="AL317" t="str">
        <f>VLOOKUP($B317,'[1]Plant data'!$A$1:$AB$315,20,0)</f>
        <v>NA</v>
      </c>
      <c r="AM317" t="str">
        <f>VLOOKUP($B317,'[1]Plant data'!$A$1:$AB$315,21,0)</f>
        <v>NA</v>
      </c>
      <c r="AN317" t="str">
        <f>VLOOKUP($B317,'[1]Plant data'!$A$1:$AB$315,22,0)</f>
        <v>NA</v>
      </c>
      <c r="AO317" t="str">
        <f>VLOOKUP($B317,'[1]Plant data'!$A$1:$AB$315,23,0)</f>
        <v>NA</v>
      </c>
      <c r="AP317" t="str">
        <f>VLOOKUP($B317,'[1]Plant data'!$A$1:$AB$315,24,0)</f>
        <v>NA</v>
      </c>
      <c r="AQ317" t="str">
        <f>VLOOKUP($B317,'[1]Plant data'!$A$1:$AB$315,25,0)</f>
        <v>NA</v>
      </c>
      <c r="AR317" t="str">
        <f>VLOOKUP($B317,'[1]Plant data'!$A$1:$AB$315,26,0)</f>
        <v>NA</v>
      </c>
      <c r="AS317" t="str">
        <f>VLOOKUP($B317,'[1]Plant data'!$A$1:$AB$315,27,0)</f>
        <v>NA</v>
      </c>
      <c r="AT317" t="str">
        <f>VLOOKUP($B317,'[1]Plant data'!$A$1:$AB$315,28,0)</f>
        <v>NA</v>
      </c>
    </row>
    <row r="318" spans="1:46">
      <c r="A318" s="5" t="s">
        <v>62</v>
      </c>
      <c r="B318" s="33" t="s">
        <v>37</v>
      </c>
      <c r="C318" s="7">
        <v>7</v>
      </c>
      <c r="D318" s="16">
        <v>85.3</v>
      </c>
      <c r="E318" s="8">
        <f t="shared" si="25"/>
        <v>8.2063305978898007E-2</v>
      </c>
      <c r="F318" s="9" t="s">
        <v>19</v>
      </c>
      <c r="G318" s="41">
        <v>8.3333333333333339</v>
      </c>
      <c r="H318" s="41"/>
      <c r="I318" s="8">
        <f t="shared" ref="I318:I346" si="26">E318*G318</f>
        <v>0.68386088315748339</v>
      </c>
      <c r="J318" s="24" t="s">
        <v>246</v>
      </c>
      <c r="K318" s="25" t="s">
        <v>247</v>
      </c>
      <c r="L318" t="s">
        <v>22</v>
      </c>
      <c r="M318" t="s">
        <v>30</v>
      </c>
      <c r="N318" s="11">
        <v>18.7</v>
      </c>
      <c r="O318" s="11">
        <v>6.1185714290000002</v>
      </c>
      <c r="P318" t="s">
        <v>24</v>
      </c>
      <c r="Q318" t="s">
        <v>25</v>
      </c>
      <c r="R318" t="s">
        <v>26</v>
      </c>
      <c r="S318" t="s">
        <v>31</v>
      </c>
      <c r="T318" t="str">
        <f>VLOOKUP(B318,'[1]Plant data'!$A$1:$AB$315,2,0)</f>
        <v>Melastomataceae</v>
      </c>
      <c r="U318" t="str">
        <f>VLOOKUP($B318,'[1]Plant data'!$A$1:$AB$315,3,0)</f>
        <v>NA</v>
      </c>
      <c r="V318" t="str">
        <f>VLOOKUP($B318,'[1]Plant data'!$A$1:$AB$315,4,0)</f>
        <v>black</v>
      </c>
      <c r="W318" t="str">
        <f>VLOOKUP($B318,'[1]Plant data'!$A$1:$AB$315,5,0)</f>
        <v>YES</v>
      </c>
      <c r="X318">
        <f>VLOOKUP($B318,'[1]Plant data'!$A$1:$AB$315,6,0)</f>
        <v>3.16</v>
      </c>
      <c r="Y318">
        <f>VLOOKUP($B318,'[1]Plant data'!$A$1:$AB$315,7,0)</f>
        <v>4.0274999999999999</v>
      </c>
      <c r="Z318">
        <f>VLOOKUP($B318,'[1]Plant data'!$A$1:$AB$315,8,0)</f>
        <v>0.55000000000000004</v>
      </c>
      <c r="AA318">
        <f>VLOOKUP($B318,'[1]Plant data'!$A$1:$AB$315,9,0)</f>
        <v>0.8</v>
      </c>
      <c r="AB318" t="str">
        <f>VLOOKUP($B318,'[1]Plant data'!$A$1:$AB$315,10,0)</f>
        <v>NA</v>
      </c>
      <c r="AC318" t="str">
        <f>VLOOKUP($B318,'[1]Plant data'!$A$1:$AB$315,11,0)</f>
        <v>NA</v>
      </c>
      <c r="AD318" t="str">
        <f>VLOOKUP($B318,'[1]Plant data'!$A$1:$AB$315,12,0)</f>
        <v>NA</v>
      </c>
      <c r="AE318" t="str">
        <f>VLOOKUP($B318,'[1]Plant data'!$A$1:$AB$315,13,0)</f>
        <v>NA</v>
      </c>
      <c r="AF318" t="str">
        <f>VLOOKUP($B318,'[1]Plant data'!$A$1:$AB$315,14,0)</f>
        <v>NA</v>
      </c>
      <c r="AG318" t="str">
        <f>VLOOKUP($B318,'[1]Plant data'!$A$1:$AB$315,15,0)</f>
        <v>NA</v>
      </c>
      <c r="AH318" t="str">
        <f>VLOOKUP($B318,'[1]Plant data'!$A$1:$AB$315,16,0)</f>
        <v>NA</v>
      </c>
      <c r="AI318" t="str">
        <f>VLOOKUP($B318,'[1]Plant data'!$A$1:$AB$315,17,0)</f>
        <v>NA</v>
      </c>
      <c r="AJ318" t="str">
        <f>VLOOKUP($B318,'[1]Plant data'!$A$1:$AB$315,18,0)</f>
        <v>ATLANTIC, Erica&amp;Wesley, Alves 2008, Correia 1997</v>
      </c>
      <c r="AK318" t="str">
        <f>VLOOKUP($B318,'[1]Plant data'!$A$1:$AB$315,19,0)</f>
        <v>NA</v>
      </c>
      <c r="AL318" t="str">
        <f>VLOOKUP($B318,'[1]Plant data'!$A$1:$AB$315,20,0)</f>
        <v>NA</v>
      </c>
      <c r="AM318" t="str">
        <f>VLOOKUP($B318,'[1]Plant data'!$A$1:$AB$315,21,0)</f>
        <v>NA</v>
      </c>
      <c r="AN318" t="str">
        <f>VLOOKUP($B318,'[1]Plant data'!$A$1:$AB$315,22,0)</f>
        <v>NA</v>
      </c>
      <c r="AO318" t="str">
        <f>VLOOKUP($B318,'[1]Plant data'!$A$1:$AB$315,23,0)</f>
        <v>NA</v>
      </c>
      <c r="AP318" t="str">
        <f>VLOOKUP($B318,'[1]Plant data'!$A$1:$AB$315,24,0)</f>
        <v>NA</v>
      </c>
      <c r="AQ318" t="str">
        <f>VLOOKUP($B318,'[1]Plant data'!$A$1:$AB$315,25,0)</f>
        <v>NA</v>
      </c>
      <c r="AR318" t="str">
        <f>VLOOKUP($B318,'[1]Plant data'!$A$1:$AB$315,26,0)</f>
        <v>NA</v>
      </c>
      <c r="AS318" t="str">
        <f>VLOOKUP($B318,'[1]Plant data'!$A$1:$AB$315,27,0)</f>
        <v>NA</v>
      </c>
      <c r="AT318" t="str">
        <f>VLOOKUP($B318,'[1]Plant data'!$A$1:$AB$315,28,0)</f>
        <v>NA</v>
      </c>
    </row>
    <row r="319" spans="1:46">
      <c r="A319" s="5" t="s">
        <v>41</v>
      </c>
      <c r="B319" s="32" t="s">
        <v>37</v>
      </c>
      <c r="C319" s="7">
        <v>6</v>
      </c>
      <c r="D319" s="7">
        <v>85.3</v>
      </c>
      <c r="E319" s="8">
        <f t="shared" si="25"/>
        <v>7.0339976553341149E-2</v>
      </c>
      <c r="F319" s="9" t="s">
        <v>19</v>
      </c>
      <c r="G319" s="41">
        <v>2.1</v>
      </c>
      <c r="H319" s="41"/>
      <c r="I319" s="8">
        <f t="shared" si="26"/>
        <v>0.14771395076201643</v>
      </c>
      <c r="J319" s="25" t="s">
        <v>246</v>
      </c>
      <c r="K319" s="25" t="s">
        <v>247</v>
      </c>
      <c r="L319" t="s">
        <v>22</v>
      </c>
      <c r="M319" t="s">
        <v>30</v>
      </c>
      <c r="N319" s="11">
        <v>39</v>
      </c>
      <c r="O319" s="11">
        <v>8.2839869279999991</v>
      </c>
      <c r="P319" t="s">
        <v>24</v>
      </c>
      <c r="Q319" t="s">
        <v>25</v>
      </c>
      <c r="R319" t="s">
        <v>26</v>
      </c>
      <c r="S319" t="s">
        <v>31</v>
      </c>
      <c r="T319" t="str">
        <f>VLOOKUP(B319,'[1]Plant data'!$A$1:$AB$315,2,0)</f>
        <v>Melastomataceae</v>
      </c>
      <c r="U319" t="str">
        <f>VLOOKUP($B319,'[1]Plant data'!$A$1:$AB$315,3,0)</f>
        <v>NA</v>
      </c>
      <c r="V319" t="str">
        <f>VLOOKUP($B319,'[1]Plant data'!$A$1:$AB$315,4,0)</f>
        <v>black</v>
      </c>
      <c r="W319" t="str">
        <f>VLOOKUP($B319,'[1]Plant data'!$A$1:$AB$315,5,0)</f>
        <v>YES</v>
      </c>
      <c r="X319">
        <f>VLOOKUP($B319,'[1]Plant data'!$A$1:$AB$315,6,0)</f>
        <v>3.16</v>
      </c>
      <c r="Y319">
        <f>VLOOKUP($B319,'[1]Plant data'!$A$1:$AB$315,7,0)</f>
        <v>4.0274999999999999</v>
      </c>
      <c r="Z319">
        <f>VLOOKUP($B319,'[1]Plant data'!$A$1:$AB$315,8,0)</f>
        <v>0.55000000000000004</v>
      </c>
      <c r="AA319">
        <f>VLOOKUP($B319,'[1]Plant data'!$A$1:$AB$315,9,0)</f>
        <v>0.8</v>
      </c>
      <c r="AB319" t="str">
        <f>VLOOKUP($B319,'[1]Plant data'!$A$1:$AB$315,10,0)</f>
        <v>NA</v>
      </c>
      <c r="AC319" t="str">
        <f>VLOOKUP($B319,'[1]Plant data'!$A$1:$AB$315,11,0)</f>
        <v>NA</v>
      </c>
      <c r="AD319" t="str">
        <f>VLOOKUP($B319,'[1]Plant data'!$A$1:$AB$315,12,0)</f>
        <v>NA</v>
      </c>
      <c r="AE319" t="str">
        <f>VLOOKUP($B319,'[1]Plant data'!$A$1:$AB$315,13,0)</f>
        <v>NA</v>
      </c>
      <c r="AF319" t="str">
        <f>VLOOKUP($B319,'[1]Plant data'!$A$1:$AB$315,14,0)</f>
        <v>NA</v>
      </c>
      <c r="AG319" t="str">
        <f>VLOOKUP($B319,'[1]Plant data'!$A$1:$AB$315,15,0)</f>
        <v>NA</v>
      </c>
      <c r="AH319" t="str">
        <f>VLOOKUP($B319,'[1]Plant data'!$A$1:$AB$315,16,0)</f>
        <v>NA</v>
      </c>
      <c r="AI319" t="str">
        <f>VLOOKUP($B319,'[1]Plant data'!$A$1:$AB$315,17,0)</f>
        <v>NA</v>
      </c>
      <c r="AJ319" t="str">
        <f>VLOOKUP($B319,'[1]Plant data'!$A$1:$AB$315,18,0)</f>
        <v>ATLANTIC, Erica&amp;Wesley, Alves 2008, Correia 1997</v>
      </c>
      <c r="AK319" t="str">
        <f>VLOOKUP($B319,'[1]Plant data'!$A$1:$AB$315,19,0)</f>
        <v>NA</v>
      </c>
      <c r="AL319" t="str">
        <f>VLOOKUP($B319,'[1]Plant data'!$A$1:$AB$315,20,0)</f>
        <v>NA</v>
      </c>
      <c r="AM319" t="str">
        <f>VLOOKUP($B319,'[1]Plant data'!$A$1:$AB$315,21,0)</f>
        <v>NA</v>
      </c>
      <c r="AN319" t="str">
        <f>VLOOKUP($B319,'[1]Plant data'!$A$1:$AB$315,22,0)</f>
        <v>NA</v>
      </c>
      <c r="AO319" t="str">
        <f>VLOOKUP($B319,'[1]Plant data'!$A$1:$AB$315,23,0)</f>
        <v>NA</v>
      </c>
      <c r="AP319" t="str">
        <f>VLOOKUP($B319,'[1]Plant data'!$A$1:$AB$315,24,0)</f>
        <v>NA</v>
      </c>
      <c r="AQ319" t="str">
        <f>VLOOKUP($B319,'[1]Plant data'!$A$1:$AB$315,25,0)</f>
        <v>NA</v>
      </c>
      <c r="AR319" t="str">
        <f>VLOOKUP($B319,'[1]Plant data'!$A$1:$AB$315,26,0)</f>
        <v>NA</v>
      </c>
      <c r="AS319" t="str">
        <f>VLOOKUP($B319,'[1]Plant data'!$A$1:$AB$315,27,0)</f>
        <v>NA</v>
      </c>
      <c r="AT319" t="str">
        <f>VLOOKUP($B319,'[1]Plant data'!$A$1:$AB$315,28,0)</f>
        <v>NA</v>
      </c>
    </row>
    <row r="320" spans="1:46">
      <c r="A320" s="5" t="s">
        <v>43</v>
      </c>
      <c r="B320" s="32" t="s">
        <v>37</v>
      </c>
      <c r="C320" s="7">
        <v>3</v>
      </c>
      <c r="D320" s="16">
        <v>85.3</v>
      </c>
      <c r="E320" s="8">
        <f t="shared" si="25"/>
        <v>3.5169988276670575E-2</v>
      </c>
      <c r="F320" s="9" t="s">
        <v>19</v>
      </c>
      <c r="G320" s="41">
        <v>2.1</v>
      </c>
      <c r="H320" s="41"/>
      <c r="I320" s="8">
        <f t="shared" si="26"/>
        <v>7.3856975381008216E-2</v>
      </c>
      <c r="J320" s="25" t="s">
        <v>246</v>
      </c>
      <c r="K320" s="25" t="s">
        <v>247</v>
      </c>
      <c r="L320" t="s">
        <v>22</v>
      </c>
      <c r="M320" t="s">
        <v>30</v>
      </c>
      <c r="N320" s="11">
        <v>32.5</v>
      </c>
      <c r="O320" s="11">
        <v>8.9205555560000001</v>
      </c>
      <c r="P320" t="s">
        <v>24</v>
      </c>
      <c r="Q320" t="s">
        <v>25</v>
      </c>
      <c r="R320" t="s">
        <v>26</v>
      </c>
      <c r="S320" t="s">
        <v>31</v>
      </c>
      <c r="T320" t="str">
        <f>VLOOKUP(B320,'[1]Plant data'!$A$1:$AB$315,2,0)</f>
        <v>Melastomataceae</v>
      </c>
      <c r="U320" t="str">
        <f>VLOOKUP($B320,'[1]Plant data'!$A$1:$AB$315,3,0)</f>
        <v>NA</v>
      </c>
      <c r="V320" t="str">
        <f>VLOOKUP($B320,'[1]Plant data'!$A$1:$AB$315,4,0)</f>
        <v>black</v>
      </c>
      <c r="W320" t="str">
        <f>VLOOKUP($B320,'[1]Plant data'!$A$1:$AB$315,5,0)</f>
        <v>YES</v>
      </c>
      <c r="X320">
        <f>VLOOKUP($B320,'[1]Plant data'!$A$1:$AB$315,6,0)</f>
        <v>3.16</v>
      </c>
      <c r="Y320">
        <f>VLOOKUP($B320,'[1]Plant data'!$A$1:$AB$315,7,0)</f>
        <v>4.0274999999999999</v>
      </c>
      <c r="Z320">
        <f>VLOOKUP($B320,'[1]Plant data'!$A$1:$AB$315,8,0)</f>
        <v>0.55000000000000004</v>
      </c>
      <c r="AA320">
        <f>VLOOKUP($B320,'[1]Plant data'!$A$1:$AB$315,9,0)</f>
        <v>0.8</v>
      </c>
      <c r="AB320" t="str">
        <f>VLOOKUP($B320,'[1]Plant data'!$A$1:$AB$315,10,0)</f>
        <v>NA</v>
      </c>
      <c r="AC320" t="str">
        <f>VLOOKUP($B320,'[1]Plant data'!$A$1:$AB$315,11,0)</f>
        <v>NA</v>
      </c>
      <c r="AD320" t="str">
        <f>VLOOKUP($B320,'[1]Plant data'!$A$1:$AB$315,12,0)</f>
        <v>NA</v>
      </c>
      <c r="AE320" t="str">
        <f>VLOOKUP($B320,'[1]Plant data'!$A$1:$AB$315,13,0)</f>
        <v>NA</v>
      </c>
      <c r="AF320" t="str">
        <f>VLOOKUP($B320,'[1]Plant data'!$A$1:$AB$315,14,0)</f>
        <v>NA</v>
      </c>
      <c r="AG320" t="str">
        <f>VLOOKUP($B320,'[1]Plant data'!$A$1:$AB$315,15,0)</f>
        <v>NA</v>
      </c>
      <c r="AH320" t="str">
        <f>VLOOKUP($B320,'[1]Plant data'!$A$1:$AB$315,16,0)</f>
        <v>NA</v>
      </c>
      <c r="AI320" t="str">
        <f>VLOOKUP($B320,'[1]Plant data'!$A$1:$AB$315,17,0)</f>
        <v>NA</v>
      </c>
      <c r="AJ320" t="str">
        <f>VLOOKUP($B320,'[1]Plant data'!$A$1:$AB$315,18,0)</f>
        <v>ATLANTIC, Erica&amp;Wesley, Alves 2008, Correia 1997</v>
      </c>
      <c r="AK320" t="str">
        <f>VLOOKUP($B320,'[1]Plant data'!$A$1:$AB$315,19,0)</f>
        <v>NA</v>
      </c>
      <c r="AL320" t="str">
        <f>VLOOKUP($B320,'[1]Plant data'!$A$1:$AB$315,20,0)</f>
        <v>NA</v>
      </c>
      <c r="AM320" t="str">
        <f>VLOOKUP($B320,'[1]Plant data'!$A$1:$AB$315,21,0)</f>
        <v>NA</v>
      </c>
      <c r="AN320" t="str">
        <f>VLOOKUP($B320,'[1]Plant data'!$A$1:$AB$315,22,0)</f>
        <v>NA</v>
      </c>
      <c r="AO320" t="str">
        <f>VLOOKUP($B320,'[1]Plant data'!$A$1:$AB$315,23,0)</f>
        <v>NA</v>
      </c>
      <c r="AP320" t="str">
        <f>VLOOKUP($B320,'[1]Plant data'!$A$1:$AB$315,24,0)</f>
        <v>NA</v>
      </c>
      <c r="AQ320" t="str">
        <f>VLOOKUP($B320,'[1]Plant data'!$A$1:$AB$315,25,0)</f>
        <v>NA</v>
      </c>
      <c r="AR320" t="str">
        <f>VLOOKUP($B320,'[1]Plant data'!$A$1:$AB$315,26,0)</f>
        <v>NA</v>
      </c>
      <c r="AS320" t="str">
        <f>VLOOKUP($B320,'[1]Plant data'!$A$1:$AB$315,27,0)</f>
        <v>NA</v>
      </c>
      <c r="AT320" t="str">
        <f>VLOOKUP($B320,'[1]Plant data'!$A$1:$AB$315,28,0)</f>
        <v>NA</v>
      </c>
    </row>
    <row r="321" spans="1:46">
      <c r="A321" s="5" t="s">
        <v>50</v>
      </c>
      <c r="B321" s="32" t="s">
        <v>37</v>
      </c>
      <c r="C321">
        <v>8</v>
      </c>
      <c r="D321" s="7">
        <v>85.3</v>
      </c>
      <c r="E321" s="8">
        <f t="shared" si="25"/>
        <v>9.3786635404454866E-2</v>
      </c>
      <c r="F321" s="9" t="s">
        <v>19</v>
      </c>
      <c r="G321" s="41">
        <v>10.029292929292929</v>
      </c>
      <c r="H321" s="41"/>
      <c r="I321" s="8">
        <f t="shared" si="26"/>
        <v>0.94061363932407305</v>
      </c>
      <c r="J321" s="25" t="s">
        <v>246</v>
      </c>
      <c r="K321" s="25" t="s">
        <v>247</v>
      </c>
      <c r="L321" t="s">
        <v>22</v>
      </c>
      <c r="M321" t="s">
        <v>47</v>
      </c>
      <c r="N321" s="11">
        <v>69.5</v>
      </c>
      <c r="O321" s="11">
        <v>13.253214290000001</v>
      </c>
      <c r="P321" t="s">
        <v>48</v>
      </c>
      <c r="Q321" t="s">
        <v>25</v>
      </c>
      <c r="R321" t="s">
        <v>26</v>
      </c>
      <c r="S321" t="s">
        <v>31</v>
      </c>
      <c r="T321" t="str">
        <f>VLOOKUP(B321,'[1]Plant data'!$A$1:$AB$315,2,0)</f>
        <v>Melastomataceae</v>
      </c>
      <c r="U321" t="str">
        <f>VLOOKUP($B321,'[1]Plant data'!$A$1:$AB$315,3,0)</f>
        <v>NA</v>
      </c>
      <c r="V321" t="str">
        <f>VLOOKUP($B321,'[1]Plant data'!$A$1:$AB$315,4,0)</f>
        <v>black</v>
      </c>
      <c r="W321" t="str">
        <f>VLOOKUP($B321,'[1]Plant data'!$A$1:$AB$315,5,0)</f>
        <v>YES</v>
      </c>
      <c r="X321">
        <f>VLOOKUP($B321,'[1]Plant data'!$A$1:$AB$315,6,0)</f>
        <v>3.16</v>
      </c>
      <c r="Y321">
        <f>VLOOKUP($B321,'[1]Plant data'!$A$1:$AB$315,7,0)</f>
        <v>4.0274999999999999</v>
      </c>
      <c r="Z321">
        <f>VLOOKUP($B321,'[1]Plant data'!$A$1:$AB$315,8,0)</f>
        <v>0.55000000000000004</v>
      </c>
      <c r="AA321">
        <f>VLOOKUP($B321,'[1]Plant data'!$A$1:$AB$315,9,0)</f>
        <v>0.8</v>
      </c>
      <c r="AB321" t="str">
        <f>VLOOKUP($B321,'[1]Plant data'!$A$1:$AB$315,10,0)</f>
        <v>NA</v>
      </c>
      <c r="AC321" t="str">
        <f>VLOOKUP($B321,'[1]Plant data'!$A$1:$AB$315,11,0)</f>
        <v>NA</v>
      </c>
      <c r="AD321" t="str">
        <f>VLOOKUP($B321,'[1]Plant data'!$A$1:$AB$315,12,0)</f>
        <v>NA</v>
      </c>
      <c r="AE321" t="str">
        <f>VLOOKUP($B321,'[1]Plant data'!$A$1:$AB$315,13,0)</f>
        <v>NA</v>
      </c>
      <c r="AF321" t="str">
        <f>VLOOKUP($B321,'[1]Plant data'!$A$1:$AB$315,14,0)</f>
        <v>NA</v>
      </c>
      <c r="AG321" t="str">
        <f>VLOOKUP($B321,'[1]Plant data'!$A$1:$AB$315,15,0)</f>
        <v>NA</v>
      </c>
      <c r="AH321" t="str">
        <f>VLOOKUP($B321,'[1]Plant data'!$A$1:$AB$315,16,0)</f>
        <v>NA</v>
      </c>
      <c r="AI321" t="str">
        <f>VLOOKUP($B321,'[1]Plant data'!$A$1:$AB$315,17,0)</f>
        <v>NA</v>
      </c>
      <c r="AJ321" t="str">
        <f>VLOOKUP($B321,'[1]Plant data'!$A$1:$AB$315,18,0)</f>
        <v>ATLANTIC, Erica&amp;Wesley, Alves 2008, Correia 1997</v>
      </c>
      <c r="AK321" t="str">
        <f>VLOOKUP($B321,'[1]Plant data'!$A$1:$AB$315,19,0)</f>
        <v>NA</v>
      </c>
      <c r="AL321" t="str">
        <f>VLOOKUP($B321,'[1]Plant data'!$A$1:$AB$315,20,0)</f>
        <v>NA</v>
      </c>
      <c r="AM321" t="str">
        <f>VLOOKUP($B321,'[1]Plant data'!$A$1:$AB$315,21,0)</f>
        <v>NA</v>
      </c>
      <c r="AN321" t="str">
        <f>VLOOKUP($B321,'[1]Plant data'!$A$1:$AB$315,22,0)</f>
        <v>NA</v>
      </c>
      <c r="AO321" t="str">
        <f>VLOOKUP($B321,'[1]Plant data'!$A$1:$AB$315,23,0)</f>
        <v>NA</v>
      </c>
      <c r="AP321" t="str">
        <f>VLOOKUP($B321,'[1]Plant data'!$A$1:$AB$315,24,0)</f>
        <v>NA</v>
      </c>
      <c r="AQ321" t="str">
        <f>VLOOKUP($B321,'[1]Plant data'!$A$1:$AB$315,25,0)</f>
        <v>NA</v>
      </c>
      <c r="AR321" t="str">
        <f>VLOOKUP($B321,'[1]Plant data'!$A$1:$AB$315,26,0)</f>
        <v>NA</v>
      </c>
      <c r="AS321" t="str">
        <f>VLOOKUP($B321,'[1]Plant data'!$A$1:$AB$315,27,0)</f>
        <v>NA</v>
      </c>
      <c r="AT321" t="str">
        <f>VLOOKUP($B321,'[1]Plant data'!$A$1:$AB$315,28,0)</f>
        <v>NA</v>
      </c>
    </row>
    <row r="322" spans="1:46">
      <c r="A322" s="21" t="s">
        <v>43</v>
      </c>
      <c r="B322" s="31" t="s">
        <v>229</v>
      </c>
      <c r="C322" s="16">
        <v>7</v>
      </c>
      <c r="D322" s="16">
        <v>32</v>
      </c>
      <c r="E322" s="23">
        <f>C322/32</f>
        <v>0.21875</v>
      </c>
      <c r="F322" s="16">
        <v>26</v>
      </c>
      <c r="G322" s="19">
        <v>4.3</v>
      </c>
      <c r="H322" s="19"/>
      <c r="I322" s="8">
        <f t="shared" si="26"/>
        <v>0.94062499999999993</v>
      </c>
      <c r="J322" s="16" t="s">
        <v>224</v>
      </c>
      <c r="K322" s="16" t="s">
        <v>225</v>
      </c>
      <c r="L322" s="16" t="s">
        <v>22</v>
      </c>
      <c r="M322" s="16" t="s">
        <v>30</v>
      </c>
      <c r="N322" s="17">
        <v>32.5</v>
      </c>
      <c r="O322" s="17">
        <v>8.9205555560000001</v>
      </c>
      <c r="P322" s="16" t="s">
        <v>24</v>
      </c>
      <c r="Q322" s="16" t="s">
        <v>25</v>
      </c>
      <c r="R322" s="16" t="s">
        <v>26</v>
      </c>
      <c r="S322" s="16" t="s">
        <v>31</v>
      </c>
      <c r="T322" t="str">
        <f>VLOOKUP(B322,'[1]Plant data'!$A$1:$AB$315,2,0)</f>
        <v>Melastomataceae</v>
      </c>
      <c r="U322" t="str">
        <f>VLOOKUP($B322,'[1]Plant data'!$A$1:$AB$315,3,0)</f>
        <v>NA</v>
      </c>
      <c r="V322" t="str">
        <f>VLOOKUP($B322,'[1]Plant data'!$A$1:$AB$315,4,0)</f>
        <v>black</v>
      </c>
      <c r="W322" t="str">
        <f>VLOOKUP($B322,'[1]Plant data'!$A$1:$AB$315,5,0)</f>
        <v>YES</v>
      </c>
      <c r="X322">
        <f>VLOOKUP($B322,'[1]Plant data'!$A$1:$AB$315,6,0)</f>
        <v>4.25</v>
      </c>
      <c r="Y322">
        <f>VLOOKUP($B322,'[1]Plant data'!$A$1:$AB$315,7,0)</f>
        <v>3.9000000000000004</v>
      </c>
      <c r="Z322">
        <f>VLOOKUP($B322,'[1]Plant data'!$A$1:$AB$315,8,0)</f>
        <v>1</v>
      </c>
      <c r="AA322" t="str">
        <f>VLOOKUP($B322,'[1]Plant data'!$A$1:$AB$315,9,0)</f>
        <v>NA</v>
      </c>
      <c r="AB322">
        <f>VLOOKUP($B322,'[1]Plant data'!$A$1:$AB$315,10,0)</f>
        <v>0.06</v>
      </c>
      <c r="AC322" t="str">
        <f>VLOOKUP($B322,'[1]Plant data'!$A$1:$AB$315,11,0)</f>
        <v>NA</v>
      </c>
      <c r="AD322" t="str">
        <f>VLOOKUP($B322,'[1]Plant data'!$A$1:$AB$315,12,0)</f>
        <v>NA</v>
      </c>
      <c r="AE322" t="str">
        <f>VLOOKUP($B322,'[1]Plant data'!$A$1:$AB$315,13,0)</f>
        <v>NA</v>
      </c>
      <c r="AF322" t="str">
        <f>VLOOKUP($B322,'[1]Plant data'!$A$1:$AB$315,14,0)</f>
        <v>NA</v>
      </c>
      <c r="AG322">
        <f>VLOOKUP($B322,'[1]Plant data'!$A$1:$AB$315,15,0)</f>
        <v>29.3</v>
      </c>
      <c r="AH322" t="str">
        <f>VLOOKUP($B322,'[1]Plant data'!$A$1:$AB$315,16,0)</f>
        <v>NA</v>
      </c>
      <c r="AI322" t="str">
        <f>VLOOKUP($B322,'[1]Plant data'!$A$1:$AB$315,17,0)</f>
        <v>NA</v>
      </c>
      <c r="AJ322" t="str">
        <f>VLOOKUP($B322,'[1]Plant data'!$A$1:$AB$315,18,0)</f>
        <v>ATLANTIC, Motta Jr. 1981</v>
      </c>
      <c r="AK322">
        <f>VLOOKUP($B322,'[1]Plant data'!$A$1:$AB$315,19,0)</f>
        <v>0.63900000000000001</v>
      </c>
      <c r="AL322">
        <f>VLOOKUP($B322,'[1]Plant data'!$A$1:$AB$315,20,0)</f>
        <v>0.15</v>
      </c>
      <c r="AM322" t="str">
        <f>VLOOKUP($B322,'[1]Plant data'!$A$1:$AB$315,21,0)</f>
        <v>NA</v>
      </c>
      <c r="AN322" t="str">
        <f>VLOOKUP($B322,'[1]Plant data'!$A$1:$AB$315,22,0)</f>
        <v>NA</v>
      </c>
      <c r="AO322" t="str">
        <f>VLOOKUP($B322,'[1]Plant data'!$A$1:$AB$315,23,0)</f>
        <v>NA</v>
      </c>
      <c r="AP322" t="str">
        <f>VLOOKUP($B322,'[1]Plant data'!$A$1:$AB$315,24,0)</f>
        <v>NA</v>
      </c>
      <c r="AQ322" t="str">
        <f>VLOOKUP($B322,'[1]Plant data'!$A$1:$AB$315,25,0)</f>
        <v>NA</v>
      </c>
      <c r="AR322" t="str">
        <f>VLOOKUP($B322,'[1]Plant data'!$A$1:$AB$315,26,0)</f>
        <v>NA</v>
      </c>
      <c r="AS322" t="str">
        <f>VLOOKUP($B322,'[1]Plant data'!$A$1:$AB$315,27,0)</f>
        <v>NA</v>
      </c>
      <c r="AT322" t="str">
        <f>VLOOKUP($B322,'[1]Plant data'!$A$1:$AB$315,28,0)</f>
        <v>Motta Jr. 1981</v>
      </c>
    </row>
    <row r="323" spans="1:46">
      <c r="A323" s="18" t="s">
        <v>28</v>
      </c>
      <c r="B323" s="33" t="s">
        <v>186</v>
      </c>
      <c r="C323" s="25">
        <v>4</v>
      </c>
      <c r="D323" s="25">
        <v>2.25</v>
      </c>
      <c r="E323" s="26">
        <f>C323/D323</f>
        <v>1.7777777777777777</v>
      </c>
      <c r="F323" s="25" t="s">
        <v>19</v>
      </c>
      <c r="G323" s="19">
        <v>10</v>
      </c>
      <c r="H323" s="19"/>
      <c r="I323" s="8">
        <f t="shared" si="26"/>
        <v>17.777777777777779</v>
      </c>
      <c r="J323" s="25" t="s">
        <v>180</v>
      </c>
      <c r="K323" s="25" t="s">
        <v>181</v>
      </c>
      <c r="L323" t="s">
        <v>22</v>
      </c>
      <c r="M323" t="s">
        <v>30</v>
      </c>
      <c r="N323" s="11">
        <v>18</v>
      </c>
      <c r="O323" s="11">
        <v>7.4188405800000004</v>
      </c>
      <c r="P323" t="s">
        <v>24</v>
      </c>
      <c r="Q323" s="13" t="s">
        <v>25</v>
      </c>
      <c r="R323" s="13" t="s">
        <v>26</v>
      </c>
      <c r="S323" s="13" t="s">
        <v>31</v>
      </c>
      <c r="T323" t="str">
        <f>VLOOKUP(B323,'[1]Plant data'!$A$1:$AB$315,2,0)</f>
        <v>Melastomataceae</v>
      </c>
      <c r="U323" t="str">
        <f>VLOOKUP($B323,'[1]Plant data'!$A$1:$AB$315,3,0)</f>
        <v>NA</v>
      </c>
      <c r="V323" t="str">
        <f>VLOOKUP($B323,'[1]Plant data'!$A$1:$AB$315,4,0)</f>
        <v>black</v>
      </c>
      <c r="W323" t="str">
        <f>VLOOKUP($B323,'[1]Plant data'!$A$1:$AB$315,5,0)</f>
        <v>YES</v>
      </c>
      <c r="X323">
        <f>VLOOKUP($B323,'[1]Plant data'!$A$1:$AB$315,6,0)</f>
        <v>4.3650000000000002</v>
      </c>
      <c r="Y323">
        <f>VLOOKUP($B323,'[1]Plant data'!$A$1:$AB$315,7,0)</f>
        <v>3.7650000000000001</v>
      </c>
      <c r="Z323">
        <f>VLOOKUP($B323,'[1]Plant data'!$A$1:$AB$315,8,0)</f>
        <v>0.96</v>
      </c>
      <c r="AA323">
        <f>VLOOKUP($B323,'[1]Plant data'!$A$1:$AB$315,9,0)</f>
        <v>1.31</v>
      </c>
      <c r="AB323">
        <f>VLOOKUP($B323,'[1]Plant data'!$A$1:$AB$315,10,0)</f>
        <v>0.10500000000000001</v>
      </c>
      <c r="AC323" t="str">
        <f>VLOOKUP($B323,'[1]Plant data'!$A$1:$AB$315,11,0)</f>
        <v>NA</v>
      </c>
      <c r="AD323">
        <f>VLOOKUP($B323,'[1]Plant data'!$A$1:$AB$315,12,0)</f>
        <v>1E-4</v>
      </c>
      <c r="AE323" t="str">
        <f>VLOOKUP($B323,'[1]Plant data'!$A$1:$AB$315,13,0)</f>
        <v>NA</v>
      </c>
      <c r="AF323" t="str">
        <f>VLOOKUP($B323,'[1]Plant data'!$A$1:$AB$315,14,0)</f>
        <v>NA</v>
      </c>
      <c r="AG323">
        <f>VLOOKUP($B323,'[1]Plant data'!$A$1:$AB$315,15,0)</f>
        <v>19.484999999999999</v>
      </c>
      <c r="AH323">
        <f>VLOOKUP($B323,'[1]Plant data'!$A$1:$AB$315,16,0)</f>
        <v>4</v>
      </c>
      <c r="AI323" t="str">
        <f>VLOOKUP($B323,'[1]Plant data'!$A$1:$AB$315,17,0)</f>
        <v>NA</v>
      </c>
      <c r="AJ323" t="str">
        <f>VLOOKUP($B323,'[1]Plant data'!$A$1:$AB$315,18,0)</f>
        <v>ATLANTIC, Camargo 2014, Gondim 2002</v>
      </c>
      <c r="AK323" t="str">
        <f>VLOOKUP($B323,'[1]Plant data'!$A$1:$AB$315,19,0)</f>
        <v>NA</v>
      </c>
      <c r="AL323" t="str">
        <f>VLOOKUP($B323,'[1]Plant data'!$A$1:$AB$315,20,0)</f>
        <v>NA</v>
      </c>
      <c r="AM323" t="str">
        <f>VLOOKUP($B323,'[1]Plant data'!$A$1:$AB$315,21,0)</f>
        <v>NA</v>
      </c>
      <c r="AN323" t="str">
        <f>VLOOKUP($B323,'[1]Plant data'!$A$1:$AB$315,22,0)</f>
        <v>NA</v>
      </c>
      <c r="AO323" t="str">
        <f>VLOOKUP($B323,'[1]Plant data'!$A$1:$AB$315,23,0)</f>
        <v>NA</v>
      </c>
      <c r="AP323" t="str">
        <f>VLOOKUP($B323,'[1]Plant data'!$A$1:$AB$315,24,0)</f>
        <v>NA</v>
      </c>
      <c r="AQ323" t="str">
        <f>VLOOKUP($B323,'[1]Plant data'!$A$1:$AB$315,25,0)</f>
        <v>NA</v>
      </c>
      <c r="AR323" t="str">
        <f>VLOOKUP($B323,'[1]Plant data'!$A$1:$AB$315,26,0)</f>
        <v>NA</v>
      </c>
      <c r="AS323" t="str">
        <f>VLOOKUP($B323,'[1]Plant data'!$A$1:$AB$315,27,0)</f>
        <v>NA</v>
      </c>
      <c r="AT323" t="str">
        <f>VLOOKUP($B323,'[1]Plant data'!$A$1:$AB$315,28,0)</f>
        <v>NA</v>
      </c>
    </row>
    <row r="324" spans="1:46">
      <c r="A324" s="5" t="s">
        <v>43</v>
      </c>
      <c r="B324" s="32" t="s">
        <v>186</v>
      </c>
      <c r="C324">
        <v>1</v>
      </c>
      <c r="D324">
        <v>2.2000000000000002</v>
      </c>
      <c r="E324" s="8">
        <f>C324/2.2</f>
        <v>0.45454545454545453</v>
      </c>
      <c r="F324" t="s">
        <v>19</v>
      </c>
      <c r="G324" s="19">
        <v>15</v>
      </c>
      <c r="H324" s="19"/>
      <c r="I324" s="8">
        <f t="shared" si="26"/>
        <v>6.8181818181818183</v>
      </c>
      <c r="J324" s="25" t="s">
        <v>180</v>
      </c>
      <c r="K324" s="25" t="s">
        <v>181</v>
      </c>
      <c r="L324" t="s">
        <v>22</v>
      </c>
      <c r="M324" t="s">
        <v>30</v>
      </c>
      <c r="N324" s="11">
        <v>32.5</v>
      </c>
      <c r="O324" s="11">
        <v>8.9205555560000001</v>
      </c>
      <c r="P324" t="s">
        <v>24</v>
      </c>
      <c r="Q324" t="s">
        <v>25</v>
      </c>
      <c r="R324" t="s">
        <v>26</v>
      </c>
      <c r="S324" t="s">
        <v>31</v>
      </c>
      <c r="T324" t="str">
        <f>VLOOKUP(B324,'[1]Plant data'!$A$1:$AB$315,2,0)</f>
        <v>Melastomataceae</v>
      </c>
      <c r="U324" t="str">
        <f>VLOOKUP($B324,'[1]Plant data'!$A$1:$AB$315,3,0)</f>
        <v>NA</v>
      </c>
      <c r="V324" t="str">
        <f>VLOOKUP($B324,'[1]Plant data'!$A$1:$AB$315,4,0)</f>
        <v>black</v>
      </c>
      <c r="W324" t="str">
        <f>VLOOKUP($B324,'[1]Plant data'!$A$1:$AB$315,5,0)</f>
        <v>YES</v>
      </c>
      <c r="X324">
        <f>VLOOKUP($B324,'[1]Plant data'!$A$1:$AB$315,6,0)</f>
        <v>4.3650000000000002</v>
      </c>
      <c r="Y324">
        <f>VLOOKUP($B324,'[1]Plant data'!$A$1:$AB$315,7,0)</f>
        <v>3.7650000000000001</v>
      </c>
      <c r="Z324">
        <f>VLOOKUP($B324,'[1]Plant data'!$A$1:$AB$315,8,0)</f>
        <v>0.96</v>
      </c>
      <c r="AA324">
        <f>VLOOKUP($B324,'[1]Plant data'!$A$1:$AB$315,9,0)</f>
        <v>1.31</v>
      </c>
      <c r="AB324">
        <f>VLOOKUP($B324,'[1]Plant data'!$A$1:$AB$315,10,0)</f>
        <v>0.10500000000000001</v>
      </c>
      <c r="AC324" t="str">
        <f>VLOOKUP($B324,'[1]Plant data'!$A$1:$AB$315,11,0)</f>
        <v>NA</v>
      </c>
      <c r="AD324">
        <f>VLOOKUP($B324,'[1]Plant data'!$A$1:$AB$315,12,0)</f>
        <v>1E-4</v>
      </c>
      <c r="AE324" t="str">
        <f>VLOOKUP($B324,'[1]Plant data'!$A$1:$AB$315,13,0)</f>
        <v>NA</v>
      </c>
      <c r="AF324" t="str">
        <f>VLOOKUP($B324,'[1]Plant data'!$A$1:$AB$315,14,0)</f>
        <v>NA</v>
      </c>
      <c r="AG324">
        <f>VLOOKUP($B324,'[1]Plant data'!$A$1:$AB$315,15,0)</f>
        <v>19.484999999999999</v>
      </c>
      <c r="AH324">
        <f>VLOOKUP($B324,'[1]Plant data'!$A$1:$AB$315,16,0)</f>
        <v>4</v>
      </c>
      <c r="AI324" t="str">
        <f>VLOOKUP($B324,'[1]Plant data'!$A$1:$AB$315,17,0)</f>
        <v>NA</v>
      </c>
      <c r="AJ324" t="str">
        <f>VLOOKUP($B324,'[1]Plant data'!$A$1:$AB$315,18,0)</f>
        <v>ATLANTIC, Camargo 2014, Gondim 2002</v>
      </c>
      <c r="AK324" t="str">
        <f>VLOOKUP($B324,'[1]Plant data'!$A$1:$AB$315,19,0)</f>
        <v>NA</v>
      </c>
      <c r="AL324" t="str">
        <f>VLOOKUP($B324,'[1]Plant data'!$A$1:$AB$315,20,0)</f>
        <v>NA</v>
      </c>
      <c r="AM324" t="str">
        <f>VLOOKUP($B324,'[1]Plant data'!$A$1:$AB$315,21,0)</f>
        <v>NA</v>
      </c>
      <c r="AN324" t="str">
        <f>VLOOKUP($B324,'[1]Plant data'!$A$1:$AB$315,22,0)</f>
        <v>NA</v>
      </c>
      <c r="AO324" t="str">
        <f>VLOOKUP($B324,'[1]Plant data'!$A$1:$AB$315,23,0)</f>
        <v>NA</v>
      </c>
      <c r="AP324" t="str">
        <f>VLOOKUP($B324,'[1]Plant data'!$A$1:$AB$315,24,0)</f>
        <v>NA</v>
      </c>
      <c r="AQ324" t="str">
        <f>VLOOKUP($B324,'[1]Plant data'!$A$1:$AB$315,25,0)</f>
        <v>NA</v>
      </c>
      <c r="AR324" t="str">
        <f>VLOOKUP($B324,'[1]Plant data'!$A$1:$AB$315,26,0)</f>
        <v>NA</v>
      </c>
      <c r="AS324" t="str">
        <f>VLOOKUP($B324,'[1]Plant data'!$A$1:$AB$315,27,0)</f>
        <v>NA</v>
      </c>
      <c r="AT324" t="str">
        <f>VLOOKUP($B324,'[1]Plant data'!$A$1:$AB$315,28,0)</f>
        <v>NA</v>
      </c>
    </row>
    <row r="325" spans="1:46">
      <c r="A325" s="18" t="s">
        <v>28</v>
      </c>
      <c r="B325" s="32" t="s">
        <v>57</v>
      </c>
      <c r="C325">
        <v>6</v>
      </c>
      <c r="D325">
        <v>254</v>
      </c>
      <c r="E325" s="8">
        <f>C325/D325</f>
        <v>2.3622047244094488E-2</v>
      </c>
      <c r="F325" t="s">
        <v>19</v>
      </c>
      <c r="G325" s="41">
        <v>8.3333333333333339</v>
      </c>
      <c r="H325" s="41"/>
      <c r="I325" s="8">
        <f t="shared" si="26"/>
        <v>0.19685039370078741</v>
      </c>
      <c r="J325" t="s">
        <v>52</v>
      </c>
      <c r="K325" t="s">
        <v>53</v>
      </c>
      <c r="L325" t="s">
        <v>22</v>
      </c>
      <c r="M325" t="s">
        <v>30</v>
      </c>
      <c r="N325" s="11">
        <v>18</v>
      </c>
      <c r="O325" s="11">
        <v>7.4188405800000004</v>
      </c>
      <c r="P325" t="s">
        <v>24</v>
      </c>
      <c r="Q325" s="13" t="s">
        <v>25</v>
      </c>
      <c r="R325" s="13" t="s">
        <v>26</v>
      </c>
      <c r="S325" s="13" t="s">
        <v>31</v>
      </c>
      <c r="T325" t="str">
        <f>VLOOKUP(B325,'[1]Plant data'!$A$1:$AB$315,2,0)</f>
        <v>Melastomataceae</v>
      </c>
      <c r="U325" t="str">
        <f>VLOOKUP($B325,'[1]Plant data'!$A$1:$AB$315,3,0)</f>
        <v>NA</v>
      </c>
      <c r="V325" t="str">
        <f>VLOOKUP($B325,'[1]Plant data'!$A$1:$AB$315,4,0)</f>
        <v>black</v>
      </c>
      <c r="W325" t="str">
        <f>VLOOKUP($B325,'[1]Plant data'!$A$1:$AB$315,5,0)</f>
        <v>YES</v>
      </c>
      <c r="X325">
        <f>VLOOKUP($B325,'[1]Plant data'!$A$1:$AB$315,6,0)</f>
        <v>3.27</v>
      </c>
      <c r="Y325">
        <f>VLOOKUP($B325,'[1]Plant data'!$A$1:$AB$315,7,0)</f>
        <v>3.4350000000000001</v>
      </c>
      <c r="Z325" t="str">
        <f>VLOOKUP($B325,'[1]Plant data'!$A$1:$AB$315,8,0)</f>
        <v>NA</v>
      </c>
      <c r="AA325" t="str">
        <f>VLOOKUP($B325,'[1]Plant data'!$A$1:$AB$315,9,0)</f>
        <v>NA</v>
      </c>
      <c r="AB325" t="str">
        <f>VLOOKUP($B325,'[1]Plant data'!$A$1:$AB$315,10,0)</f>
        <v>NA</v>
      </c>
      <c r="AC325" t="str">
        <f>VLOOKUP($B325,'[1]Plant data'!$A$1:$AB$315,11,0)</f>
        <v>NA</v>
      </c>
      <c r="AD325" t="str">
        <f>VLOOKUP($B325,'[1]Plant data'!$A$1:$AB$315,12,0)</f>
        <v>NA</v>
      </c>
      <c r="AE325" t="str">
        <f>VLOOKUP($B325,'[1]Plant data'!$A$1:$AB$315,13,0)</f>
        <v>NA</v>
      </c>
      <c r="AF325" t="str">
        <f>VLOOKUP($B325,'[1]Plant data'!$A$1:$AB$315,14,0)</f>
        <v>NA</v>
      </c>
      <c r="AG325" t="str">
        <f>VLOOKUP($B325,'[1]Plant data'!$A$1:$AB$315,15,0)</f>
        <v>NA</v>
      </c>
      <c r="AH325" t="str">
        <f>VLOOKUP($B325,'[1]Plant data'!$A$1:$AB$315,16,0)</f>
        <v>NA</v>
      </c>
      <c r="AI325" t="str">
        <f>VLOOKUP($B325,'[1]Plant data'!$A$1:$AB$315,17,0)</f>
        <v>NA</v>
      </c>
      <c r="AJ325" t="str">
        <f>VLOOKUP($B325,'[1]Plant data'!$A$1:$AB$315,18,0)</f>
        <v>Andrade et al 2011, ATLANTIC</v>
      </c>
      <c r="AK325" t="str">
        <f>VLOOKUP($B325,'[1]Plant data'!$A$1:$AB$315,19,0)</f>
        <v>NA</v>
      </c>
      <c r="AL325" t="str">
        <f>VLOOKUP($B325,'[1]Plant data'!$A$1:$AB$315,20,0)</f>
        <v>NA</v>
      </c>
      <c r="AM325" t="str">
        <f>VLOOKUP($B325,'[1]Plant data'!$A$1:$AB$315,21,0)</f>
        <v>NA</v>
      </c>
      <c r="AN325" t="str">
        <f>VLOOKUP($B325,'[1]Plant data'!$A$1:$AB$315,22,0)</f>
        <v>NA</v>
      </c>
      <c r="AO325" t="str">
        <f>VLOOKUP($B325,'[1]Plant data'!$A$1:$AB$315,23,0)</f>
        <v>NA</v>
      </c>
      <c r="AP325" t="str">
        <f>VLOOKUP($B325,'[1]Plant data'!$A$1:$AB$315,24,0)</f>
        <v>NA</v>
      </c>
      <c r="AQ325" t="str">
        <f>VLOOKUP($B325,'[1]Plant data'!$A$1:$AB$315,25,0)</f>
        <v>NA</v>
      </c>
      <c r="AR325" t="str">
        <f>VLOOKUP($B325,'[1]Plant data'!$A$1:$AB$315,26,0)</f>
        <v>NA</v>
      </c>
      <c r="AS325" t="str">
        <f>VLOOKUP($B325,'[1]Plant data'!$A$1:$AB$315,27,0)</f>
        <v>NA</v>
      </c>
      <c r="AT325" t="str">
        <f>VLOOKUP($B325,'[1]Plant data'!$A$1:$AB$315,28,0)</f>
        <v>NA</v>
      </c>
    </row>
    <row r="326" spans="1:46">
      <c r="A326" s="5" t="s">
        <v>41</v>
      </c>
      <c r="B326" s="32" t="s">
        <v>57</v>
      </c>
      <c r="C326">
        <v>56</v>
      </c>
      <c r="D326">
        <v>254</v>
      </c>
      <c r="E326" s="8">
        <f>C326/D326</f>
        <v>0.22047244094488189</v>
      </c>
      <c r="F326" t="s">
        <v>19</v>
      </c>
      <c r="G326" s="41">
        <v>2.1</v>
      </c>
      <c r="H326" s="41"/>
      <c r="I326" s="8">
        <f t="shared" si="26"/>
        <v>0.46299212598425199</v>
      </c>
      <c r="J326" t="s">
        <v>52</v>
      </c>
      <c r="K326" t="s">
        <v>53</v>
      </c>
      <c r="L326" t="s">
        <v>22</v>
      </c>
      <c r="M326" t="s">
        <v>30</v>
      </c>
      <c r="N326" s="11">
        <v>39</v>
      </c>
      <c r="O326" s="11">
        <v>8.2839869279999991</v>
      </c>
      <c r="P326" t="s">
        <v>24</v>
      </c>
      <c r="Q326" t="s">
        <v>25</v>
      </c>
      <c r="R326" t="s">
        <v>26</v>
      </c>
      <c r="S326" t="s">
        <v>31</v>
      </c>
      <c r="T326" t="str">
        <f>VLOOKUP(B326,'[1]Plant data'!$A$1:$AB$315,2,0)</f>
        <v>Melastomataceae</v>
      </c>
      <c r="U326" t="str">
        <f>VLOOKUP($B326,'[1]Plant data'!$A$1:$AB$315,3,0)</f>
        <v>NA</v>
      </c>
      <c r="V326" t="str">
        <f>VLOOKUP($B326,'[1]Plant data'!$A$1:$AB$315,4,0)</f>
        <v>black</v>
      </c>
      <c r="W326" t="str">
        <f>VLOOKUP($B326,'[1]Plant data'!$A$1:$AB$315,5,0)</f>
        <v>YES</v>
      </c>
      <c r="X326">
        <f>VLOOKUP($B326,'[1]Plant data'!$A$1:$AB$315,6,0)</f>
        <v>3.27</v>
      </c>
      <c r="Y326">
        <f>VLOOKUP($B326,'[1]Plant data'!$A$1:$AB$315,7,0)</f>
        <v>3.4350000000000001</v>
      </c>
      <c r="Z326" t="str">
        <f>VLOOKUP($B326,'[1]Plant data'!$A$1:$AB$315,8,0)</f>
        <v>NA</v>
      </c>
      <c r="AA326" t="str">
        <f>VLOOKUP($B326,'[1]Plant data'!$A$1:$AB$315,9,0)</f>
        <v>NA</v>
      </c>
      <c r="AB326" t="str">
        <f>VLOOKUP($B326,'[1]Plant data'!$A$1:$AB$315,10,0)</f>
        <v>NA</v>
      </c>
      <c r="AC326" t="str">
        <f>VLOOKUP($B326,'[1]Plant data'!$A$1:$AB$315,11,0)</f>
        <v>NA</v>
      </c>
      <c r="AD326" t="str">
        <f>VLOOKUP($B326,'[1]Plant data'!$A$1:$AB$315,12,0)</f>
        <v>NA</v>
      </c>
      <c r="AE326" t="str">
        <f>VLOOKUP($B326,'[1]Plant data'!$A$1:$AB$315,13,0)</f>
        <v>NA</v>
      </c>
      <c r="AF326" t="str">
        <f>VLOOKUP($B326,'[1]Plant data'!$A$1:$AB$315,14,0)</f>
        <v>NA</v>
      </c>
      <c r="AG326" t="str">
        <f>VLOOKUP($B326,'[1]Plant data'!$A$1:$AB$315,15,0)</f>
        <v>NA</v>
      </c>
      <c r="AH326" t="str">
        <f>VLOOKUP($B326,'[1]Plant data'!$A$1:$AB$315,16,0)</f>
        <v>NA</v>
      </c>
      <c r="AI326" t="str">
        <f>VLOOKUP($B326,'[1]Plant data'!$A$1:$AB$315,17,0)</f>
        <v>NA</v>
      </c>
      <c r="AJ326" t="str">
        <f>VLOOKUP($B326,'[1]Plant data'!$A$1:$AB$315,18,0)</f>
        <v>Andrade et al 2011, ATLANTIC</v>
      </c>
      <c r="AK326" t="str">
        <f>VLOOKUP($B326,'[1]Plant data'!$A$1:$AB$315,19,0)</f>
        <v>NA</v>
      </c>
      <c r="AL326" t="str">
        <f>VLOOKUP($B326,'[1]Plant data'!$A$1:$AB$315,20,0)</f>
        <v>NA</v>
      </c>
      <c r="AM326" t="str">
        <f>VLOOKUP($B326,'[1]Plant data'!$A$1:$AB$315,21,0)</f>
        <v>NA</v>
      </c>
      <c r="AN326" t="str">
        <f>VLOOKUP($B326,'[1]Plant data'!$A$1:$AB$315,22,0)</f>
        <v>NA</v>
      </c>
      <c r="AO326" t="str">
        <f>VLOOKUP($B326,'[1]Plant data'!$A$1:$AB$315,23,0)</f>
        <v>NA</v>
      </c>
      <c r="AP326" t="str">
        <f>VLOOKUP($B326,'[1]Plant data'!$A$1:$AB$315,24,0)</f>
        <v>NA</v>
      </c>
      <c r="AQ326" t="str">
        <f>VLOOKUP($B326,'[1]Plant data'!$A$1:$AB$315,25,0)</f>
        <v>NA</v>
      </c>
      <c r="AR326" t="str">
        <f>VLOOKUP($B326,'[1]Plant data'!$A$1:$AB$315,26,0)</f>
        <v>NA</v>
      </c>
      <c r="AS326" t="str">
        <f>VLOOKUP($B326,'[1]Plant data'!$A$1:$AB$315,27,0)</f>
        <v>NA</v>
      </c>
      <c r="AT326" t="str">
        <f>VLOOKUP($B326,'[1]Plant data'!$A$1:$AB$315,28,0)</f>
        <v>NA</v>
      </c>
    </row>
    <row r="327" spans="1:46">
      <c r="A327" s="5" t="s">
        <v>43</v>
      </c>
      <c r="B327" s="32" t="s">
        <v>57</v>
      </c>
      <c r="C327">
        <v>5</v>
      </c>
      <c r="D327">
        <v>254</v>
      </c>
      <c r="E327" s="8">
        <f>C327/D327</f>
        <v>1.968503937007874E-2</v>
      </c>
      <c r="F327" t="s">
        <v>19</v>
      </c>
      <c r="G327" s="41">
        <v>2.1</v>
      </c>
      <c r="H327" s="41"/>
      <c r="I327" s="8">
        <f t="shared" si="26"/>
        <v>4.1338582677165357E-2</v>
      </c>
      <c r="J327" t="s">
        <v>52</v>
      </c>
      <c r="K327" t="s">
        <v>53</v>
      </c>
      <c r="L327" t="s">
        <v>22</v>
      </c>
      <c r="M327" t="s">
        <v>30</v>
      </c>
      <c r="N327" s="11">
        <v>32.5</v>
      </c>
      <c r="O327" s="11">
        <v>8.9205555560000001</v>
      </c>
      <c r="P327" t="s">
        <v>24</v>
      </c>
      <c r="Q327" t="s">
        <v>25</v>
      </c>
      <c r="R327" t="s">
        <v>26</v>
      </c>
      <c r="S327" t="s">
        <v>31</v>
      </c>
      <c r="T327" t="str">
        <f>VLOOKUP(B327,'[1]Plant data'!$A$1:$AB$315,2,0)</f>
        <v>Melastomataceae</v>
      </c>
      <c r="U327" t="str">
        <f>VLOOKUP($B327,'[1]Plant data'!$A$1:$AB$315,3,0)</f>
        <v>NA</v>
      </c>
      <c r="V327" t="str">
        <f>VLOOKUP($B327,'[1]Plant data'!$A$1:$AB$315,4,0)</f>
        <v>black</v>
      </c>
      <c r="W327" t="str">
        <f>VLOOKUP($B327,'[1]Plant data'!$A$1:$AB$315,5,0)</f>
        <v>YES</v>
      </c>
      <c r="X327">
        <f>VLOOKUP($B327,'[1]Plant data'!$A$1:$AB$315,6,0)</f>
        <v>3.27</v>
      </c>
      <c r="Y327">
        <f>VLOOKUP($B327,'[1]Plant data'!$A$1:$AB$315,7,0)</f>
        <v>3.4350000000000001</v>
      </c>
      <c r="Z327" t="str">
        <f>VLOOKUP($B327,'[1]Plant data'!$A$1:$AB$315,8,0)</f>
        <v>NA</v>
      </c>
      <c r="AA327" t="str">
        <f>VLOOKUP($B327,'[1]Plant data'!$A$1:$AB$315,9,0)</f>
        <v>NA</v>
      </c>
      <c r="AB327" t="str">
        <f>VLOOKUP($B327,'[1]Plant data'!$A$1:$AB$315,10,0)</f>
        <v>NA</v>
      </c>
      <c r="AC327" t="str">
        <f>VLOOKUP($B327,'[1]Plant data'!$A$1:$AB$315,11,0)</f>
        <v>NA</v>
      </c>
      <c r="AD327" t="str">
        <f>VLOOKUP($B327,'[1]Plant data'!$A$1:$AB$315,12,0)</f>
        <v>NA</v>
      </c>
      <c r="AE327" t="str">
        <f>VLOOKUP($B327,'[1]Plant data'!$A$1:$AB$315,13,0)</f>
        <v>NA</v>
      </c>
      <c r="AF327" t="str">
        <f>VLOOKUP($B327,'[1]Plant data'!$A$1:$AB$315,14,0)</f>
        <v>NA</v>
      </c>
      <c r="AG327" t="str">
        <f>VLOOKUP($B327,'[1]Plant data'!$A$1:$AB$315,15,0)</f>
        <v>NA</v>
      </c>
      <c r="AH327" t="str">
        <f>VLOOKUP($B327,'[1]Plant data'!$A$1:$AB$315,16,0)</f>
        <v>NA</v>
      </c>
      <c r="AI327" t="str">
        <f>VLOOKUP($B327,'[1]Plant data'!$A$1:$AB$315,17,0)</f>
        <v>NA</v>
      </c>
      <c r="AJ327" t="str">
        <f>VLOOKUP($B327,'[1]Plant data'!$A$1:$AB$315,18,0)</f>
        <v>Andrade et al 2011, ATLANTIC</v>
      </c>
      <c r="AK327" t="str">
        <f>VLOOKUP($B327,'[1]Plant data'!$A$1:$AB$315,19,0)</f>
        <v>NA</v>
      </c>
      <c r="AL327" t="str">
        <f>VLOOKUP($B327,'[1]Plant data'!$A$1:$AB$315,20,0)</f>
        <v>NA</v>
      </c>
      <c r="AM327" t="str">
        <f>VLOOKUP($B327,'[1]Plant data'!$A$1:$AB$315,21,0)</f>
        <v>NA</v>
      </c>
      <c r="AN327" t="str">
        <f>VLOOKUP($B327,'[1]Plant data'!$A$1:$AB$315,22,0)</f>
        <v>NA</v>
      </c>
      <c r="AO327" t="str">
        <f>VLOOKUP($B327,'[1]Plant data'!$A$1:$AB$315,23,0)</f>
        <v>NA</v>
      </c>
      <c r="AP327" t="str">
        <f>VLOOKUP($B327,'[1]Plant data'!$A$1:$AB$315,24,0)</f>
        <v>NA</v>
      </c>
      <c r="AQ327" t="str">
        <f>VLOOKUP($B327,'[1]Plant data'!$A$1:$AB$315,25,0)</f>
        <v>NA</v>
      </c>
      <c r="AR327" t="str">
        <f>VLOOKUP($B327,'[1]Plant data'!$A$1:$AB$315,26,0)</f>
        <v>NA</v>
      </c>
      <c r="AS327" t="str">
        <f>VLOOKUP($B327,'[1]Plant data'!$A$1:$AB$315,27,0)</f>
        <v>NA</v>
      </c>
      <c r="AT327" t="str">
        <f>VLOOKUP($B327,'[1]Plant data'!$A$1:$AB$315,28,0)</f>
        <v>NA</v>
      </c>
    </row>
    <row r="328" spans="1:46">
      <c r="A328" s="5" t="s">
        <v>50</v>
      </c>
      <c r="B328" s="32" t="s">
        <v>57</v>
      </c>
      <c r="C328">
        <v>2</v>
      </c>
      <c r="D328">
        <v>254</v>
      </c>
      <c r="E328" s="8">
        <f>C328/D328</f>
        <v>7.874015748031496E-3</v>
      </c>
      <c r="F328" t="s">
        <v>19</v>
      </c>
      <c r="G328" s="41">
        <v>10.029292929292929</v>
      </c>
      <c r="H328" s="41"/>
      <c r="I328" s="8">
        <f t="shared" si="26"/>
        <v>7.8970810466873459E-2</v>
      </c>
      <c r="J328" t="s">
        <v>52</v>
      </c>
      <c r="K328" t="s">
        <v>53</v>
      </c>
      <c r="L328" t="s">
        <v>22</v>
      </c>
      <c r="M328" t="s">
        <v>47</v>
      </c>
      <c r="N328" s="11">
        <v>69.5</v>
      </c>
      <c r="O328" s="11">
        <v>13.253214290000001</v>
      </c>
      <c r="P328" t="s">
        <v>48</v>
      </c>
      <c r="Q328" t="s">
        <v>25</v>
      </c>
      <c r="R328" t="s">
        <v>26</v>
      </c>
      <c r="S328" t="s">
        <v>31</v>
      </c>
      <c r="T328" t="str">
        <f>VLOOKUP(B328,'[1]Plant data'!$A$1:$AB$315,2,0)</f>
        <v>Melastomataceae</v>
      </c>
      <c r="U328" t="str">
        <f>VLOOKUP($B328,'[1]Plant data'!$A$1:$AB$315,3,0)</f>
        <v>NA</v>
      </c>
      <c r="V328" t="str">
        <f>VLOOKUP($B328,'[1]Plant data'!$A$1:$AB$315,4,0)</f>
        <v>black</v>
      </c>
      <c r="W328" t="str">
        <f>VLOOKUP($B328,'[1]Plant data'!$A$1:$AB$315,5,0)</f>
        <v>YES</v>
      </c>
      <c r="X328">
        <f>VLOOKUP($B328,'[1]Plant data'!$A$1:$AB$315,6,0)</f>
        <v>3.27</v>
      </c>
      <c r="Y328">
        <f>VLOOKUP($B328,'[1]Plant data'!$A$1:$AB$315,7,0)</f>
        <v>3.4350000000000001</v>
      </c>
      <c r="Z328" t="str">
        <f>VLOOKUP($B328,'[1]Plant data'!$A$1:$AB$315,8,0)</f>
        <v>NA</v>
      </c>
      <c r="AA328" t="str">
        <f>VLOOKUP($B328,'[1]Plant data'!$A$1:$AB$315,9,0)</f>
        <v>NA</v>
      </c>
      <c r="AB328" t="str">
        <f>VLOOKUP($B328,'[1]Plant data'!$A$1:$AB$315,10,0)</f>
        <v>NA</v>
      </c>
      <c r="AC328" t="str">
        <f>VLOOKUP($B328,'[1]Plant data'!$A$1:$AB$315,11,0)</f>
        <v>NA</v>
      </c>
      <c r="AD328" t="str">
        <f>VLOOKUP($B328,'[1]Plant data'!$A$1:$AB$315,12,0)</f>
        <v>NA</v>
      </c>
      <c r="AE328" t="str">
        <f>VLOOKUP($B328,'[1]Plant data'!$A$1:$AB$315,13,0)</f>
        <v>NA</v>
      </c>
      <c r="AF328" t="str">
        <f>VLOOKUP($B328,'[1]Plant data'!$A$1:$AB$315,14,0)</f>
        <v>NA</v>
      </c>
      <c r="AG328" t="str">
        <f>VLOOKUP($B328,'[1]Plant data'!$A$1:$AB$315,15,0)</f>
        <v>NA</v>
      </c>
      <c r="AH328" t="str">
        <f>VLOOKUP($B328,'[1]Plant data'!$A$1:$AB$315,16,0)</f>
        <v>NA</v>
      </c>
      <c r="AI328" t="str">
        <f>VLOOKUP($B328,'[1]Plant data'!$A$1:$AB$315,17,0)</f>
        <v>NA</v>
      </c>
      <c r="AJ328" t="str">
        <f>VLOOKUP($B328,'[1]Plant data'!$A$1:$AB$315,18,0)</f>
        <v>Andrade et al 2011, ATLANTIC</v>
      </c>
      <c r="AK328" t="str">
        <f>VLOOKUP($B328,'[1]Plant data'!$A$1:$AB$315,19,0)</f>
        <v>NA</v>
      </c>
      <c r="AL328" t="str">
        <f>VLOOKUP($B328,'[1]Plant data'!$A$1:$AB$315,20,0)</f>
        <v>NA</v>
      </c>
      <c r="AM328" t="str">
        <f>VLOOKUP($B328,'[1]Plant data'!$A$1:$AB$315,21,0)</f>
        <v>NA</v>
      </c>
      <c r="AN328" t="str">
        <f>VLOOKUP($B328,'[1]Plant data'!$A$1:$AB$315,22,0)</f>
        <v>NA</v>
      </c>
      <c r="AO328" t="str">
        <f>VLOOKUP($B328,'[1]Plant data'!$A$1:$AB$315,23,0)</f>
        <v>NA</v>
      </c>
      <c r="AP328" t="str">
        <f>VLOOKUP($B328,'[1]Plant data'!$A$1:$AB$315,24,0)</f>
        <v>NA</v>
      </c>
      <c r="AQ328" t="str">
        <f>VLOOKUP($B328,'[1]Plant data'!$A$1:$AB$315,25,0)</f>
        <v>NA</v>
      </c>
      <c r="AR328" t="str">
        <f>VLOOKUP($B328,'[1]Plant data'!$A$1:$AB$315,26,0)</f>
        <v>NA</v>
      </c>
      <c r="AS328" t="str">
        <f>VLOOKUP($B328,'[1]Plant data'!$A$1:$AB$315,27,0)</f>
        <v>NA</v>
      </c>
      <c r="AT328" t="str">
        <f>VLOOKUP($B328,'[1]Plant data'!$A$1:$AB$315,28,0)</f>
        <v>NA</v>
      </c>
    </row>
    <row r="329" spans="1:46">
      <c r="A329" s="21" t="s">
        <v>50</v>
      </c>
      <c r="B329" s="31" t="s">
        <v>233</v>
      </c>
      <c r="C329" s="16">
        <v>1</v>
      </c>
      <c r="D329" s="16">
        <v>32</v>
      </c>
      <c r="E329" s="23">
        <f>C329/32</f>
        <v>3.125E-2</v>
      </c>
      <c r="F329" s="16">
        <v>20</v>
      </c>
      <c r="G329" s="19">
        <v>20</v>
      </c>
      <c r="H329" s="19"/>
      <c r="I329" s="8">
        <f t="shared" si="26"/>
        <v>0.625</v>
      </c>
      <c r="J329" s="16" t="s">
        <v>224</v>
      </c>
      <c r="K329" s="16" t="s">
        <v>225</v>
      </c>
      <c r="L329" s="16" t="s">
        <v>22</v>
      </c>
      <c r="M329" s="16" t="s">
        <v>47</v>
      </c>
      <c r="N329" s="17">
        <v>69.5</v>
      </c>
      <c r="O329" s="17">
        <v>13.253214290000001</v>
      </c>
      <c r="P329" s="16" t="s">
        <v>48</v>
      </c>
      <c r="Q329" s="16" t="s">
        <v>25</v>
      </c>
      <c r="R329" s="16" t="s">
        <v>26</v>
      </c>
      <c r="S329" s="16" t="s">
        <v>31</v>
      </c>
      <c r="T329" t="str">
        <f>VLOOKUP(B329,'[1]Plant data'!$A$1:$AB$315,2,0)</f>
        <v>Melastomataceae</v>
      </c>
      <c r="U329" t="str">
        <f>VLOOKUP($B329,'[1]Plant data'!$A$1:$AB$315,3,0)</f>
        <v>NA</v>
      </c>
      <c r="V329" t="str">
        <f>VLOOKUP($B329,'[1]Plant data'!$A$1:$AB$315,4,0)</f>
        <v>black</v>
      </c>
      <c r="W329" t="str">
        <f>VLOOKUP($B329,'[1]Plant data'!$A$1:$AB$315,5,0)</f>
        <v>YES</v>
      </c>
      <c r="X329">
        <f>VLOOKUP($B329,'[1]Plant data'!$A$1:$AB$315,6,0)</f>
        <v>2.5499999999999998</v>
      </c>
      <c r="Y329">
        <f>VLOOKUP($B329,'[1]Plant data'!$A$1:$AB$315,7,0)</f>
        <v>2.4</v>
      </c>
      <c r="Z329">
        <f>VLOOKUP($B329,'[1]Plant data'!$A$1:$AB$315,8,0)</f>
        <v>1.4</v>
      </c>
      <c r="AA329" t="str">
        <f>VLOOKUP($B329,'[1]Plant data'!$A$1:$AB$315,9,0)</f>
        <v>NA</v>
      </c>
      <c r="AB329">
        <f>VLOOKUP($B329,'[1]Plant data'!$A$1:$AB$315,10,0)</f>
        <v>0.03</v>
      </c>
      <c r="AC329" t="str">
        <f>VLOOKUP($B329,'[1]Plant data'!$A$1:$AB$315,11,0)</f>
        <v>NA</v>
      </c>
      <c r="AD329" t="str">
        <f>VLOOKUP($B329,'[1]Plant data'!$A$1:$AB$315,12,0)</f>
        <v>NA</v>
      </c>
      <c r="AE329" t="str">
        <f>VLOOKUP($B329,'[1]Plant data'!$A$1:$AB$315,13,0)</f>
        <v>NA</v>
      </c>
      <c r="AF329" t="str">
        <f>VLOOKUP($B329,'[1]Plant data'!$A$1:$AB$315,14,0)</f>
        <v>NA</v>
      </c>
      <c r="AG329">
        <f>VLOOKUP($B329,'[1]Plant data'!$A$1:$AB$315,15,0)</f>
        <v>2</v>
      </c>
      <c r="AH329" t="str">
        <f>VLOOKUP($B329,'[1]Plant data'!$A$1:$AB$315,16,0)</f>
        <v>NA</v>
      </c>
      <c r="AI329" t="str">
        <f>VLOOKUP($B329,'[1]Plant data'!$A$1:$AB$315,17,0)</f>
        <v>NA</v>
      </c>
      <c r="AJ329" t="str">
        <f>VLOOKUP($B329,'[1]Plant data'!$A$1:$AB$315,18,0)</f>
        <v>ATLANTIC, Motta Jr. 1981</v>
      </c>
      <c r="AK329">
        <f>VLOOKUP($B329,'[1]Plant data'!$A$1:$AB$315,19,0)</f>
        <v>0.84899999999999998</v>
      </c>
      <c r="AL329">
        <f>VLOOKUP($B329,'[1]Plant data'!$A$1:$AB$315,20,0)</f>
        <v>1.4999999999999999E-2</v>
      </c>
      <c r="AM329" t="str">
        <f>VLOOKUP($B329,'[1]Plant data'!$A$1:$AB$315,21,0)</f>
        <v>NA</v>
      </c>
      <c r="AN329" t="str">
        <f>VLOOKUP($B329,'[1]Plant data'!$A$1:$AB$315,22,0)</f>
        <v>NA</v>
      </c>
      <c r="AO329" t="str">
        <f>VLOOKUP($B329,'[1]Plant data'!$A$1:$AB$315,23,0)</f>
        <v>NA</v>
      </c>
      <c r="AP329" t="str">
        <f>VLOOKUP($B329,'[1]Plant data'!$A$1:$AB$315,24,0)</f>
        <v>NA</v>
      </c>
      <c r="AQ329" t="str">
        <f>VLOOKUP($B329,'[1]Plant data'!$A$1:$AB$315,25,0)</f>
        <v>NA</v>
      </c>
      <c r="AR329" t="str">
        <f>VLOOKUP($B329,'[1]Plant data'!$A$1:$AB$315,26,0)</f>
        <v>NA</v>
      </c>
      <c r="AS329" t="str">
        <f>VLOOKUP($B329,'[1]Plant data'!$A$1:$AB$315,27,0)</f>
        <v>NA</v>
      </c>
      <c r="AT329" t="str">
        <f>VLOOKUP($B329,'[1]Plant data'!$A$1:$AB$315,28,0)</f>
        <v>Motta Jr. 1981</v>
      </c>
    </row>
    <row r="330" spans="1:46">
      <c r="A330" s="5" t="s">
        <v>70</v>
      </c>
      <c r="B330" s="33" t="s">
        <v>135</v>
      </c>
      <c r="C330" s="7">
        <v>4</v>
      </c>
      <c r="D330" s="7">
        <v>15</v>
      </c>
      <c r="E330" s="23">
        <f>(C330/15)*6</f>
        <v>1.6</v>
      </c>
      <c r="F330" s="8" t="s">
        <v>19</v>
      </c>
      <c r="G330" s="9">
        <v>5.25</v>
      </c>
      <c r="H330" s="9"/>
      <c r="I330" s="8">
        <f t="shared" si="26"/>
        <v>8.4</v>
      </c>
      <c r="J330" s="25" t="s">
        <v>132</v>
      </c>
      <c r="K330" s="25" t="s">
        <v>133</v>
      </c>
      <c r="L330" t="s">
        <v>22</v>
      </c>
      <c r="M330" t="s">
        <v>23</v>
      </c>
      <c r="N330" s="11">
        <v>15</v>
      </c>
      <c r="O330" s="11">
        <v>6.9235714289999999</v>
      </c>
      <c r="P330" t="s">
        <v>24</v>
      </c>
      <c r="Q330" t="s">
        <v>25</v>
      </c>
      <c r="R330" t="s">
        <v>26</v>
      </c>
      <c r="S330" t="s">
        <v>27</v>
      </c>
      <c r="T330" t="str">
        <f>VLOOKUP(B330,'[1]Plant data'!$A$1:$AB$315,2,0)</f>
        <v>Melastomataceae</v>
      </c>
      <c r="U330" t="str">
        <f>VLOOKUP($B330,'[1]Plant data'!$A$1:$AB$315,3,0)</f>
        <v>NA</v>
      </c>
      <c r="V330" t="str">
        <f>VLOOKUP($B330,'[1]Plant data'!$A$1:$AB$315,4,0)</f>
        <v>black</v>
      </c>
      <c r="W330" t="str">
        <f>VLOOKUP($B330,'[1]Plant data'!$A$1:$AB$315,5,0)</f>
        <v>YES</v>
      </c>
      <c r="X330">
        <f>VLOOKUP($B330,'[1]Plant data'!$A$1:$AB$315,6,0)</f>
        <v>5.44</v>
      </c>
      <c r="Y330">
        <f>VLOOKUP($B330,'[1]Plant data'!$A$1:$AB$315,7,0)</f>
        <v>4.706666666666667</v>
      </c>
      <c r="Z330">
        <f>VLOOKUP($B330,'[1]Plant data'!$A$1:$AB$315,8,0)</f>
        <v>0.61</v>
      </c>
      <c r="AA330">
        <f>VLOOKUP($B330,'[1]Plant data'!$A$1:$AB$315,9,0)</f>
        <v>0.6</v>
      </c>
      <c r="AB330">
        <f>VLOOKUP($B330,'[1]Plant data'!$A$1:$AB$315,10,0)</f>
        <v>0.12</v>
      </c>
      <c r="AC330" t="str">
        <f>VLOOKUP($B330,'[1]Plant data'!$A$1:$AB$315,11,0)</f>
        <v>NA</v>
      </c>
      <c r="AD330" t="str">
        <f>VLOOKUP($B330,'[1]Plant data'!$A$1:$AB$315,12,0)</f>
        <v>NA</v>
      </c>
      <c r="AE330" t="str">
        <f>VLOOKUP($B330,'[1]Plant data'!$A$1:$AB$315,13,0)</f>
        <v>NA</v>
      </c>
      <c r="AF330" t="str">
        <f>VLOOKUP($B330,'[1]Plant data'!$A$1:$AB$315,14,0)</f>
        <v>NA</v>
      </c>
      <c r="AG330">
        <f>VLOOKUP($B330,'[1]Plant data'!$A$1:$AB$315,15,0)</f>
        <v>50</v>
      </c>
      <c r="AH330" t="str">
        <f>VLOOKUP($B330,'[1]Plant data'!$A$1:$AB$315,16,0)</f>
        <v>NA</v>
      </c>
      <c r="AI330" t="str">
        <f>VLOOKUP($B330,'[1]Plant data'!$A$1:$AB$315,17,0)</f>
        <v>NA</v>
      </c>
      <c r="AJ330" t="str">
        <f>VLOOKUP($B330,'[1]Plant data'!$A$1:$AB$315,18,0)</f>
        <v>ATLANTIC, Santana et al. 2013, Correia 1997</v>
      </c>
      <c r="AK330" t="str">
        <f>VLOOKUP($B330,'[1]Plant data'!$A$1:$AB$315,19,0)</f>
        <v>NA</v>
      </c>
      <c r="AL330">
        <f>VLOOKUP($B330,'[1]Plant data'!$A$1:$AB$315,20,0)</f>
        <v>2.2000000000000002E-2</v>
      </c>
      <c r="AM330">
        <f>VLOOKUP($B330,'[1]Plant data'!$A$1:$AB$315,21,0)</f>
        <v>3.5000000000000003E-2</v>
      </c>
      <c r="AN330" t="str">
        <f>VLOOKUP($B330,'[1]Plant data'!$A$1:$AB$315,22,0)</f>
        <v>NA</v>
      </c>
      <c r="AO330" t="str">
        <f>VLOOKUP($B330,'[1]Plant data'!$A$1:$AB$315,23,0)</f>
        <v>NA</v>
      </c>
      <c r="AP330" t="str">
        <f>VLOOKUP($B330,'[1]Plant data'!$A$1:$AB$315,24,0)</f>
        <v>NA</v>
      </c>
      <c r="AQ330" t="str">
        <f>VLOOKUP($B330,'[1]Plant data'!$A$1:$AB$315,25,0)</f>
        <v>NA</v>
      </c>
      <c r="AR330" t="str">
        <f>VLOOKUP($B330,'[1]Plant data'!$A$1:$AB$315,26,0)</f>
        <v>NA</v>
      </c>
      <c r="AS330" t="str">
        <f>VLOOKUP($B330,'[1]Plant data'!$A$1:$AB$315,27,0)</f>
        <v>NA</v>
      </c>
      <c r="AT330" t="str">
        <f>VLOOKUP($B330,'[1]Plant data'!$A$1:$AB$315,28,0)</f>
        <v>Santana et al. 2013</v>
      </c>
    </row>
    <row r="331" spans="1:46">
      <c r="A331" s="5" t="s">
        <v>41</v>
      </c>
      <c r="B331" s="32" t="s">
        <v>135</v>
      </c>
      <c r="C331" s="7">
        <v>1</v>
      </c>
      <c r="D331" s="7">
        <v>15</v>
      </c>
      <c r="E331" s="23">
        <f>(C331/15)*2</f>
        <v>0.13333333333333333</v>
      </c>
      <c r="F331" s="8" t="s">
        <v>19</v>
      </c>
      <c r="G331" s="9">
        <v>1</v>
      </c>
      <c r="H331" s="9"/>
      <c r="I331" s="8">
        <f t="shared" si="26"/>
        <v>0.13333333333333333</v>
      </c>
      <c r="J331" t="s">
        <v>132</v>
      </c>
      <c r="K331" s="25" t="s">
        <v>133</v>
      </c>
      <c r="L331" t="s">
        <v>22</v>
      </c>
      <c r="M331" t="s">
        <v>30</v>
      </c>
      <c r="N331" s="11">
        <v>39</v>
      </c>
      <c r="O331" s="11">
        <v>8.2839869279999991</v>
      </c>
      <c r="P331" t="s">
        <v>24</v>
      </c>
      <c r="Q331" t="s">
        <v>25</v>
      </c>
      <c r="R331" t="s">
        <v>26</v>
      </c>
      <c r="S331" t="s">
        <v>31</v>
      </c>
      <c r="T331" t="str">
        <f>VLOOKUP(B331,'[1]Plant data'!$A$1:$AB$315,2,0)</f>
        <v>Melastomataceae</v>
      </c>
      <c r="U331" t="str">
        <f>VLOOKUP($B331,'[1]Plant data'!$A$1:$AB$315,3,0)</f>
        <v>NA</v>
      </c>
      <c r="V331" t="str">
        <f>VLOOKUP($B331,'[1]Plant data'!$A$1:$AB$315,4,0)</f>
        <v>black</v>
      </c>
      <c r="W331" t="str">
        <f>VLOOKUP($B331,'[1]Plant data'!$A$1:$AB$315,5,0)</f>
        <v>YES</v>
      </c>
      <c r="X331">
        <f>VLOOKUP($B331,'[1]Plant data'!$A$1:$AB$315,6,0)</f>
        <v>5.44</v>
      </c>
      <c r="Y331">
        <f>VLOOKUP($B331,'[1]Plant data'!$A$1:$AB$315,7,0)</f>
        <v>4.706666666666667</v>
      </c>
      <c r="Z331">
        <f>VLOOKUP($B331,'[1]Plant data'!$A$1:$AB$315,8,0)</f>
        <v>0.61</v>
      </c>
      <c r="AA331">
        <f>VLOOKUP($B331,'[1]Plant data'!$A$1:$AB$315,9,0)</f>
        <v>0.6</v>
      </c>
      <c r="AB331">
        <f>VLOOKUP($B331,'[1]Plant data'!$A$1:$AB$315,10,0)</f>
        <v>0.12</v>
      </c>
      <c r="AC331" t="str">
        <f>VLOOKUP($B331,'[1]Plant data'!$A$1:$AB$315,11,0)</f>
        <v>NA</v>
      </c>
      <c r="AD331" t="str">
        <f>VLOOKUP($B331,'[1]Plant data'!$A$1:$AB$315,12,0)</f>
        <v>NA</v>
      </c>
      <c r="AE331" t="str">
        <f>VLOOKUP($B331,'[1]Plant data'!$A$1:$AB$315,13,0)</f>
        <v>NA</v>
      </c>
      <c r="AF331" t="str">
        <f>VLOOKUP($B331,'[1]Plant data'!$A$1:$AB$315,14,0)</f>
        <v>NA</v>
      </c>
      <c r="AG331">
        <f>VLOOKUP($B331,'[1]Plant data'!$A$1:$AB$315,15,0)</f>
        <v>50</v>
      </c>
      <c r="AH331" t="str">
        <f>VLOOKUP($B331,'[1]Plant data'!$A$1:$AB$315,16,0)</f>
        <v>NA</v>
      </c>
      <c r="AI331" t="str">
        <f>VLOOKUP($B331,'[1]Plant data'!$A$1:$AB$315,17,0)</f>
        <v>NA</v>
      </c>
      <c r="AJ331" t="str">
        <f>VLOOKUP($B331,'[1]Plant data'!$A$1:$AB$315,18,0)</f>
        <v>ATLANTIC, Santana et al. 2013, Correia 1997</v>
      </c>
      <c r="AK331" t="str">
        <f>VLOOKUP($B331,'[1]Plant data'!$A$1:$AB$315,19,0)</f>
        <v>NA</v>
      </c>
      <c r="AL331">
        <f>VLOOKUP($B331,'[1]Plant data'!$A$1:$AB$315,20,0)</f>
        <v>2.2000000000000002E-2</v>
      </c>
      <c r="AM331">
        <f>VLOOKUP($B331,'[1]Plant data'!$A$1:$AB$315,21,0)</f>
        <v>3.5000000000000003E-2</v>
      </c>
      <c r="AN331" t="str">
        <f>VLOOKUP($B331,'[1]Plant data'!$A$1:$AB$315,22,0)</f>
        <v>NA</v>
      </c>
      <c r="AO331" t="str">
        <f>VLOOKUP($B331,'[1]Plant data'!$A$1:$AB$315,23,0)</f>
        <v>NA</v>
      </c>
      <c r="AP331" t="str">
        <f>VLOOKUP($B331,'[1]Plant data'!$A$1:$AB$315,24,0)</f>
        <v>NA</v>
      </c>
      <c r="AQ331" t="str">
        <f>VLOOKUP($B331,'[1]Plant data'!$A$1:$AB$315,25,0)</f>
        <v>NA</v>
      </c>
      <c r="AR331" t="str">
        <f>VLOOKUP($B331,'[1]Plant data'!$A$1:$AB$315,26,0)</f>
        <v>NA</v>
      </c>
      <c r="AS331" t="str">
        <f>VLOOKUP($B331,'[1]Plant data'!$A$1:$AB$315,27,0)</f>
        <v>NA</v>
      </c>
      <c r="AT331" t="str">
        <f>VLOOKUP($B331,'[1]Plant data'!$A$1:$AB$315,28,0)</f>
        <v>Santana et al. 2013</v>
      </c>
    </row>
    <row r="332" spans="1:46">
      <c r="A332" s="5" t="s">
        <v>43</v>
      </c>
      <c r="B332" s="37" t="s">
        <v>135</v>
      </c>
      <c r="C332" s="7">
        <v>2</v>
      </c>
      <c r="D332" s="7">
        <v>15</v>
      </c>
      <c r="E332" s="23">
        <f>C332/15</f>
        <v>0.13333333333333333</v>
      </c>
      <c r="F332" s="8" t="s">
        <v>19</v>
      </c>
      <c r="G332" s="9">
        <v>1</v>
      </c>
      <c r="H332" s="9"/>
      <c r="I332" s="8">
        <f t="shared" si="26"/>
        <v>0.13333333333333333</v>
      </c>
      <c r="J332" t="s">
        <v>132</v>
      </c>
      <c r="K332" s="25" t="s">
        <v>133</v>
      </c>
      <c r="L332" t="s">
        <v>22</v>
      </c>
      <c r="M332" t="s">
        <v>30</v>
      </c>
      <c r="N332" s="11">
        <v>32.5</v>
      </c>
      <c r="O332" s="11">
        <v>8.9205555560000001</v>
      </c>
      <c r="P332" t="s">
        <v>24</v>
      </c>
      <c r="Q332" t="s">
        <v>25</v>
      </c>
      <c r="R332" t="s">
        <v>26</v>
      </c>
      <c r="S332" t="s">
        <v>31</v>
      </c>
      <c r="T332" t="str">
        <f>VLOOKUP(B332,'[1]Plant data'!$A$1:$AB$315,2,0)</f>
        <v>Melastomataceae</v>
      </c>
      <c r="U332" t="str">
        <f>VLOOKUP($B332,'[1]Plant data'!$A$1:$AB$315,3,0)</f>
        <v>NA</v>
      </c>
      <c r="V332" t="str">
        <f>VLOOKUP($B332,'[1]Plant data'!$A$1:$AB$315,4,0)</f>
        <v>black</v>
      </c>
      <c r="W332" t="str">
        <f>VLOOKUP($B332,'[1]Plant data'!$A$1:$AB$315,5,0)</f>
        <v>YES</v>
      </c>
      <c r="X332">
        <f>VLOOKUP($B332,'[1]Plant data'!$A$1:$AB$315,6,0)</f>
        <v>5.44</v>
      </c>
      <c r="Y332">
        <f>VLOOKUP($B332,'[1]Plant data'!$A$1:$AB$315,7,0)</f>
        <v>4.706666666666667</v>
      </c>
      <c r="Z332">
        <f>VLOOKUP($B332,'[1]Plant data'!$A$1:$AB$315,8,0)</f>
        <v>0.61</v>
      </c>
      <c r="AA332">
        <f>VLOOKUP($B332,'[1]Plant data'!$A$1:$AB$315,9,0)</f>
        <v>0.6</v>
      </c>
      <c r="AB332">
        <f>VLOOKUP($B332,'[1]Plant data'!$A$1:$AB$315,10,0)</f>
        <v>0.12</v>
      </c>
      <c r="AC332" t="str">
        <f>VLOOKUP($B332,'[1]Plant data'!$A$1:$AB$315,11,0)</f>
        <v>NA</v>
      </c>
      <c r="AD332" t="str">
        <f>VLOOKUP($B332,'[1]Plant data'!$A$1:$AB$315,12,0)</f>
        <v>NA</v>
      </c>
      <c r="AE332" t="str">
        <f>VLOOKUP($B332,'[1]Plant data'!$A$1:$AB$315,13,0)</f>
        <v>NA</v>
      </c>
      <c r="AF332" t="str">
        <f>VLOOKUP($B332,'[1]Plant data'!$A$1:$AB$315,14,0)</f>
        <v>NA</v>
      </c>
      <c r="AG332">
        <f>VLOOKUP($B332,'[1]Plant data'!$A$1:$AB$315,15,0)</f>
        <v>50</v>
      </c>
      <c r="AH332" t="str">
        <f>VLOOKUP($B332,'[1]Plant data'!$A$1:$AB$315,16,0)</f>
        <v>NA</v>
      </c>
      <c r="AI332" t="str">
        <f>VLOOKUP($B332,'[1]Plant data'!$A$1:$AB$315,17,0)</f>
        <v>NA</v>
      </c>
      <c r="AJ332" t="str">
        <f>VLOOKUP($B332,'[1]Plant data'!$A$1:$AB$315,18,0)</f>
        <v>ATLANTIC, Santana et al. 2013, Correia 1997</v>
      </c>
      <c r="AK332" t="str">
        <f>VLOOKUP($B332,'[1]Plant data'!$A$1:$AB$315,19,0)</f>
        <v>NA</v>
      </c>
      <c r="AL332">
        <f>VLOOKUP($B332,'[1]Plant data'!$A$1:$AB$315,20,0)</f>
        <v>2.2000000000000002E-2</v>
      </c>
      <c r="AM332">
        <f>VLOOKUP($B332,'[1]Plant data'!$A$1:$AB$315,21,0)</f>
        <v>3.5000000000000003E-2</v>
      </c>
      <c r="AN332" t="str">
        <f>VLOOKUP($B332,'[1]Plant data'!$A$1:$AB$315,22,0)</f>
        <v>NA</v>
      </c>
      <c r="AO332" t="str">
        <f>VLOOKUP($B332,'[1]Plant data'!$A$1:$AB$315,23,0)</f>
        <v>NA</v>
      </c>
      <c r="AP332" t="str">
        <f>VLOOKUP($B332,'[1]Plant data'!$A$1:$AB$315,24,0)</f>
        <v>NA</v>
      </c>
      <c r="AQ332" t="str">
        <f>VLOOKUP($B332,'[1]Plant data'!$A$1:$AB$315,25,0)</f>
        <v>NA</v>
      </c>
      <c r="AR332" t="str">
        <f>VLOOKUP($B332,'[1]Plant data'!$A$1:$AB$315,26,0)</f>
        <v>NA</v>
      </c>
      <c r="AS332" t="str">
        <f>VLOOKUP($B332,'[1]Plant data'!$A$1:$AB$315,27,0)</f>
        <v>NA</v>
      </c>
      <c r="AT332" t="str">
        <f>VLOOKUP($B332,'[1]Plant data'!$A$1:$AB$315,28,0)</f>
        <v>Santana et al. 2013</v>
      </c>
    </row>
    <row r="333" spans="1:46">
      <c r="A333" s="5" t="s">
        <v>50</v>
      </c>
      <c r="B333" s="32" t="s">
        <v>251</v>
      </c>
      <c r="C333">
        <v>1</v>
      </c>
      <c r="D333" s="16">
        <v>85.3</v>
      </c>
      <c r="E333" s="8">
        <f>C333/85.3</f>
        <v>1.1723329425556858E-2</v>
      </c>
      <c r="F333" s="9" t="s">
        <v>19</v>
      </c>
      <c r="G333" s="41">
        <v>10.029292929292929</v>
      </c>
      <c r="H333" s="41"/>
      <c r="I333" s="8">
        <f t="shared" si="26"/>
        <v>0.11757670491550913</v>
      </c>
      <c r="J333" s="25" t="s">
        <v>246</v>
      </c>
      <c r="K333" s="25" t="s">
        <v>247</v>
      </c>
      <c r="L333" t="s">
        <v>22</v>
      </c>
      <c r="M333" t="s">
        <v>47</v>
      </c>
      <c r="N333" s="11">
        <v>69.5</v>
      </c>
      <c r="O333" s="11">
        <v>13.253214290000001</v>
      </c>
      <c r="P333" t="s">
        <v>48</v>
      </c>
      <c r="Q333" t="s">
        <v>25</v>
      </c>
      <c r="R333" t="s">
        <v>26</v>
      </c>
      <c r="S333" t="s">
        <v>31</v>
      </c>
      <c r="T333" t="str">
        <f>VLOOKUP(B333,'[1]Plant data'!$A$1:$AB$315,2,0)</f>
        <v>Melastomataceae</v>
      </c>
      <c r="U333" t="str">
        <f>VLOOKUP($B333,'[1]Plant data'!$A$1:$AB$315,3,0)</f>
        <v>NA</v>
      </c>
      <c r="V333" t="str">
        <f>VLOOKUP($B333,'[1]Plant data'!$A$1:$AB$315,4,0)</f>
        <v>black</v>
      </c>
      <c r="W333" t="str">
        <f>VLOOKUP($B333,'[1]Plant data'!$A$1:$AB$315,5,0)</f>
        <v>YES</v>
      </c>
      <c r="X333">
        <f>VLOOKUP($B333,'[1]Plant data'!$A$1:$AB$315,6,0)</f>
        <v>4.2433333333333332</v>
      </c>
      <c r="Y333">
        <f>VLOOKUP($B333,'[1]Plant data'!$A$1:$AB$315,7,0)</f>
        <v>4.1900000000000004</v>
      </c>
      <c r="Z333">
        <f>VLOOKUP($B333,'[1]Plant data'!$A$1:$AB$315,8,0)</f>
        <v>1.7933333333333332</v>
      </c>
      <c r="AA333">
        <f>VLOOKUP($B333,'[1]Plant data'!$A$1:$AB$315,9,0)</f>
        <v>2.855</v>
      </c>
      <c r="AB333">
        <f>VLOOKUP($B333,'[1]Plant data'!$A$1:$AB$315,10,0)</f>
        <v>6.3400000000000012E-2</v>
      </c>
      <c r="AC333" t="str">
        <f>VLOOKUP($B333,'[1]Plant data'!$A$1:$AB$315,11,0)</f>
        <v>NA</v>
      </c>
      <c r="AD333">
        <f>VLOOKUP($B333,'[1]Plant data'!$A$1:$AB$315,12,0)</f>
        <v>6.899999999999999E-3</v>
      </c>
      <c r="AE333">
        <f>VLOOKUP($B333,'[1]Plant data'!$A$1:$AB$315,13,0)</f>
        <v>5.6499999999999995E-2</v>
      </c>
      <c r="AF333">
        <f>VLOOKUP($B333,'[1]Plant data'!$A$1:$AB$315,14,0)</f>
        <v>1.25345</v>
      </c>
      <c r="AG333">
        <f>VLOOKUP($B333,'[1]Plant data'!$A$1:$AB$315,15,0)</f>
        <v>2.6</v>
      </c>
      <c r="AH333" t="str">
        <f>VLOOKUP($B333,'[1]Plant data'!$A$1:$AB$315,16,0)</f>
        <v>NA</v>
      </c>
      <c r="AI333">
        <f>VLOOKUP($B333,'[1]Plant data'!$A$1:$AB$315,17,0)</f>
        <v>8.1884057971014492</v>
      </c>
      <c r="AJ333" t="str">
        <f>VLOOKUP($B333,'[1]Plant data'!$A$1:$AB$315,18,0)</f>
        <v>Mikich 2002, ATLANTIC, Erica&amp;Wesley</v>
      </c>
      <c r="AK333" t="str">
        <f>VLOOKUP($B333,'[1]Plant data'!$A$1:$AB$315,19,0)</f>
        <v>NA</v>
      </c>
      <c r="AL333">
        <f>VLOOKUP($B333,'[1]Plant data'!$A$1:$AB$315,20,0)</f>
        <v>0.111</v>
      </c>
      <c r="AM333">
        <f>VLOOKUP($B333,'[1]Plant data'!$A$1:$AB$315,21,0)</f>
        <v>0.14122825912113343</v>
      </c>
      <c r="AN333">
        <f>VLOOKUP($B333,'[1]Plant data'!$A$1:$AB$315,22,0)</f>
        <v>8.900000000000001E-2</v>
      </c>
      <c r="AO333">
        <f>VLOOKUP($B333,'[1]Plant data'!$A$1:$AB$315,23,0)</f>
        <v>7.0000000000000007E-2</v>
      </c>
      <c r="AP333" t="str">
        <f>VLOOKUP($B333,'[1]Plant data'!$A$1:$AB$315,24,0)</f>
        <v>NA</v>
      </c>
      <c r="AQ333" t="str">
        <f>VLOOKUP($B333,'[1]Plant data'!$A$1:$AB$315,25,0)</f>
        <v>NA</v>
      </c>
      <c r="AR333" t="str">
        <f>VLOOKUP($B333,'[1]Plant data'!$A$1:$AB$315,26,0)</f>
        <v>NA</v>
      </c>
      <c r="AS333" t="str">
        <f>VLOOKUP($B333,'[1]Plant data'!$A$1:$AB$315,27,0)</f>
        <v>NA</v>
      </c>
      <c r="AT333" t="str">
        <f>VLOOKUP($B333,'[1]Plant data'!$A$1:$AB$315,28,0)</f>
        <v>Erica &amp; Wesley, unpubl.</v>
      </c>
    </row>
    <row r="334" spans="1:46">
      <c r="A334" s="5" t="s">
        <v>46</v>
      </c>
      <c r="B334" s="33" t="s">
        <v>249</v>
      </c>
      <c r="C334" s="7">
        <v>1</v>
      </c>
      <c r="D334" s="7">
        <v>85.3</v>
      </c>
      <c r="E334" s="8">
        <f>C334/85.3</f>
        <v>1.1723329425556858E-2</v>
      </c>
      <c r="F334" s="9" t="s">
        <v>19</v>
      </c>
      <c r="G334" s="41">
        <v>10.029292929292929</v>
      </c>
      <c r="H334" s="41"/>
      <c r="I334" s="8">
        <f t="shared" si="26"/>
        <v>0.11757670491550913</v>
      </c>
      <c r="J334" s="24" t="s">
        <v>246</v>
      </c>
      <c r="K334" s="25" t="s">
        <v>247</v>
      </c>
      <c r="L334" t="s">
        <v>22</v>
      </c>
      <c r="M334" t="s">
        <v>47</v>
      </c>
      <c r="N334" s="11">
        <v>54</v>
      </c>
      <c r="O334" s="11">
        <v>11.14875</v>
      </c>
      <c r="P334" t="s">
        <v>48</v>
      </c>
      <c r="Q334" t="s">
        <v>49</v>
      </c>
      <c r="R334" t="s">
        <v>26</v>
      </c>
      <c r="S334" t="s">
        <v>31</v>
      </c>
      <c r="T334" t="str">
        <f>VLOOKUP(B334,'[1]Plant data'!$A$1:$AB$315,2,0)</f>
        <v>Melastomataceae</v>
      </c>
      <c r="U334" t="str">
        <f>VLOOKUP($B334,'[1]Plant data'!$A$1:$AB$315,3,0)</f>
        <v>NA</v>
      </c>
      <c r="V334" t="str">
        <f>VLOOKUP($B334,'[1]Plant data'!$A$1:$AB$315,4,0)</f>
        <v>black</v>
      </c>
      <c r="W334" t="str">
        <f>VLOOKUP($B334,'[1]Plant data'!$A$1:$AB$315,5,0)</f>
        <v>YES</v>
      </c>
      <c r="X334">
        <f>VLOOKUP($B334,'[1]Plant data'!$A$1:$AB$315,6,0)</f>
        <v>3.2</v>
      </c>
      <c r="Y334">
        <f>VLOOKUP($B334,'[1]Plant data'!$A$1:$AB$315,7,0)</f>
        <v>3.355</v>
      </c>
      <c r="Z334">
        <f>VLOOKUP($B334,'[1]Plant data'!$A$1:$AB$315,8,0)</f>
        <v>0.61</v>
      </c>
      <c r="AA334">
        <f>VLOOKUP($B334,'[1]Plant data'!$A$1:$AB$315,9,0)</f>
        <v>1.1499999999999999</v>
      </c>
      <c r="AB334">
        <f>VLOOKUP($B334,'[1]Plant data'!$A$1:$AB$315,10,0)</f>
        <v>5.4700000000000006E-2</v>
      </c>
      <c r="AC334" t="str">
        <f>VLOOKUP($B334,'[1]Plant data'!$A$1:$AB$315,11,0)</f>
        <v>NA</v>
      </c>
      <c r="AD334">
        <f>VLOOKUP($B334,'[1]Plant data'!$A$1:$AB$315,12,0)</f>
        <v>5.0449134199134207E-4</v>
      </c>
      <c r="AE334">
        <f>VLOOKUP($B334,'[1]Plant data'!$A$1:$AB$315,13,0)</f>
        <v>5.2777777777777778E-2</v>
      </c>
      <c r="AF334">
        <f>VLOOKUP($B334,'[1]Plant data'!$A$1:$AB$315,14,0)</f>
        <v>5.7777777777777784E-3</v>
      </c>
      <c r="AG334">
        <f>VLOOKUP($B334,'[1]Plant data'!$A$1:$AB$315,15,0)</f>
        <v>12.6</v>
      </c>
      <c r="AH334" t="str">
        <f>VLOOKUP($B334,'[1]Plant data'!$A$1:$AB$315,16,0)</f>
        <v>NA</v>
      </c>
      <c r="AI334">
        <f>VLOOKUP($B334,'[1]Plant data'!$A$1:$AB$315,17,0)</f>
        <v>9.1346153846153832</v>
      </c>
      <c r="AJ334" t="str">
        <f>VLOOKUP($B334,'[1]Plant data'!$A$1:$AB$315,18,0)</f>
        <v>ATLANTIC, Erica&amp;Wesley</v>
      </c>
      <c r="AK334" t="str">
        <f>VLOOKUP($B334,'[1]Plant data'!$A$1:$AB$315,19,0)</f>
        <v>NA</v>
      </c>
      <c r="AL334" t="str">
        <f>VLOOKUP($B334,'[1]Plant data'!$A$1:$AB$315,20,0)</f>
        <v>NA</v>
      </c>
      <c r="AM334" t="str">
        <f>VLOOKUP($B334,'[1]Plant data'!$A$1:$AB$315,21,0)</f>
        <v>NA</v>
      </c>
      <c r="AN334" t="str">
        <f>VLOOKUP($B334,'[1]Plant data'!$A$1:$AB$315,22,0)</f>
        <v>NA</v>
      </c>
      <c r="AO334" t="str">
        <f>VLOOKUP($B334,'[1]Plant data'!$A$1:$AB$315,23,0)</f>
        <v>NA</v>
      </c>
      <c r="AP334" t="str">
        <f>VLOOKUP($B334,'[1]Plant data'!$A$1:$AB$315,24,0)</f>
        <v>NA</v>
      </c>
      <c r="AQ334" t="str">
        <f>VLOOKUP($B334,'[1]Plant data'!$A$1:$AB$315,25,0)</f>
        <v>NA</v>
      </c>
      <c r="AR334" t="str">
        <f>VLOOKUP($B334,'[1]Plant data'!$A$1:$AB$315,26,0)</f>
        <v>NA</v>
      </c>
      <c r="AS334" t="str">
        <f>VLOOKUP($B334,'[1]Plant data'!$A$1:$AB$315,27,0)</f>
        <v>NA</v>
      </c>
      <c r="AT334" t="str">
        <f>VLOOKUP($B334,'[1]Plant data'!$A$1:$AB$315,28,0)</f>
        <v>NA</v>
      </c>
    </row>
    <row r="335" spans="1:46">
      <c r="A335" s="5" t="s">
        <v>50</v>
      </c>
      <c r="B335" s="32" t="s">
        <v>249</v>
      </c>
      <c r="C335">
        <v>1</v>
      </c>
      <c r="D335" s="16">
        <v>85.3</v>
      </c>
      <c r="E335" s="8">
        <f>C335/85.3</f>
        <v>1.1723329425556858E-2</v>
      </c>
      <c r="F335" s="9" t="s">
        <v>19</v>
      </c>
      <c r="G335" s="41">
        <v>10.029292929292929</v>
      </c>
      <c r="H335" s="41"/>
      <c r="I335" s="8">
        <f t="shared" si="26"/>
        <v>0.11757670491550913</v>
      </c>
      <c r="J335" s="25" t="s">
        <v>246</v>
      </c>
      <c r="K335" s="25" t="s">
        <v>247</v>
      </c>
      <c r="L335" t="s">
        <v>22</v>
      </c>
      <c r="M335" t="s">
        <v>47</v>
      </c>
      <c r="N335" s="11">
        <v>69.5</v>
      </c>
      <c r="O335" s="11">
        <v>13.253214290000001</v>
      </c>
      <c r="P335" t="s">
        <v>48</v>
      </c>
      <c r="Q335" t="s">
        <v>25</v>
      </c>
      <c r="R335" t="s">
        <v>26</v>
      </c>
      <c r="S335" t="s">
        <v>31</v>
      </c>
      <c r="T335" t="str">
        <f>VLOOKUP(B335,'[1]Plant data'!$A$1:$AB$315,2,0)</f>
        <v>Melastomataceae</v>
      </c>
      <c r="U335" t="str">
        <f>VLOOKUP($B335,'[1]Plant data'!$A$1:$AB$315,3,0)</f>
        <v>NA</v>
      </c>
      <c r="V335" t="str">
        <f>VLOOKUP($B335,'[1]Plant data'!$A$1:$AB$315,4,0)</f>
        <v>black</v>
      </c>
      <c r="W335" t="str">
        <f>VLOOKUP($B335,'[1]Plant data'!$A$1:$AB$315,5,0)</f>
        <v>YES</v>
      </c>
      <c r="X335">
        <f>VLOOKUP($B335,'[1]Plant data'!$A$1:$AB$315,6,0)</f>
        <v>3.2</v>
      </c>
      <c r="Y335">
        <f>VLOOKUP($B335,'[1]Plant data'!$A$1:$AB$315,7,0)</f>
        <v>3.355</v>
      </c>
      <c r="Z335">
        <f>VLOOKUP($B335,'[1]Plant data'!$A$1:$AB$315,8,0)</f>
        <v>0.61</v>
      </c>
      <c r="AA335">
        <f>VLOOKUP($B335,'[1]Plant data'!$A$1:$AB$315,9,0)</f>
        <v>1.1499999999999999</v>
      </c>
      <c r="AB335">
        <f>VLOOKUP($B335,'[1]Plant data'!$A$1:$AB$315,10,0)</f>
        <v>5.4700000000000006E-2</v>
      </c>
      <c r="AC335" t="str">
        <f>VLOOKUP($B335,'[1]Plant data'!$A$1:$AB$315,11,0)</f>
        <v>NA</v>
      </c>
      <c r="AD335">
        <f>VLOOKUP($B335,'[1]Plant data'!$A$1:$AB$315,12,0)</f>
        <v>5.0449134199134207E-4</v>
      </c>
      <c r="AE335">
        <f>VLOOKUP($B335,'[1]Plant data'!$A$1:$AB$315,13,0)</f>
        <v>5.2777777777777778E-2</v>
      </c>
      <c r="AF335">
        <f>VLOOKUP($B335,'[1]Plant data'!$A$1:$AB$315,14,0)</f>
        <v>5.7777777777777784E-3</v>
      </c>
      <c r="AG335">
        <f>VLOOKUP($B335,'[1]Plant data'!$A$1:$AB$315,15,0)</f>
        <v>12.6</v>
      </c>
      <c r="AH335" t="str">
        <f>VLOOKUP($B335,'[1]Plant data'!$A$1:$AB$315,16,0)</f>
        <v>NA</v>
      </c>
      <c r="AI335">
        <f>VLOOKUP($B335,'[1]Plant data'!$A$1:$AB$315,17,0)</f>
        <v>9.1346153846153832</v>
      </c>
      <c r="AJ335" t="str">
        <f>VLOOKUP($B335,'[1]Plant data'!$A$1:$AB$315,18,0)</f>
        <v>ATLANTIC, Erica&amp;Wesley</v>
      </c>
      <c r="AK335" t="str">
        <f>VLOOKUP($B335,'[1]Plant data'!$A$1:$AB$315,19,0)</f>
        <v>NA</v>
      </c>
      <c r="AL335" t="str">
        <f>VLOOKUP($B335,'[1]Plant data'!$A$1:$AB$315,20,0)</f>
        <v>NA</v>
      </c>
      <c r="AM335" t="str">
        <f>VLOOKUP($B335,'[1]Plant data'!$A$1:$AB$315,21,0)</f>
        <v>NA</v>
      </c>
      <c r="AN335" t="str">
        <f>VLOOKUP($B335,'[1]Plant data'!$A$1:$AB$315,22,0)</f>
        <v>NA</v>
      </c>
      <c r="AO335" t="str">
        <f>VLOOKUP($B335,'[1]Plant data'!$A$1:$AB$315,23,0)</f>
        <v>NA</v>
      </c>
      <c r="AP335" t="str">
        <f>VLOOKUP($B335,'[1]Plant data'!$A$1:$AB$315,24,0)</f>
        <v>NA</v>
      </c>
      <c r="AQ335" t="str">
        <f>VLOOKUP($B335,'[1]Plant data'!$A$1:$AB$315,25,0)</f>
        <v>NA</v>
      </c>
      <c r="AR335" t="str">
        <f>VLOOKUP($B335,'[1]Plant data'!$A$1:$AB$315,26,0)</f>
        <v>NA</v>
      </c>
      <c r="AS335" t="str">
        <f>VLOOKUP($B335,'[1]Plant data'!$A$1:$AB$315,27,0)</f>
        <v>NA</v>
      </c>
      <c r="AT335" t="str">
        <f>VLOOKUP($B335,'[1]Plant data'!$A$1:$AB$315,28,0)</f>
        <v>NA</v>
      </c>
    </row>
    <row r="336" spans="1:46">
      <c r="A336" s="5" t="s">
        <v>43</v>
      </c>
      <c r="B336" s="32" t="s">
        <v>249</v>
      </c>
      <c r="C336">
        <v>2</v>
      </c>
      <c r="D336" s="13">
        <v>14.2</v>
      </c>
      <c r="E336" s="8">
        <f>C336/14.2</f>
        <v>0.14084507042253522</v>
      </c>
      <c r="F336" s="9" t="s">
        <v>19</v>
      </c>
      <c r="G336" s="41">
        <v>2.1</v>
      </c>
      <c r="H336" s="41"/>
      <c r="I336" s="8">
        <f t="shared" si="26"/>
        <v>0.29577464788732399</v>
      </c>
      <c r="J336" s="24" t="s">
        <v>256</v>
      </c>
      <c r="K336" s="25" t="s">
        <v>257</v>
      </c>
      <c r="L336" t="s">
        <v>22</v>
      </c>
      <c r="M336" t="s">
        <v>30</v>
      </c>
      <c r="N336" s="11">
        <v>32.5</v>
      </c>
      <c r="O336" s="11">
        <v>8.9205555560000001</v>
      </c>
      <c r="P336" t="s">
        <v>24</v>
      </c>
      <c r="Q336" t="s">
        <v>25</v>
      </c>
      <c r="R336" t="s">
        <v>26</v>
      </c>
      <c r="S336" t="s">
        <v>31</v>
      </c>
      <c r="T336" t="str">
        <f>VLOOKUP(B336,'[1]Plant data'!$A$1:$AB$315,2,0)</f>
        <v>Melastomataceae</v>
      </c>
      <c r="U336" t="str">
        <f>VLOOKUP($B336,'[1]Plant data'!$A$1:$AB$315,3,0)</f>
        <v>NA</v>
      </c>
      <c r="V336" t="str">
        <f>VLOOKUP($B336,'[1]Plant data'!$A$1:$AB$315,4,0)</f>
        <v>black</v>
      </c>
      <c r="W336" t="str">
        <f>VLOOKUP($B336,'[1]Plant data'!$A$1:$AB$315,5,0)</f>
        <v>YES</v>
      </c>
      <c r="X336">
        <f>VLOOKUP($B336,'[1]Plant data'!$A$1:$AB$315,6,0)</f>
        <v>3.2</v>
      </c>
      <c r="Y336">
        <f>VLOOKUP($B336,'[1]Plant data'!$A$1:$AB$315,7,0)</f>
        <v>3.355</v>
      </c>
      <c r="Z336">
        <f>VLOOKUP($B336,'[1]Plant data'!$A$1:$AB$315,8,0)</f>
        <v>0.61</v>
      </c>
      <c r="AA336">
        <f>VLOOKUP($B336,'[1]Plant data'!$A$1:$AB$315,9,0)</f>
        <v>1.1499999999999999</v>
      </c>
      <c r="AB336">
        <f>VLOOKUP($B336,'[1]Plant data'!$A$1:$AB$315,10,0)</f>
        <v>5.4700000000000006E-2</v>
      </c>
      <c r="AC336" t="str">
        <f>VLOOKUP($B336,'[1]Plant data'!$A$1:$AB$315,11,0)</f>
        <v>NA</v>
      </c>
      <c r="AD336">
        <f>VLOOKUP($B336,'[1]Plant data'!$A$1:$AB$315,12,0)</f>
        <v>5.0449134199134207E-4</v>
      </c>
      <c r="AE336">
        <f>VLOOKUP($B336,'[1]Plant data'!$A$1:$AB$315,13,0)</f>
        <v>5.2777777777777778E-2</v>
      </c>
      <c r="AF336">
        <f>VLOOKUP($B336,'[1]Plant data'!$A$1:$AB$315,14,0)</f>
        <v>5.7777777777777784E-3</v>
      </c>
      <c r="AG336">
        <f>VLOOKUP($B336,'[1]Plant data'!$A$1:$AB$315,15,0)</f>
        <v>12.6</v>
      </c>
      <c r="AH336" t="str">
        <f>VLOOKUP($B336,'[1]Plant data'!$A$1:$AB$315,16,0)</f>
        <v>NA</v>
      </c>
      <c r="AI336">
        <f>VLOOKUP($B336,'[1]Plant data'!$A$1:$AB$315,17,0)</f>
        <v>9.1346153846153832</v>
      </c>
      <c r="AJ336" t="str">
        <f>VLOOKUP($B336,'[1]Plant data'!$A$1:$AB$315,18,0)</f>
        <v>ATLANTIC, Erica&amp;Wesley</v>
      </c>
      <c r="AK336" t="str">
        <f>VLOOKUP($B336,'[1]Plant data'!$A$1:$AB$315,19,0)</f>
        <v>NA</v>
      </c>
      <c r="AL336" t="str">
        <f>VLOOKUP($B336,'[1]Plant data'!$A$1:$AB$315,20,0)</f>
        <v>NA</v>
      </c>
      <c r="AM336" t="str">
        <f>VLOOKUP($B336,'[1]Plant data'!$A$1:$AB$315,21,0)</f>
        <v>NA</v>
      </c>
      <c r="AN336" t="str">
        <f>VLOOKUP($B336,'[1]Plant data'!$A$1:$AB$315,22,0)</f>
        <v>NA</v>
      </c>
      <c r="AO336" t="str">
        <f>VLOOKUP($B336,'[1]Plant data'!$A$1:$AB$315,23,0)</f>
        <v>NA</v>
      </c>
      <c r="AP336" t="str">
        <f>VLOOKUP($B336,'[1]Plant data'!$A$1:$AB$315,24,0)</f>
        <v>NA</v>
      </c>
      <c r="AQ336" t="str">
        <f>VLOOKUP($B336,'[1]Plant data'!$A$1:$AB$315,25,0)</f>
        <v>NA</v>
      </c>
      <c r="AR336" t="str">
        <f>VLOOKUP($B336,'[1]Plant data'!$A$1:$AB$315,26,0)</f>
        <v>NA</v>
      </c>
      <c r="AS336" t="str">
        <f>VLOOKUP($B336,'[1]Plant data'!$A$1:$AB$315,27,0)</f>
        <v>NA</v>
      </c>
      <c r="AT336" t="str">
        <f>VLOOKUP($B336,'[1]Plant data'!$A$1:$AB$315,28,0)</f>
        <v>NA</v>
      </c>
    </row>
    <row r="337" spans="1:46">
      <c r="A337" s="5" t="s">
        <v>46</v>
      </c>
      <c r="B337" s="33" t="s">
        <v>249</v>
      </c>
      <c r="C337" s="7">
        <v>1</v>
      </c>
      <c r="D337" s="36">
        <v>7.4</v>
      </c>
      <c r="E337" s="8">
        <f>C337/7.4</f>
        <v>0.13513513513513511</v>
      </c>
      <c r="F337" s="9" t="s">
        <v>19</v>
      </c>
      <c r="G337" s="41">
        <v>10.029292929292929</v>
      </c>
      <c r="H337" s="41"/>
      <c r="I337" s="8">
        <f t="shared" si="26"/>
        <v>1.355309855309855</v>
      </c>
      <c r="J337" s="24" t="s">
        <v>256</v>
      </c>
      <c r="K337" s="25" t="s">
        <v>247</v>
      </c>
      <c r="L337" t="s">
        <v>22</v>
      </c>
      <c r="M337" t="s">
        <v>47</v>
      </c>
      <c r="N337" s="11">
        <v>54</v>
      </c>
      <c r="O337" s="11">
        <v>11.14875</v>
      </c>
      <c r="P337" t="s">
        <v>48</v>
      </c>
      <c r="Q337" t="s">
        <v>49</v>
      </c>
      <c r="R337" t="s">
        <v>26</v>
      </c>
      <c r="S337" t="s">
        <v>31</v>
      </c>
      <c r="T337" t="str">
        <f>VLOOKUP(B337,'[1]Plant data'!$A$1:$AB$315,2,0)</f>
        <v>Melastomataceae</v>
      </c>
      <c r="U337" t="str">
        <f>VLOOKUP($B337,'[1]Plant data'!$A$1:$AB$315,3,0)</f>
        <v>NA</v>
      </c>
      <c r="V337" t="str">
        <f>VLOOKUP($B337,'[1]Plant data'!$A$1:$AB$315,4,0)</f>
        <v>black</v>
      </c>
      <c r="W337" t="str">
        <f>VLOOKUP($B337,'[1]Plant data'!$A$1:$AB$315,5,0)</f>
        <v>YES</v>
      </c>
      <c r="X337">
        <f>VLOOKUP($B337,'[1]Plant data'!$A$1:$AB$315,6,0)</f>
        <v>3.2</v>
      </c>
      <c r="Y337">
        <f>VLOOKUP($B337,'[1]Plant data'!$A$1:$AB$315,7,0)</f>
        <v>3.355</v>
      </c>
      <c r="Z337">
        <f>VLOOKUP($B337,'[1]Plant data'!$A$1:$AB$315,8,0)</f>
        <v>0.61</v>
      </c>
      <c r="AA337">
        <f>VLOOKUP($B337,'[1]Plant data'!$A$1:$AB$315,9,0)</f>
        <v>1.1499999999999999</v>
      </c>
      <c r="AB337">
        <f>VLOOKUP($B337,'[1]Plant data'!$A$1:$AB$315,10,0)</f>
        <v>5.4700000000000006E-2</v>
      </c>
      <c r="AC337" t="str">
        <f>VLOOKUP($B337,'[1]Plant data'!$A$1:$AB$315,11,0)</f>
        <v>NA</v>
      </c>
      <c r="AD337">
        <f>VLOOKUP($B337,'[1]Plant data'!$A$1:$AB$315,12,0)</f>
        <v>5.0449134199134207E-4</v>
      </c>
      <c r="AE337">
        <f>VLOOKUP($B337,'[1]Plant data'!$A$1:$AB$315,13,0)</f>
        <v>5.2777777777777778E-2</v>
      </c>
      <c r="AF337">
        <f>VLOOKUP($B337,'[1]Plant data'!$A$1:$AB$315,14,0)</f>
        <v>5.7777777777777784E-3</v>
      </c>
      <c r="AG337">
        <f>VLOOKUP($B337,'[1]Plant data'!$A$1:$AB$315,15,0)</f>
        <v>12.6</v>
      </c>
      <c r="AH337" t="str">
        <f>VLOOKUP($B337,'[1]Plant data'!$A$1:$AB$315,16,0)</f>
        <v>NA</v>
      </c>
      <c r="AI337">
        <f>VLOOKUP($B337,'[1]Plant data'!$A$1:$AB$315,17,0)</f>
        <v>9.1346153846153832</v>
      </c>
      <c r="AJ337" t="str">
        <f>VLOOKUP($B337,'[1]Plant data'!$A$1:$AB$315,18,0)</f>
        <v>ATLANTIC, Erica&amp;Wesley</v>
      </c>
      <c r="AK337" t="str">
        <f>VLOOKUP($B337,'[1]Plant data'!$A$1:$AB$315,19,0)</f>
        <v>NA</v>
      </c>
      <c r="AL337" t="str">
        <f>VLOOKUP($B337,'[1]Plant data'!$A$1:$AB$315,20,0)</f>
        <v>NA</v>
      </c>
      <c r="AM337" t="str">
        <f>VLOOKUP($B337,'[1]Plant data'!$A$1:$AB$315,21,0)</f>
        <v>NA</v>
      </c>
      <c r="AN337" t="str">
        <f>VLOOKUP($B337,'[1]Plant data'!$A$1:$AB$315,22,0)</f>
        <v>NA</v>
      </c>
      <c r="AO337" t="str">
        <f>VLOOKUP($B337,'[1]Plant data'!$A$1:$AB$315,23,0)</f>
        <v>NA</v>
      </c>
      <c r="AP337" t="str">
        <f>VLOOKUP($B337,'[1]Plant data'!$A$1:$AB$315,24,0)</f>
        <v>NA</v>
      </c>
      <c r="AQ337" t="str">
        <f>VLOOKUP($B337,'[1]Plant data'!$A$1:$AB$315,25,0)</f>
        <v>NA</v>
      </c>
      <c r="AR337" t="str">
        <f>VLOOKUP($B337,'[1]Plant data'!$A$1:$AB$315,26,0)</f>
        <v>NA</v>
      </c>
      <c r="AS337" t="str">
        <f>VLOOKUP($B337,'[1]Plant data'!$A$1:$AB$315,27,0)</f>
        <v>NA</v>
      </c>
      <c r="AT337" t="str">
        <f>VLOOKUP($B337,'[1]Plant data'!$A$1:$AB$315,28,0)</f>
        <v>NA</v>
      </c>
    </row>
    <row r="338" spans="1:46">
      <c r="A338" s="5" t="s">
        <v>46</v>
      </c>
      <c r="B338" s="33" t="s">
        <v>249</v>
      </c>
      <c r="C338" s="7">
        <v>2</v>
      </c>
      <c r="D338" s="36">
        <v>14.2</v>
      </c>
      <c r="E338" s="8">
        <f>C338/14.2</f>
        <v>0.14084507042253522</v>
      </c>
      <c r="F338" s="9" t="s">
        <v>19</v>
      </c>
      <c r="G338" s="41">
        <v>10.029292929292929</v>
      </c>
      <c r="H338" s="41"/>
      <c r="I338" s="8">
        <f t="shared" si="26"/>
        <v>1.4125764689144971</v>
      </c>
      <c r="J338" s="24" t="s">
        <v>256</v>
      </c>
      <c r="K338" s="25" t="s">
        <v>257</v>
      </c>
      <c r="L338" t="s">
        <v>22</v>
      </c>
      <c r="M338" t="s">
        <v>47</v>
      </c>
      <c r="N338" s="11">
        <v>54</v>
      </c>
      <c r="O338" s="11">
        <v>11.14875</v>
      </c>
      <c r="P338" t="s">
        <v>48</v>
      </c>
      <c r="Q338" t="s">
        <v>49</v>
      </c>
      <c r="R338" t="s">
        <v>26</v>
      </c>
      <c r="S338" t="s">
        <v>31</v>
      </c>
      <c r="T338" t="str">
        <f>VLOOKUP(B338,'[1]Plant data'!$A$1:$AB$315,2,0)</f>
        <v>Melastomataceae</v>
      </c>
      <c r="U338" t="str">
        <f>VLOOKUP($B338,'[1]Plant data'!$A$1:$AB$315,3,0)</f>
        <v>NA</v>
      </c>
      <c r="V338" t="str">
        <f>VLOOKUP($B338,'[1]Plant data'!$A$1:$AB$315,4,0)</f>
        <v>black</v>
      </c>
      <c r="W338" t="str">
        <f>VLOOKUP($B338,'[1]Plant data'!$A$1:$AB$315,5,0)</f>
        <v>YES</v>
      </c>
      <c r="X338">
        <f>VLOOKUP($B338,'[1]Plant data'!$A$1:$AB$315,6,0)</f>
        <v>3.2</v>
      </c>
      <c r="Y338">
        <f>VLOOKUP($B338,'[1]Plant data'!$A$1:$AB$315,7,0)</f>
        <v>3.355</v>
      </c>
      <c r="Z338">
        <f>VLOOKUP($B338,'[1]Plant data'!$A$1:$AB$315,8,0)</f>
        <v>0.61</v>
      </c>
      <c r="AA338">
        <f>VLOOKUP($B338,'[1]Plant data'!$A$1:$AB$315,9,0)</f>
        <v>1.1499999999999999</v>
      </c>
      <c r="AB338">
        <f>VLOOKUP($B338,'[1]Plant data'!$A$1:$AB$315,10,0)</f>
        <v>5.4700000000000006E-2</v>
      </c>
      <c r="AC338" t="str">
        <f>VLOOKUP($B338,'[1]Plant data'!$A$1:$AB$315,11,0)</f>
        <v>NA</v>
      </c>
      <c r="AD338">
        <f>VLOOKUP($B338,'[1]Plant data'!$A$1:$AB$315,12,0)</f>
        <v>5.0449134199134207E-4</v>
      </c>
      <c r="AE338">
        <f>VLOOKUP($B338,'[1]Plant data'!$A$1:$AB$315,13,0)</f>
        <v>5.2777777777777778E-2</v>
      </c>
      <c r="AF338">
        <f>VLOOKUP($B338,'[1]Plant data'!$A$1:$AB$315,14,0)</f>
        <v>5.7777777777777784E-3</v>
      </c>
      <c r="AG338">
        <f>VLOOKUP($B338,'[1]Plant data'!$A$1:$AB$315,15,0)</f>
        <v>12.6</v>
      </c>
      <c r="AH338" t="str">
        <f>VLOOKUP($B338,'[1]Plant data'!$A$1:$AB$315,16,0)</f>
        <v>NA</v>
      </c>
      <c r="AI338">
        <f>VLOOKUP($B338,'[1]Plant data'!$A$1:$AB$315,17,0)</f>
        <v>9.1346153846153832</v>
      </c>
      <c r="AJ338" t="str">
        <f>VLOOKUP($B338,'[1]Plant data'!$A$1:$AB$315,18,0)</f>
        <v>ATLANTIC, Erica&amp;Wesley</v>
      </c>
      <c r="AK338" t="str">
        <f>VLOOKUP($B338,'[1]Plant data'!$A$1:$AB$315,19,0)</f>
        <v>NA</v>
      </c>
      <c r="AL338" t="str">
        <f>VLOOKUP($B338,'[1]Plant data'!$A$1:$AB$315,20,0)</f>
        <v>NA</v>
      </c>
      <c r="AM338" t="str">
        <f>VLOOKUP($B338,'[1]Plant data'!$A$1:$AB$315,21,0)</f>
        <v>NA</v>
      </c>
      <c r="AN338" t="str">
        <f>VLOOKUP($B338,'[1]Plant data'!$A$1:$AB$315,22,0)</f>
        <v>NA</v>
      </c>
      <c r="AO338" t="str">
        <f>VLOOKUP($B338,'[1]Plant data'!$A$1:$AB$315,23,0)</f>
        <v>NA</v>
      </c>
      <c r="AP338" t="str">
        <f>VLOOKUP($B338,'[1]Plant data'!$A$1:$AB$315,24,0)</f>
        <v>NA</v>
      </c>
      <c r="AQ338" t="str">
        <f>VLOOKUP($B338,'[1]Plant data'!$A$1:$AB$315,25,0)</f>
        <v>NA</v>
      </c>
      <c r="AR338" t="str">
        <f>VLOOKUP($B338,'[1]Plant data'!$A$1:$AB$315,26,0)</f>
        <v>NA</v>
      </c>
      <c r="AS338" t="str">
        <f>VLOOKUP($B338,'[1]Plant data'!$A$1:$AB$315,27,0)</f>
        <v>NA</v>
      </c>
      <c r="AT338" t="str">
        <f>VLOOKUP($B338,'[1]Plant data'!$A$1:$AB$315,28,0)</f>
        <v>NA</v>
      </c>
    </row>
    <row r="339" spans="1:46">
      <c r="A339" s="5" t="s">
        <v>50</v>
      </c>
      <c r="B339" s="32" t="s">
        <v>249</v>
      </c>
      <c r="C339" s="7">
        <v>1</v>
      </c>
      <c r="D339" s="36">
        <v>7.4</v>
      </c>
      <c r="E339" s="8">
        <f>C339/7.4</f>
        <v>0.13513513513513511</v>
      </c>
      <c r="F339" s="9" t="s">
        <v>19</v>
      </c>
      <c r="G339" s="41">
        <v>10.029292929292929</v>
      </c>
      <c r="H339" s="41"/>
      <c r="I339" s="8">
        <f t="shared" si="26"/>
        <v>1.355309855309855</v>
      </c>
      <c r="J339" s="24" t="s">
        <v>256</v>
      </c>
      <c r="K339" s="25" t="s">
        <v>247</v>
      </c>
      <c r="L339" t="s">
        <v>22</v>
      </c>
      <c r="M339" t="s">
        <v>47</v>
      </c>
      <c r="N339" s="11">
        <v>69.5</v>
      </c>
      <c r="O339" s="11">
        <v>13.253214290000001</v>
      </c>
      <c r="P339" t="s">
        <v>48</v>
      </c>
      <c r="Q339" t="s">
        <v>25</v>
      </c>
      <c r="R339" t="s">
        <v>26</v>
      </c>
      <c r="S339" t="s">
        <v>31</v>
      </c>
      <c r="T339" t="str">
        <f>VLOOKUP(B339,'[1]Plant data'!$A$1:$AB$315,2,0)</f>
        <v>Melastomataceae</v>
      </c>
      <c r="U339" t="str">
        <f>VLOOKUP($B339,'[1]Plant data'!$A$1:$AB$315,3,0)</f>
        <v>NA</v>
      </c>
      <c r="V339" t="str">
        <f>VLOOKUP($B339,'[1]Plant data'!$A$1:$AB$315,4,0)</f>
        <v>black</v>
      </c>
      <c r="W339" t="str">
        <f>VLOOKUP($B339,'[1]Plant data'!$A$1:$AB$315,5,0)</f>
        <v>YES</v>
      </c>
      <c r="X339">
        <f>VLOOKUP($B339,'[1]Plant data'!$A$1:$AB$315,6,0)</f>
        <v>3.2</v>
      </c>
      <c r="Y339">
        <f>VLOOKUP($B339,'[1]Plant data'!$A$1:$AB$315,7,0)</f>
        <v>3.355</v>
      </c>
      <c r="Z339">
        <f>VLOOKUP($B339,'[1]Plant data'!$A$1:$AB$315,8,0)</f>
        <v>0.61</v>
      </c>
      <c r="AA339">
        <f>VLOOKUP($B339,'[1]Plant data'!$A$1:$AB$315,9,0)</f>
        <v>1.1499999999999999</v>
      </c>
      <c r="AB339">
        <f>VLOOKUP($B339,'[1]Plant data'!$A$1:$AB$315,10,0)</f>
        <v>5.4700000000000006E-2</v>
      </c>
      <c r="AC339" t="str">
        <f>VLOOKUP($B339,'[1]Plant data'!$A$1:$AB$315,11,0)</f>
        <v>NA</v>
      </c>
      <c r="AD339">
        <f>VLOOKUP($B339,'[1]Plant data'!$A$1:$AB$315,12,0)</f>
        <v>5.0449134199134207E-4</v>
      </c>
      <c r="AE339">
        <f>VLOOKUP($B339,'[1]Plant data'!$A$1:$AB$315,13,0)</f>
        <v>5.2777777777777778E-2</v>
      </c>
      <c r="AF339">
        <f>VLOOKUP($B339,'[1]Plant data'!$A$1:$AB$315,14,0)</f>
        <v>5.7777777777777784E-3</v>
      </c>
      <c r="AG339">
        <f>VLOOKUP($B339,'[1]Plant data'!$A$1:$AB$315,15,0)</f>
        <v>12.6</v>
      </c>
      <c r="AH339" t="str">
        <f>VLOOKUP($B339,'[1]Plant data'!$A$1:$AB$315,16,0)</f>
        <v>NA</v>
      </c>
      <c r="AI339">
        <f>VLOOKUP($B339,'[1]Plant data'!$A$1:$AB$315,17,0)</f>
        <v>9.1346153846153832</v>
      </c>
      <c r="AJ339" t="str">
        <f>VLOOKUP($B339,'[1]Plant data'!$A$1:$AB$315,18,0)</f>
        <v>ATLANTIC, Erica&amp;Wesley</v>
      </c>
      <c r="AK339" t="str">
        <f>VLOOKUP($B339,'[1]Plant data'!$A$1:$AB$315,19,0)</f>
        <v>NA</v>
      </c>
      <c r="AL339" t="str">
        <f>VLOOKUP($B339,'[1]Plant data'!$A$1:$AB$315,20,0)</f>
        <v>NA</v>
      </c>
      <c r="AM339" t="str">
        <f>VLOOKUP($B339,'[1]Plant data'!$A$1:$AB$315,21,0)</f>
        <v>NA</v>
      </c>
      <c r="AN339" t="str">
        <f>VLOOKUP($B339,'[1]Plant data'!$A$1:$AB$315,22,0)</f>
        <v>NA</v>
      </c>
      <c r="AO339" t="str">
        <f>VLOOKUP($B339,'[1]Plant data'!$A$1:$AB$315,23,0)</f>
        <v>NA</v>
      </c>
      <c r="AP339" t="str">
        <f>VLOOKUP($B339,'[1]Plant data'!$A$1:$AB$315,24,0)</f>
        <v>NA</v>
      </c>
      <c r="AQ339" t="str">
        <f>VLOOKUP($B339,'[1]Plant data'!$A$1:$AB$315,25,0)</f>
        <v>NA</v>
      </c>
      <c r="AR339" t="str">
        <f>VLOOKUP($B339,'[1]Plant data'!$A$1:$AB$315,26,0)</f>
        <v>NA</v>
      </c>
      <c r="AS339" t="str">
        <f>VLOOKUP($B339,'[1]Plant data'!$A$1:$AB$315,27,0)</f>
        <v>NA</v>
      </c>
      <c r="AT339" t="str">
        <f>VLOOKUP($B339,'[1]Plant data'!$A$1:$AB$315,28,0)</f>
        <v>NA</v>
      </c>
    </row>
    <row r="340" spans="1:46">
      <c r="A340" s="5" t="s">
        <v>50</v>
      </c>
      <c r="B340" s="14" t="s">
        <v>249</v>
      </c>
      <c r="C340" s="7">
        <v>3</v>
      </c>
      <c r="D340" s="36">
        <v>14.2</v>
      </c>
      <c r="E340" s="8">
        <f>C340/14.2</f>
        <v>0.21126760563380284</v>
      </c>
      <c r="F340" s="9" t="s">
        <v>19</v>
      </c>
      <c r="G340" s="41">
        <v>10.029292929292929</v>
      </c>
      <c r="H340" s="41"/>
      <c r="I340" s="8">
        <f t="shared" si="26"/>
        <v>2.1188647033717456</v>
      </c>
      <c r="J340" s="24" t="s">
        <v>256</v>
      </c>
      <c r="K340" s="25" t="s">
        <v>257</v>
      </c>
      <c r="L340" t="s">
        <v>22</v>
      </c>
      <c r="M340" t="s">
        <v>47</v>
      </c>
      <c r="N340" s="11">
        <v>69.5</v>
      </c>
      <c r="O340" s="11">
        <v>13.253214290000001</v>
      </c>
      <c r="P340" t="s">
        <v>48</v>
      </c>
      <c r="Q340" t="s">
        <v>25</v>
      </c>
      <c r="R340" t="s">
        <v>26</v>
      </c>
      <c r="S340" t="s">
        <v>31</v>
      </c>
      <c r="T340" t="str">
        <f>VLOOKUP(B340,'[1]Plant data'!$A$1:$AB$315,2,0)</f>
        <v>Melastomataceae</v>
      </c>
      <c r="U340" t="str">
        <f>VLOOKUP($B340,'[1]Plant data'!$A$1:$AB$315,3,0)</f>
        <v>NA</v>
      </c>
      <c r="V340" t="str">
        <f>VLOOKUP($B340,'[1]Plant data'!$A$1:$AB$315,4,0)</f>
        <v>black</v>
      </c>
      <c r="W340" t="str">
        <f>VLOOKUP($B340,'[1]Plant data'!$A$1:$AB$315,5,0)</f>
        <v>YES</v>
      </c>
      <c r="X340">
        <f>VLOOKUP($B340,'[1]Plant data'!$A$1:$AB$315,6,0)</f>
        <v>3.2</v>
      </c>
      <c r="Y340">
        <f>VLOOKUP($B340,'[1]Plant data'!$A$1:$AB$315,7,0)</f>
        <v>3.355</v>
      </c>
      <c r="Z340">
        <f>VLOOKUP($B340,'[1]Plant data'!$A$1:$AB$315,8,0)</f>
        <v>0.61</v>
      </c>
      <c r="AA340">
        <f>VLOOKUP($B340,'[1]Plant data'!$A$1:$AB$315,9,0)</f>
        <v>1.1499999999999999</v>
      </c>
      <c r="AB340">
        <f>VLOOKUP($B340,'[1]Plant data'!$A$1:$AB$315,10,0)</f>
        <v>5.4700000000000006E-2</v>
      </c>
      <c r="AC340" t="str">
        <f>VLOOKUP($B340,'[1]Plant data'!$A$1:$AB$315,11,0)</f>
        <v>NA</v>
      </c>
      <c r="AD340">
        <f>VLOOKUP($B340,'[1]Plant data'!$A$1:$AB$315,12,0)</f>
        <v>5.0449134199134207E-4</v>
      </c>
      <c r="AE340">
        <f>VLOOKUP($B340,'[1]Plant data'!$A$1:$AB$315,13,0)</f>
        <v>5.2777777777777778E-2</v>
      </c>
      <c r="AF340">
        <f>VLOOKUP($B340,'[1]Plant data'!$A$1:$AB$315,14,0)</f>
        <v>5.7777777777777784E-3</v>
      </c>
      <c r="AG340">
        <f>VLOOKUP($B340,'[1]Plant data'!$A$1:$AB$315,15,0)</f>
        <v>12.6</v>
      </c>
      <c r="AH340" t="str">
        <f>VLOOKUP($B340,'[1]Plant data'!$A$1:$AB$315,16,0)</f>
        <v>NA</v>
      </c>
      <c r="AI340">
        <f>VLOOKUP($B340,'[1]Plant data'!$A$1:$AB$315,17,0)</f>
        <v>9.1346153846153832</v>
      </c>
      <c r="AJ340" t="str">
        <f>VLOOKUP($B340,'[1]Plant data'!$A$1:$AB$315,18,0)</f>
        <v>ATLANTIC, Erica&amp;Wesley</v>
      </c>
      <c r="AK340" t="str">
        <f>VLOOKUP($B340,'[1]Plant data'!$A$1:$AB$315,19,0)</f>
        <v>NA</v>
      </c>
      <c r="AL340" t="str">
        <f>VLOOKUP($B340,'[1]Plant data'!$A$1:$AB$315,20,0)</f>
        <v>NA</v>
      </c>
      <c r="AM340" t="str">
        <f>VLOOKUP($B340,'[1]Plant data'!$A$1:$AB$315,21,0)</f>
        <v>NA</v>
      </c>
      <c r="AN340" t="str">
        <f>VLOOKUP($B340,'[1]Plant data'!$A$1:$AB$315,22,0)</f>
        <v>NA</v>
      </c>
      <c r="AO340" t="str">
        <f>VLOOKUP($B340,'[1]Plant data'!$A$1:$AB$315,23,0)</f>
        <v>NA</v>
      </c>
      <c r="AP340" t="str">
        <f>VLOOKUP($B340,'[1]Plant data'!$A$1:$AB$315,24,0)</f>
        <v>NA</v>
      </c>
      <c r="AQ340" t="str">
        <f>VLOOKUP($B340,'[1]Plant data'!$A$1:$AB$315,25,0)</f>
        <v>NA</v>
      </c>
      <c r="AR340" t="str">
        <f>VLOOKUP($B340,'[1]Plant data'!$A$1:$AB$315,26,0)</f>
        <v>NA</v>
      </c>
      <c r="AS340" t="str">
        <f>VLOOKUP($B340,'[1]Plant data'!$A$1:$AB$315,27,0)</f>
        <v>NA</v>
      </c>
      <c r="AT340" t="str">
        <f>VLOOKUP($B340,'[1]Plant data'!$A$1:$AB$315,28,0)</f>
        <v>NA</v>
      </c>
    </row>
    <row r="341" spans="1:46">
      <c r="A341" s="5" t="s">
        <v>46</v>
      </c>
      <c r="B341" s="6" t="s">
        <v>250</v>
      </c>
      <c r="C341">
        <v>5</v>
      </c>
      <c r="D341" s="36">
        <v>85.3</v>
      </c>
      <c r="E341" s="8">
        <f>C341/85.3</f>
        <v>5.8616647127784291E-2</v>
      </c>
      <c r="F341" s="9" t="s">
        <v>19</v>
      </c>
      <c r="G341" s="41">
        <v>10.029292929292929</v>
      </c>
      <c r="H341" s="41"/>
      <c r="I341" s="8">
        <f t="shared" si="26"/>
        <v>0.58788352457754567</v>
      </c>
      <c r="J341" s="24" t="s">
        <v>246</v>
      </c>
      <c r="K341" s="25" t="s">
        <v>247</v>
      </c>
      <c r="L341" t="s">
        <v>22</v>
      </c>
      <c r="M341" t="s">
        <v>47</v>
      </c>
      <c r="N341" s="11">
        <v>54</v>
      </c>
      <c r="O341" s="11">
        <v>11.14875</v>
      </c>
      <c r="P341" t="s">
        <v>48</v>
      </c>
      <c r="Q341" t="s">
        <v>49</v>
      </c>
      <c r="R341" t="s">
        <v>26</v>
      </c>
      <c r="S341" t="s">
        <v>31</v>
      </c>
      <c r="T341" t="str">
        <f>VLOOKUP(B341,'[1]Plant data'!$A$1:$AB$315,2,0)</f>
        <v>Melastomataceae</v>
      </c>
      <c r="U341" t="str">
        <f>VLOOKUP($B341,'[1]Plant data'!$A$1:$AB$315,3,0)</f>
        <v>NA</v>
      </c>
      <c r="V341" t="str">
        <f>VLOOKUP($B341,'[1]Plant data'!$A$1:$AB$315,4,0)</f>
        <v>black</v>
      </c>
      <c r="W341" t="str">
        <f>VLOOKUP($B341,'[1]Plant data'!$A$1:$AB$315,5,0)</f>
        <v>YES</v>
      </c>
      <c r="X341">
        <f>VLOOKUP($B341,'[1]Plant data'!$A$1:$AB$315,6,0)</f>
        <v>3.4749999999999996</v>
      </c>
      <c r="Y341">
        <f>VLOOKUP($B341,'[1]Plant data'!$A$1:$AB$315,7,0)</f>
        <v>3.8</v>
      </c>
      <c r="Z341">
        <f>VLOOKUP($B341,'[1]Plant data'!$A$1:$AB$315,8,0)</f>
        <v>1.28</v>
      </c>
      <c r="AA341">
        <f>VLOOKUP($B341,'[1]Plant data'!$A$1:$AB$315,9,0)</f>
        <v>2.11</v>
      </c>
      <c r="AB341">
        <f>VLOOKUP($B341,'[1]Plant data'!$A$1:$AB$315,10,0)</f>
        <v>0.11349999999999998</v>
      </c>
      <c r="AC341" t="str">
        <f>VLOOKUP($B341,'[1]Plant data'!$A$1:$AB$315,11,0)</f>
        <v>NA</v>
      </c>
      <c r="AD341" t="str">
        <f>VLOOKUP($B341,'[1]Plant data'!$A$1:$AB$315,12,0)</f>
        <v>NA</v>
      </c>
      <c r="AE341">
        <f>VLOOKUP($B341,'[1]Plant data'!$A$1:$AB$315,13,0)</f>
        <v>0.10700000000000001</v>
      </c>
      <c r="AF341" t="str">
        <f>VLOOKUP($B341,'[1]Plant data'!$A$1:$AB$315,14,0)</f>
        <v>NA</v>
      </c>
      <c r="AG341">
        <f>VLOOKUP($B341,'[1]Plant data'!$A$1:$AB$315,15,0)</f>
        <v>6.5</v>
      </c>
      <c r="AH341" t="str">
        <f>VLOOKUP($B341,'[1]Plant data'!$A$1:$AB$315,16,0)</f>
        <v>NA</v>
      </c>
      <c r="AI341">
        <f>VLOOKUP($B341,'[1]Plant data'!$A$1:$AB$315,17,0)</f>
        <v>16.461538461538463</v>
      </c>
      <c r="AJ341" t="str">
        <f>VLOOKUP($B341,'[1]Plant data'!$A$1:$AB$315,18,0)</f>
        <v>ATLANTIC, Erica&amp;Wesley</v>
      </c>
      <c r="AK341" t="str">
        <f>VLOOKUP($B341,'[1]Plant data'!$A$1:$AB$315,19,0)</f>
        <v>NA</v>
      </c>
      <c r="AL341" t="str">
        <f>VLOOKUP($B341,'[1]Plant data'!$A$1:$AB$315,20,0)</f>
        <v>NA</v>
      </c>
      <c r="AM341" t="str">
        <f>VLOOKUP($B341,'[1]Plant data'!$A$1:$AB$315,21,0)</f>
        <v>NA</v>
      </c>
      <c r="AN341" t="str">
        <f>VLOOKUP($B341,'[1]Plant data'!$A$1:$AB$315,22,0)</f>
        <v>NA</v>
      </c>
      <c r="AO341" t="str">
        <f>VLOOKUP($B341,'[1]Plant data'!$A$1:$AB$315,23,0)</f>
        <v>NA</v>
      </c>
      <c r="AP341" t="str">
        <f>VLOOKUP($B341,'[1]Plant data'!$A$1:$AB$315,24,0)</f>
        <v>NA</v>
      </c>
      <c r="AQ341" t="str">
        <f>VLOOKUP($B341,'[1]Plant data'!$A$1:$AB$315,25,0)</f>
        <v>NA</v>
      </c>
      <c r="AR341" t="str">
        <f>VLOOKUP($B341,'[1]Plant data'!$A$1:$AB$315,26,0)</f>
        <v>NA</v>
      </c>
      <c r="AS341" t="str">
        <f>VLOOKUP($B341,'[1]Plant data'!$A$1:$AB$315,27,0)</f>
        <v>NA</v>
      </c>
      <c r="AT341" t="str">
        <f>VLOOKUP($B341,'[1]Plant data'!$A$1:$AB$315,28,0)</f>
        <v>NA</v>
      </c>
    </row>
    <row r="342" spans="1:46">
      <c r="A342" s="5" t="s">
        <v>50</v>
      </c>
      <c r="B342" s="14" t="s">
        <v>250</v>
      </c>
      <c r="C342">
        <v>4</v>
      </c>
      <c r="D342" s="16">
        <v>85.3</v>
      </c>
      <c r="E342" s="8">
        <f>C342/85.3</f>
        <v>4.6893317702227433E-2</v>
      </c>
      <c r="F342" s="9" t="s">
        <v>19</v>
      </c>
      <c r="G342" s="41">
        <v>10.029292929292929</v>
      </c>
      <c r="H342" s="41"/>
      <c r="I342" s="8">
        <f t="shared" si="26"/>
        <v>0.47030681966203652</v>
      </c>
      <c r="J342" s="24" t="s">
        <v>246</v>
      </c>
      <c r="K342" s="25" t="s">
        <v>247</v>
      </c>
      <c r="L342" t="s">
        <v>22</v>
      </c>
      <c r="M342" t="s">
        <v>47</v>
      </c>
      <c r="N342" s="11">
        <v>69.5</v>
      </c>
      <c r="O342" s="11">
        <v>13.253214290000001</v>
      </c>
      <c r="P342" t="s">
        <v>48</v>
      </c>
      <c r="Q342" t="s">
        <v>25</v>
      </c>
      <c r="R342" t="s">
        <v>26</v>
      </c>
      <c r="S342" t="s">
        <v>31</v>
      </c>
      <c r="T342" t="str">
        <f>VLOOKUP(B342,'[1]Plant data'!$A$1:$AB$315,2,0)</f>
        <v>Melastomataceae</v>
      </c>
      <c r="U342" t="str">
        <f>VLOOKUP($B342,'[1]Plant data'!$A$1:$AB$315,3,0)</f>
        <v>NA</v>
      </c>
      <c r="V342" t="str">
        <f>VLOOKUP($B342,'[1]Plant data'!$A$1:$AB$315,4,0)</f>
        <v>black</v>
      </c>
      <c r="W342" t="str">
        <f>VLOOKUP($B342,'[1]Plant data'!$A$1:$AB$315,5,0)</f>
        <v>YES</v>
      </c>
      <c r="X342">
        <f>VLOOKUP($B342,'[1]Plant data'!$A$1:$AB$315,6,0)</f>
        <v>3.4749999999999996</v>
      </c>
      <c r="Y342">
        <f>VLOOKUP($B342,'[1]Plant data'!$A$1:$AB$315,7,0)</f>
        <v>3.8</v>
      </c>
      <c r="Z342">
        <f>VLOOKUP($B342,'[1]Plant data'!$A$1:$AB$315,8,0)</f>
        <v>1.28</v>
      </c>
      <c r="AA342">
        <f>VLOOKUP($B342,'[1]Plant data'!$A$1:$AB$315,9,0)</f>
        <v>2.11</v>
      </c>
      <c r="AB342">
        <f>VLOOKUP($B342,'[1]Plant data'!$A$1:$AB$315,10,0)</f>
        <v>0.11349999999999998</v>
      </c>
      <c r="AC342" t="str">
        <f>VLOOKUP($B342,'[1]Plant data'!$A$1:$AB$315,11,0)</f>
        <v>NA</v>
      </c>
      <c r="AD342" t="str">
        <f>VLOOKUP($B342,'[1]Plant data'!$A$1:$AB$315,12,0)</f>
        <v>NA</v>
      </c>
      <c r="AE342">
        <f>VLOOKUP($B342,'[1]Plant data'!$A$1:$AB$315,13,0)</f>
        <v>0.10700000000000001</v>
      </c>
      <c r="AF342" t="str">
        <f>VLOOKUP($B342,'[1]Plant data'!$A$1:$AB$315,14,0)</f>
        <v>NA</v>
      </c>
      <c r="AG342">
        <f>VLOOKUP($B342,'[1]Plant data'!$A$1:$AB$315,15,0)</f>
        <v>6.5</v>
      </c>
      <c r="AH342" t="str">
        <f>VLOOKUP($B342,'[1]Plant data'!$A$1:$AB$315,16,0)</f>
        <v>NA</v>
      </c>
      <c r="AI342">
        <f>VLOOKUP($B342,'[1]Plant data'!$A$1:$AB$315,17,0)</f>
        <v>16.461538461538463</v>
      </c>
      <c r="AJ342" t="str">
        <f>VLOOKUP($B342,'[1]Plant data'!$A$1:$AB$315,18,0)</f>
        <v>ATLANTIC, Erica&amp;Wesley</v>
      </c>
      <c r="AK342" t="str">
        <f>VLOOKUP($B342,'[1]Plant data'!$A$1:$AB$315,19,0)</f>
        <v>NA</v>
      </c>
      <c r="AL342" t="str">
        <f>VLOOKUP($B342,'[1]Plant data'!$A$1:$AB$315,20,0)</f>
        <v>NA</v>
      </c>
      <c r="AM342" t="str">
        <f>VLOOKUP($B342,'[1]Plant data'!$A$1:$AB$315,21,0)</f>
        <v>NA</v>
      </c>
      <c r="AN342" t="str">
        <f>VLOOKUP($B342,'[1]Plant data'!$A$1:$AB$315,22,0)</f>
        <v>NA</v>
      </c>
      <c r="AO342" t="str">
        <f>VLOOKUP($B342,'[1]Plant data'!$A$1:$AB$315,23,0)</f>
        <v>NA</v>
      </c>
      <c r="AP342" t="str">
        <f>VLOOKUP($B342,'[1]Plant data'!$A$1:$AB$315,24,0)</f>
        <v>NA</v>
      </c>
      <c r="AQ342" t="str">
        <f>VLOOKUP($B342,'[1]Plant data'!$A$1:$AB$315,25,0)</f>
        <v>NA</v>
      </c>
      <c r="AR342" t="str">
        <f>VLOOKUP($B342,'[1]Plant data'!$A$1:$AB$315,26,0)</f>
        <v>NA</v>
      </c>
      <c r="AS342" t="str">
        <f>VLOOKUP($B342,'[1]Plant data'!$A$1:$AB$315,27,0)</f>
        <v>NA</v>
      </c>
      <c r="AT342" t="str">
        <f>VLOOKUP($B342,'[1]Plant data'!$A$1:$AB$315,28,0)</f>
        <v>NA</v>
      </c>
    </row>
    <row r="343" spans="1:46">
      <c r="A343" s="5" t="s">
        <v>28</v>
      </c>
      <c r="B343" s="32" t="s">
        <v>214</v>
      </c>
      <c r="C343">
        <v>12</v>
      </c>
      <c r="D343" s="7">
        <v>13.3</v>
      </c>
      <c r="E343" s="8">
        <f>C343/D343</f>
        <v>0.90225563909774431</v>
      </c>
      <c r="F343" s="27" t="s">
        <v>19</v>
      </c>
      <c r="G343" s="41">
        <v>8.3333333333333339</v>
      </c>
      <c r="H343" s="41"/>
      <c r="I343" s="8">
        <f t="shared" si="26"/>
        <v>7.518796992481203</v>
      </c>
      <c r="J343" s="10" t="s">
        <v>215</v>
      </c>
      <c r="K343" t="s">
        <v>147</v>
      </c>
      <c r="L343" t="s">
        <v>22</v>
      </c>
      <c r="M343" t="s">
        <v>30</v>
      </c>
      <c r="N343" s="11">
        <v>18</v>
      </c>
      <c r="O343" s="11">
        <v>7.4188405800000004</v>
      </c>
      <c r="P343" t="s">
        <v>24</v>
      </c>
      <c r="Q343" s="13" t="s">
        <v>25</v>
      </c>
      <c r="R343" s="13" t="s">
        <v>26</v>
      </c>
      <c r="S343" s="13" t="s">
        <v>31</v>
      </c>
      <c r="T343" t="str">
        <f>VLOOKUP(B343,'[1]Plant data'!$A$1:$AB$315,2,0)</f>
        <v>Melastomataceae</v>
      </c>
      <c r="U343" t="str">
        <f>VLOOKUP($B343,'[1]Plant data'!$A$1:$AB$315,3,0)</f>
        <v>NA</v>
      </c>
      <c r="V343" t="str">
        <f>VLOOKUP($B343,'[1]Plant data'!$A$1:$AB$315,4,0)</f>
        <v>black</v>
      </c>
      <c r="W343" t="str">
        <f>VLOOKUP($B343,'[1]Plant data'!$A$1:$AB$315,5,0)</f>
        <v>YES</v>
      </c>
      <c r="X343" t="str">
        <f>VLOOKUP($B343,'[1]Plant data'!$A$1:$AB$315,6,0)</f>
        <v>NA</v>
      </c>
      <c r="Y343" t="str">
        <f>VLOOKUP($B343,'[1]Plant data'!$A$1:$AB$315,7,0)</f>
        <v>NA</v>
      </c>
      <c r="Z343" t="str">
        <f>VLOOKUP($B343,'[1]Plant data'!$A$1:$AB$315,8,0)</f>
        <v>NA</v>
      </c>
      <c r="AA343" t="str">
        <f>VLOOKUP($B343,'[1]Plant data'!$A$1:$AB$315,9,0)</f>
        <v>NA</v>
      </c>
      <c r="AB343" t="str">
        <f>VLOOKUP($B343,'[1]Plant data'!$A$1:$AB$315,10,0)</f>
        <v>NA</v>
      </c>
      <c r="AC343" t="str">
        <f>VLOOKUP($B343,'[1]Plant data'!$A$1:$AB$315,11,0)</f>
        <v>NA</v>
      </c>
      <c r="AD343" t="str">
        <f>VLOOKUP($B343,'[1]Plant data'!$A$1:$AB$315,12,0)</f>
        <v>NA</v>
      </c>
      <c r="AE343" t="str">
        <f>VLOOKUP($B343,'[1]Plant data'!$A$1:$AB$315,13,0)</f>
        <v>NA</v>
      </c>
      <c r="AF343" t="str">
        <f>VLOOKUP($B343,'[1]Plant data'!$A$1:$AB$315,14,0)</f>
        <v>NA</v>
      </c>
      <c r="AG343" t="str">
        <f>VLOOKUP($B343,'[1]Plant data'!$A$1:$AB$315,15,0)</f>
        <v>NA</v>
      </c>
      <c r="AH343" t="str">
        <f>VLOOKUP($B343,'[1]Plant data'!$A$1:$AB$315,16,0)</f>
        <v>NA</v>
      </c>
      <c r="AI343" t="str">
        <f>VLOOKUP($B343,'[1]Plant data'!$A$1:$AB$315,17,0)</f>
        <v>NA</v>
      </c>
      <c r="AJ343" t="str">
        <f>VLOOKUP($B343,'[1]Plant data'!$A$1:$AB$315,18,0)</f>
        <v>NA</v>
      </c>
      <c r="AK343" t="str">
        <f>VLOOKUP($B343,'[1]Plant data'!$A$1:$AB$315,19,0)</f>
        <v>NA</v>
      </c>
      <c r="AL343" t="str">
        <f>VLOOKUP($B343,'[1]Plant data'!$A$1:$AB$315,20,0)</f>
        <v>NA</v>
      </c>
      <c r="AM343" t="str">
        <f>VLOOKUP($B343,'[1]Plant data'!$A$1:$AB$315,21,0)</f>
        <v>NA</v>
      </c>
      <c r="AN343" t="str">
        <f>VLOOKUP($B343,'[1]Plant data'!$A$1:$AB$315,22,0)</f>
        <v>NA</v>
      </c>
      <c r="AO343" t="str">
        <f>VLOOKUP($B343,'[1]Plant data'!$A$1:$AB$315,23,0)</f>
        <v>NA</v>
      </c>
      <c r="AP343" t="str">
        <f>VLOOKUP($B343,'[1]Plant data'!$A$1:$AB$315,24,0)</f>
        <v>NA</v>
      </c>
      <c r="AQ343" t="str">
        <f>VLOOKUP($B343,'[1]Plant data'!$A$1:$AB$315,25,0)</f>
        <v>NA</v>
      </c>
      <c r="AR343" t="str">
        <f>VLOOKUP($B343,'[1]Plant data'!$A$1:$AB$315,26,0)</f>
        <v>NA</v>
      </c>
      <c r="AS343" t="str">
        <f>VLOOKUP($B343,'[1]Plant data'!$A$1:$AB$315,27,0)</f>
        <v>NA</v>
      </c>
      <c r="AT343" t="str">
        <f>VLOOKUP($B343,'[1]Plant data'!$A$1:$AB$315,28,0)</f>
        <v>NA</v>
      </c>
    </row>
    <row r="344" spans="1:46">
      <c r="A344" s="5" t="s">
        <v>43</v>
      </c>
      <c r="B344" s="32" t="s">
        <v>214</v>
      </c>
      <c r="C344">
        <v>22</v>
      </c>
      <c r="D344" s="7">
        <v>13.3</v>
      </c>
      <c r="E344" s="8">
        <f>C344/13.3</f>
        <v>1.6541353383458646</v>
      </c>
      <c r="F344" s="27" t="s">
        <v>19</v>
      </c>
      <c r="G344" s="41">
        <v>2.1</v>
      </c>
      <c r="H344" s="41"/>
      <c r="I344" s="8">
        <f t="shared" si="26"/>
        <v>3.4736842105263159</v>
      </c>
      <c r="J344" t="s">
        <v>215</v>
      </c>
      <c r="K344" t="s">
        <v>147</v>
      </c>
      <c r="L344" t="s">
        <v>22</v>
      </c>
      <c r="M344" t="s">
        <v>30</v>
      </c>
      <c r="N344" s="11">
        <v>32.5</v>
      </c>
      <c r="O344" s="11">
        <v>8.9205555560000001</v>
      </c>
      <c r="P344" t="s">
        <v>24</v>
      </c>
      <c r="Q344" t="s">
        <v>25</v>
      </c>
      <c r="R344" t="s">
        <v>26</v>
      </c>
      <c r="S344" t="s">
        <v>31</v>
      </c>
      <c r="T344" t="str">
        <f>VLOOKUP(B344,'[1]Plant data'!$A$1:$AB$315,2,0)</f>
        <v>Melastomataceae</v>
      </c>
      <c r="U344" t="str">
        <f>VLOOKUP($B344,'[1]Plant data'!$A$1:$AB$315,3,0)</f>
        <v>NA</v>
      </c>
      <c r="V344" t="str">
        <f>VLOOKUP($B344,'[1]Plant data'!$A$1:$AB$315,4,0)</f>
        <v>black</v>
      </c>
      <c r="W344" t="str">
        <f>VLOOKUP($B344,'[1]Plant data'!$A$1:$AB$315,5,0)</f>
        <v>YES</v>
      </c>
      <c r="X344" t="str">
        <f>VLOOKUP($B344,'[1]Plant data'!$A$1:$AB$315,6,0)</f>
        <v>NA</v>
      </c>
      <c r="Y344" t="str">
        <f>VLOOKUP($B344,'[1]Plant data'!$A$1:$AB$315,7,0)</f>
        <v>NA</v>
      </c>
      <c r="Z344" t="str">
        <f>VLOOKUP($B344,'[1]Plant data'!$A$1:$AB$315,8,0)</f>
        <v>NA</v>
      </c>
      <c r="AA344" t="str">
        <f>VLOOKUP($B344,'[1]Plant data'!$A$1:$AB$315,9,0)</f>
        <v>NA</v>
      </c>
      <c r="AB344" t="str">
        <f>VLOOKUP($B344,'[1]Plant data'!$A$1:$AB$315,10,0)</f>
        <v>NA</v>
      </c>
      <c r="AC344" t="str">
        <f>VLOOKUP($B344,'[1]Plant data'!$A$1:$AB$315,11,0)</f>
        <v>NA</v>
      </c>
      <c r="AD344" t="str">
        <f>VLOOKUP($B344,'[1]Plant data'!$A$1:$AB$315,12,0)</f>
        <v>NA</v>
      </c>
      <c r="AE344" t="str">
        <f>VLOOKUP($B344,'[1]Plant data'!$A$1:$AB$315,13,0)</f>
        <v>NA</v>
      </c>
      <c r="AF344" t="str">
        <f>VLOOKUP($B344,'[1]Plant data'!$A$1:$AB$315,14,0)</f>
        <v>NA</v>
      </c>
      <c r="AG344" t="str">
        <f>VLOOKUP($B344,'[1]Plant data'!$A$1:$AB$315,15,0)</f>
        <v>NA</v>
      </c>
      <c r="AH344" t="str">
        <f>VLOOKUP($B344,'[1]Plant data'!$A$1:$AB$315,16,0)</f>
        <v>NA</v>
      </c>
      <c r="AI344" t="str">
        <f>VLOOKUP($B344,'[1]Plant data'!$A$1:$AB$315,17,0)</f>
        <v>NA</v>
      </c>
      <c r="AJ344" t="str">
        <f>VLOOKUP($B344,'[1]Plant data'!$A$1:$AB$315,18,0)</f>
        <v>NA</v>
      </c>
      <c r="AK344" t="str">
        <f>VLOOKUP($B344,'[1]Plant data'!$A$1:$AB$315,19,0)</f>
        <v>NA</v>
      </c>
      <c r="AL344" t="str">
        <f>VLOOKUP($B344,'[1]Plant data'!$A$1:$AB$315,20,0)</f>
        <v>NA</v>
      </c>
      <c r="AM344" t="str">
        <f>VLOOKUP($B344,'[1]Plant data'!$A$1:$AB$315,21,0)</f>
        <v>NA</v>
      </c>
      <c r="AN344" t="str">
        <f>VLOOKUP($B344,'[1]Plant data'!$A$1:$AB$315,22,0)</f>
        <v>NA</v>
      </c>
      <c r="AO344" t="str">
        <f>VLOOKUP($B344,'[1]Plant data'!$A$1:$AB$315,23,0)</f>
        <v>NA</v>
      </c>
      <c r="AP344" t="str">
        <f>VLOOKUP($B344,'[1]Plant data'!$A$1:$AB$315,24,0)</f>
        <v>NA</v>
      </c>
      <c r="AQ344" t="str">
        <f>VLOOKUP($B344,'[1]Plant data'!$A$1:$AB$315,25,0)</f>
        <v>NA</v>
      </c>
      <c r="AR344" t="str">
        <f>VLOOKUP($B344,'[1]Plant data'!$A$1:$AB$315,26,0)</f>
        <v>NA</v>
      </c>
      <c r="AS344" t="str">
        <f>VLOOKUP($B344,'[1]Plant data'!$A$1:$AB$315,27,0)</f>
        <v>NA</v>
      </c>
      <c r="AT344" t="str">
        <f>VLOOKUP($B344,'[1]Plant data'!$A$1:$AB$315,28,0)</f>
        <v>NA</v>
      </c>
    </row>
    <row r="345" spans="1:46">
      <c r="A345" s="5" t="s">
        <v>50</v>
      </c>
      <c r="B345" s="32" t="s">
        <v>214</v>
      </c>
      <c r="C345">
        <v>3</v>
      </c>
      <c r="D345" s="7">
        <v>13.3</v>
      </c>
      <c r="E345" s="8">
        <f>C345/13.3</f>
        <v>0.22556390977443608</v>
      </c>
      <c r="F345" s="27" t="s">
        <v>19</v>
      </c>
      <c r="G345" s="41">
        <v>10.029292929292929</v>
      </c>
      <c r="H345" s="41"/>
      <c r="I345" s="8">
        <f t="shared" si="26"/>
        <v>2.2622465254044197</v>
      </c>
      <c r="J345" t="s">
        <v>215</v>
      </c>
      <c r="K345" t="s">
        <v>147</v>
      </c>
      <c r="L345" t="s">
        <v>22</v>
      </c>
      <c r="M345" t="s">
        <v>47</v>
      </c>
      <c r="N345" s="11">
        <v>69.5</v>
      </c>
      <c r="O345" s="11">
        <v>13.253214290000001</v>
      </c>
      <c r="P345" t="s">
        <v>48</v>
      </c>
      <c r="Q345" t="s">
        <v>25</v>
      </c>
      <c r="R345" t="s">
        <v>26</v>
      </c>
      <c r="S345" t="s">
        <v>31</v>
      </c>
      <c r="T345" t="str">
        <f>VLOOKUP(B345,'[1]Plant data'!$A$1:$AB$315,2,0)</f>
        <v>Melastomataceae</v>
      </c>
      <c r="U345" t="str">
        <f>VLOOKUP($B345,'[1]Plant data'!$A$1:$AB$315,3,0)</f>
        <v>NA</v>
      </c>
      <c r="V345" t="str">
        <f>VLOOKUP($B345,'[1]Plant data'!$A$1:$AB$315,4,0)</f>
        <v>black</v>
      </c>
      <c r="W345" t="str">
        <f>VLOOKUP($B345,'[1]Plant data'!$A$1:$AB$315,5,0)</f>
        <v>YES</v>
      </c>
      <c r="X345" t="str">
        <f>VLOOKUP($B345,'[1]Plant data'!$A$1:$AB$315,6,0)</f>
        <v>NA</v>
      </c>
      <c r="Y345" t="str">
        <f>VLOOKUP($B345,'[1]Plant data'!$A$1:$AB$315,7,0)</f>
        <v>NA</v>
      </c>
      <c r="Z345" t="str">
        <f>VLOOKUP($B345,'[1]Plant data'!$A$1:$AB$315,8,0)</f>
        <v>NA</v>
      </c>
      <c r="AA345" t="str">
        <f>VLOOKUP($B345,'[1]Plant data'!$A$1:$AB$315,9,0)</f>
        <v>NA</v>
      </c>
      <c r="AB345" t="str">
        <f>VLOOKUP($B345,'[1]Plant data'!$A$1:$AB$315,10,0)</f>
        <v>NA</v>
      </c>
      <c r="AC345" t="str">
        <f>VLOOKUP($B345,'[1]Plant data'!$A$1:$AB$315,11,0)</f>
        <v>NA</v>
      </c>
      <c r="AD345" t="str">
        <f>VLOOKUP($B345,'[1]Plant data'!$A$1:$AB$315,12,0)</f>
        <v>NA</v>
      </c>
      <c r="AE345" t="str">
        <f>VLOOKUP($B345,'[1]Plant data'!$A$1:$AB$315,13,0)</f>
        <v>NA</v>
      </c>
      <c r="AF345" t="str">
        <f>VLOOKUP($B345,'[1]Plant data'!$A$1:$AB$315,14,0)</f>
        <v>NA</v>
      </c>
      <c r="AG345" t="str">
        <f>VLOOKUP($B345,'[1]Plant data'!$A$1:$AB$315,15,0)</f>
        <v>NA</v>
      </c>
      <c r="AH345" t="str">
        <f>VLOOKUP($B345,'[1]Plant data'!$A$1:$AB$315,16,0)</f>
        <v>NA</v>
      </c>
      <c r="AI345" t="str">
        <f>VLOOKUP($B345,'[1]Plant data'!$A$1:$AB$315,17,0)</f>
        <v>NA</v>
      </c>
      <c r="AJ345" t="str">
        <f>VLOOKUP($B345,'[1]Plant data'!$A$1:$AB$315,18,0)</f>
        <v>NA</v>
      </c>
      <c r="AK345" t="str">
        <f>VLOOKUP($B345,'[1]Plant data'!$A$1:$AB$315,19,0)</f>
        <v>NA</v>
      </c>
      <c r="AL345" t="str">
        <f>VLOOKUP($B345,'[1]Plant data'!$A$1:$AB$315,20,0)</f>
        <v>NA</v>
      </c>
      <c r="AM345" t="str">
        <f>VLOOKUP($B345,'[1]Plant data'!$A$1:$AB$315,21,0)</f>
        <v>NA</v>
      </c>
      <c r="AN345" t="str">
        <f>VLOOKUP($B345,'[1]Plant data'!$A$1:$AB$315,22,0)</f>
        <v>NA</v>
      </c>
      <c r="AO345" t="str">
        <f>VLOOKUP($B345,'[1]Plant data'!$A$1:$AB$315,23,0)</f>
        <v>NA</v>
      </c>
      <c r="AP345" t="str">
        <f>VLOOKUP($B345,'[1]Plant data'!$A$1:$AB$315,24,0)</f>
        <v>NA</v>
      </c>
      <c r="AQ345" t="str">
        <f>VLOOKUP($B345,'[1]Plant data'!$A$1:$AB$315,25,0)</f>
        <v>NA</v>
      </c>
      <c r="AR345" t="str">
        <f>VLOOKUP($B345,'[1]Plant data'!$A$1:$AB$315,26,0)</f>
        <v>NA</v>
      </c>
      <c r="AS345" t="str">
        <f>VLOOKUP($B345,'[1]Plant data'!$A$1:$AB$315,27,0)</f>
        <v>NA</v>
      </c>
      <c r="AT345" t="str">
        <f>VLOOKUP($B345,'[1]Plant data'!$A$1:$AB$315,28,0)</f>
        <v>NA</v>
      </c>
    </row>
    <row r="346" spans="1:46">
      <c r="A346" s="5" t="s">
        <v>50</v>
      </c>
      <c r="B346" s="32" t="s">
        <v>239</v>
      </c>
      <c r="C346">
        <v>1</v>
      </c>
      <c r="D346" s="16">
        <v>12</v>
      </c>
      <c r="E346" s="8">
        <f>C346/12</f>
        <v>8.3333333333333329E-2</v>
      </c>
      <c r="F346">
        <v>1</v>
      </c>
      <c r="G346" s="9">
        <f>F346/C346</f>
        <v>1</v>
      </c>
      <c r="H346" s="9"/>
      <c r="I346" s="8">
        <f t="shared" si="26"/>
        <v>8.3333333333333329E-2</v>
      </c>
      <c r="J346" s="25" t="s">
        <v>236</v>
      </c>
      <c r="K346" s="25" t="s">
        <v>237</v>
      </c>
      <c r="L346" t="s">
        <v>22</v>
      </c>
      <c r="M346" t="s">
        <v>47</v>
      </c>
      <c r="N346" s="11">
        <v>69.5</v>
      </c>
      <c r="O346" s="11">
        <v>13.253214290000001</v>
      </c>
      <c r="P346" t="s">
        <v>48</v>
      </c>
      <c r="Q346" t="s">
        <v>25</v>
      </c>
      <c r="R346" t="s">
        <v>26</v>
      </c>
      <c r="S346" t="s">
        <v>31</v>
      </c>
      <c r="T346" t="str">
        <f>VLOOKUP(B346,'[1]Plant data'!$A$1:$AB$315,2,0)</f>
        <v>Myrtaceae</v>
      </c>
      <c r="U346" t="str">
        <f>VLOOKUP($B346,'[1]Plant data'!$A$1:$AB$315,3,0)</f>
        <v>NA</v>
      </c>
      <c r="V346" t="str">
        <f>VLOOKUP($B346,'[1]Plant data'!$A$1:$AB$315,4,0)</f>
        <v>black</v>
      </c>
      <c r="W346" t="str">
        <f>VLOOKUP($B346,'[1]Plant data'!$A$1:$AB$315,5,0)</f>
        <v>YES</v>
      </c>
      <c r="X346">
        <f>VLOOKUP($B346,'[1]Plant data'!$A$1:$AB$315,6,0)</f>
        <v>10.5</v>
      </c>
      <c r="Y346">
        <f>VLOOKUP($B346,'[1]Plant data'!$A$1:$AB$315,7,0)</f>
        <v>16.5</v>
      </c>
      <c r="Z346">
        <f>VLOOKUP($B346,'[1]Plant data'!$A$1:$AB$315,8,0)</f>
        <v>8</v>
      </c>
      <c r="AA346">
        <f>VLOOKUP($B346,'[1]Plant data'!$A$1:$AB$315,9,0)</f>
        <v>3</v>
      </c>
      <c r="AB346">
        <f>VLOOKUP($B346,'[1]Plant data'!$A$1:$AB$315,10,0)</f>
        <v>2</v>
      </c>
      <c r="AC346" t="str">
        <f>VLOOKUP($B346,'[1]Plant data'!$A$1:$AB$315,11,0)</f>
        <v>NA</v>
      </c>
      <c r="AD346">
        <f>VLOOKUP($B346,'[1]Plant data'!$A$1:$AB$315,12,0)</f>
        <v>0.1</v>
      </c>
      <c r="AE346" t="str">
        <f>VLOOKUP($B346,'[1]Plant data'!$A$1:$AB$315,13,0)</f>
        <v>NA</v>
      </c>
      <c r="AF346" t="str">
        <f>VLOOKUP($B346,'[1]Plant data'!$A$1:$AB$315,14,0)</f>
        <v>NA</v>
      </c>
      <c r="AG346">
        <f>VLOOKUP($B346,'[1]Plant data'!$A$1:$AB$315,15,0)</f>
        <v>2</v>
      </c>
      <c r="AH346" t="str">
        <f>VLOOKUP($B346,'[1]Plant data'!$A$1:$AB$315,16,0)</f>
        <v>NA</v>
      </c>
      <c r="AI346" t="str">
        <f>VLOOKUP($B346,'[1]Plant data'!$A$1:$AB$315,17,0)</f>
        <v>NA</v>
      </c>
      <c r="AJ346" t="str">
        <f>VLOOKUP($B346,'[1]Plant data'!$A$1:$AB$315,18,0)</f>
        <v>ATLANTIC, Intervales_morfo</v>
      </c>
      <c r="AK346">
        <f>VLOOKUP($B346,'[1]Plant data'!$A$1:$AB$315,19,0)</f>
        <v>0.86</v>
      </c>
      <c r="AL346">
        <f>VLOOKUP($B346,'[1]Plant data'!$A$1:$AB$315,20,0)</f>
        <v>5.5999999999999994E-2</v>
      </c>
      <c r="AM346">
        <f>VLOOKUP($B346,'[1]Plant data'!$A$1:$AB$315,21,0)</f>
        <v>9.3000000000000013E-2</v>
      </c>
      <c r="AN346" t="str">
        <f>VLOOKUP($B346,'[1]Plant data'!$A$1:$AB$315,22,0)</f>
        <v>NA</v>
      </c>
      <c r="AO346" t="str">
        <f>VLOOKUP($B346,'[1]Plant data'!$A$1:$AB$315,23,0)</f>
        <v>NA</v>
      </c>
      <c r="AP346" t="str">
        <f>VLOOKUP($B346,'[1]Plant data'!$A$1:$AB$315,24,0)</f>
        <v>NA</v>
      </c>
      <c r="AQ346">
        <f>VLOOKUP($B346,'[1]Plant data'!$A$1:$AB$315,25,0)</f>
        <v>0.80099999999999993</v>
      </c>
      <c r="AR346">
        <f>VLOOKUP($B346,'[1]Plant data'!$A$1:$AB$315,26,0)</f>
        <v>5.0999999999999997E-2</v>
      </c>
      <c r="AS346" t="str">
        <f>VLOOKUP($B346,'[1]Plant data'!$A$1:$AB$315,27,0)</f>
        <v>NA</v>
      </c>
      <c r="AT346" t="str">
        <f>VLOOKUP($B346,'[1]Plant data'!$A$1:$AB$315,28,0)</f>
        <v>Saibadela</v>
      </c>
    </row>
    <row r="347" spans="1:46">
      <c r="A347" s="5" t="s">
        <v>32</v>
      </c>
      <c r="B347" s="33" t="s">
        <v>38</v>
      </c>
      <c r="C347" s="7">
        <v>1</v>
      </c>
      <c r="D347" s="7">
        <v>23</v>
      </c>
      <c r="E347" s="8">
        <f>C347/D347</f>
        <v>4.3478260869565216E-2</v>
      </c>
      <c r="F347" t="s">
        <v>19</v>
      </c>
      <c r="G347" s="9" t="s">
        <v>19</v>
      </c>
      <c r="H347" s="9"/>
      <c r="I347" s="8" t="s">
        <v>19</v>
      </c>
      <c r="J347" s="10" t="s">
        <v>20</v>
      </c>
      <c r="K347" t="s">
        <v>21</v>
      </c>
      <c r="L347" t="s">
        <v>22</v>
      </c>
      <c r="M347" t="s">
        <v>30</v>
      </c>
      <c r="N347" s="11">
        <v>18</v>
      </c>
      <c r="O347" s="11">
        <v>5.1684999999999999</v>
      </c>
      <c r="P347" t="s">
        <v>24</v>
      </c>
      <c r="Q347" s="13" t="s">
        <v>25</v>
      </c>
      <c r="R347" s="13" t="s">
        <v>26</v>
      </c>
      <c r="S347" s="13" t="s">
        <v>31</v>
      </c>
      <c r="T347" t="str">
        <f>VLOOKUP(B347,'[1]Plant data'!$A$1:$AB$315,2,0)</f>
        <v>Myrtaceae</v>
      </c>
      <c r="U347" t="str">
        <f>VLOOKUP($B347,'[1]Plant data'!$A$1:$AB$315,3,0)</f>
        <v>Myrcia splendens</v>
      </c>
      <c r="V347" t="str">
        <f>VLOOKUP($B347,'[1]Plant data'!$A$1:$AB$315,4,0)</f>
        <v>black</v>
      </c>
      <c r="W347" t="str">
        <f>VLOOKUP($B347,'[1]Plant data'!$A$1:$AB$315,5,0)</f>
        <v>YES</v>
      </c>
      <c r="X347">
        <f>VLOOKUP($B347,'[1]Plant data'!$A$1:$AB$315,6,0)</f>
        <v>7.3000000000000007</v>
      </c>
      <c r="Y347">
        <f>VLOOKUP($B347,'[1]Plant data'!$A$1:$AB$315,7,0)</f>
        <v>9.7666666666666675</v>
      </c>
      <c r="Z347">
        <f>VLOOKUP($B347,'[1]Plant data'!$A$1:$AB$315,8,0)</f>
        <v>3.8</v>
      </c>
      <c r="AA347">
        <f>VLOOKUP($B347,'[1]Plant data'!$A$1:$AB$315,9,0)</f>
        <v>5.9</v>
      </c>
      <c r="AB347">
        <f>VLOOKUP($B347,'[1]Plant data'!$A$1:$AB$315,10,0)</f>
        <v>0.14000000000000001</v>
      </c>
      <c r="AC347" t="str">
        <f>VLOOKUP($B347,'[1]Plant data'!$A$1:$AB$315,11,0)</f>
        <v>NA</v>
      </c>
      <c r="AD347">
        <f>VLOOKUP($B347,'[1]Plant data'!$A$1:$AB$315,12,0)</f>
        <v>6.2E-2</v>
      </c>
      <c r="AE347" t="str">
        <f>VLOOKUP($B347,'[1]Plant data'!$A$1:$AB$315,13,0)</f>
        <v>NA</v>
      </c>
      <c r="AF347" t="str">
        <f>VLOOKUP($B347,'[1]Plant data'!$A$1:$AB$315,14,0)</f>
        <v>NA</v>
      </c>
      <c r="AG347">
        <f>VLOOKUP($B347,'[1]Plant data'!$A$1:$AB$315,15,0)</f>
        <v>1</v>
      </c>
      <c r="AH347" t="str">
        <f>VLOOKUP($B347,'[1]Plant data'!$A$1:$AB$315,16,0)</f>
        <v>NA</v>
      </c>
      <c r="AI347" t="str">
        <f>VLOOKUP($B347,'[1]Plant data'!$A$1:$AB$315,17,0)</f>
        <v>NA</v>
      </c>
      <c r="AJ347" t="str">
        <f>VLOOKUP($B347,'[1]Plant data'!$A$1:$AB$315,18,0)</f>
        <v>Alves 2008, Angel-de-Oliveira 1999, Correia 1997</v>
      </c>
      <c r="AK347" t="str">
        <f>VLOOKUP($B347,'[1]Plant data'!$A$1:$AB$315,19,0)</f>
        <v>NA</v>
      </c>
      <c r="AL347">
        <f>VLOOKUP($B347,'[1]Plant data'!$A$1:$AB$315,20,0)</f>
        <v>0.144624167459563</v>
      </c>
      <c r="AM347">
        <f>VLOOKUP($B347,'[1]Plant data'!$A$1:$AB$315,21,0)</f>
        <v>0.1142915</v>
      </c>
      <c r="AN347">
        <f>VLOOKUP($B347,'[1]Plant data'!$A$1:$AB$315,22,0)</f>
        <v>7.5461793365924096E-2</v>
      </c>
      <c r="AO347">
        <f>VLOOKUP($B347,'[1]Plant data'!$A$1:$AB$315,23,0)</f>
        <v>0.198861875754162</v>
      </c>
      <c r="AP347" t="str">
        <f>VLOOKUP($B347,'[1]Plant data'!$A$1:$AB$315,24,0)</f>
        <v>NA</v>
      </c>
      <c r="AQ347" t="str">
        <f>VLOOKUP($B347,'[1]Plant data'!$A$1:$AB$315,25,0)</f>
        <v>NA</v>
      </c>
      <c r="AR347" t="str">
        <f>VLOOKUP($B347,'[1]Plant data'!$A$1:$AB$315,26,0)</f>
        <v>NA</v>
      </c>
      <c r="AS347" t="str">
        <f>VLOOKUP($B347,'[1]Plant data'!$A$1:$AB$315,27,0)</f>
        <v>NA</v>
      </c>
      <c r="AT347" t="str">
        <f>VLOOKUP($B347,'[1]Plant data'!$A$1:$AB$315,28,0)</f>
        <v>Saibadela</v>
      </c>
    </row>
    <row r="348" spans="1:46">
      <c r="A348" s="5" t="s">
        <v>41</v>
      </c>
      <c r="B348" s="33" t="s">
        <v>38</v>
      </c>
      <c r="C348" s="7">
        <v>8</v>
      </c>
      <c r="D348" s="7">
        <v>23</v>
      </c>
      <c r="E348" s="8">
        <f>C348/D348</f>
        <v>0.34782608695652173</v>
      </c>
      <c r="F348" t="s">
        <v>19</v>
      </c>
      <c r="G348" s="41">
        <v>1</v>
      </c>
      <c r="H348" s="41"/>
      <c r="I348" s="8">
        <f>E348*G348</f>
        <v>0.34782608695652173</v>
      </c>
      <c r="J348" s="10" t="s">
        <v>20</v>
      </c>
      <c r="K348" t="s">
        <v>21</v>
      </c>
      <c r="L348" t="s">
        <v>22</v>
      </c>
      <c r="M348" t="s">
        <v>30</v>
      </c>
      <c r="N348" s="11">
        <v>39</v>
      </c>
      <c r="O348" s="11">
        <v>8.2839869279999991</v>
      </c>
      <c r="P348" t="s">
        <v>24</v>
      </c>
      <c r="Q348" t="s">
        <v>25</v>
      </c>
      <c r="R348" t="s">
        <v>26</v>
      </c>
      <c r="S348" t="s">
        <v>31</v>
      </c>
      <c r="T348" t="str">
        <f>VLOOKUP(B348,'[1]Plant data'!$A$1:$AB$315,2,0)</f>
        <v>Myrtaceae</v>
      </c>
      <c r="U348" t="str">
        <f>VLOOKUP($B348,'[1]Plant data'!$A$1:$AB$315,3,0)</f>
        <v>Myrcia splendens</v>
      </c>
      <c r="V348" t="str">
        <f>VLOOKUP($B348,'[1]Plant data'!$A$1:$AB$315,4,0)</f>
        <v>black</v>
      </c>
      <c r="W348" t="str">
        <f>VLOOKUP($B348,'[1]Plant data'!$A$1:$AB$315,5,0)</f>
        <v>YES</v>
      </c>
      <c r="X348">
        <f>VLOOKUP($B348,'[1]Plant data'!$A$1:$AB$315,6,0)</f>
        <v>7.3000000000000007</v>
      </c>
      <c r="Y348">
        <f>VLOOKUP($B348,'[1]Plant data'!$A$1:$AB$315,7,0)</f>
        <v>9.7666666666666675</v>
      </c>
      <c r="Z348">
        <f>VLOOKUP($B348,'[1]Plant data'!$A$1:$AB$315,8,0)</f>
        <v>3.8</v>
      </c>
      <c r="AA348">
        <f>VLOOKUP($B348,'[1]Plant data'!$A$1:$AB$315,9,0)</f>
        <v>5.9</v>
      </c>
      <c r="AB348">
        <f>VLOOKUP($B348,'[1]Plant data'!$A$1:$AB$315,10,0)</f>
        <v>0.14000000000000001</v>
      </c>
      <c r="AC348" t="str">
        <f>VLOOKUP($B348,'[1]Plant data'!$A$1:$AB$315,11,0)</f>
        <v>NA</v>
      </c>
      <c r="AD348">
        <f>VLOOKUP($B348,'[1]Plant data'!$A$1:$AB$315,12,0)</f>
        <v>6.2E-2</v>
      </c>
      <c r="AE348" t="str">
        <f>VLOOKUP($B348,'[1]Plant data'!$A$1:$AB$315,13,0)</f>
        <v>NA</v>
      </c>
      <c r="AF348" t="str">
        <f>VLOOKUP($B348,'[1]Plant data'!$A$1:$AB$315,14,0)</f>
        <v>NA</v>
      </c>
      <c r="AG348">
        <f>VLOOKUP($B348,'[1]Plant data'!$A$1:$AB$315,15,0)</f>
        <v>1</v>
      </c>
      <c r="AH348" t="str">
        <f>VLOOKUP($B348,'[1]Plant data'!$A$1:$AB$315,16,0)</f>
        <v>NA</v>
      </c>
      <c r="AI348" t="str">
        <f>VLOOKUP($B348,'[1]Plant data'!$A$1:$AB$315,17,0)</f>
        <v>NA</v>
      </c>
      <c r="AJ348" t="str">
        <f>VLOOKUP($B348,'[1]Plant data'!$A$1:$AB$315,18,0)</f>
        <v>Alves 2008, Angel-de-Oliveira 1999, Correia 1997</v>
      </c>
      <c r="AK348" t="str">
        <f>VLOOKUP($B348,'[1]Plant data'!$A$1:$AB$315,19,0)</f>
        <v>NA</v>
      </c>
      <c r="AL348">
        <f>VLOOKUP($B348,'[1]Plant data'!$A$1:$AB$315,20,0)</f>
        <v>0.144624167459563</v>
      </c>
      <c r="AM348">
        <f>VLOOKUP($B348,'[1]Plant data'!$A$1:$AB$315,21,0)</f>
        <v>0.1142915</v>
      </c>
      <c r="AN348">
        <f>VLOOKUP($B348,'[1]Plant data'!$A$1:$AB$315,22,0)</f>
        <v>7.5461793365924096E-2</v>
      </c>
      <c r="AO348">
        <f>VLOOKUP($B348,'[1]Plant data'!$A$1:$AB$315,23,0)</f>
        <v>0.198861875754162</v>
      </c>
      <c r="AP348" t="str">
        <f>VLOOKUP($B348,'[1]Plant data'!$A$1:$AB$315,24,0)</f>
        <v>NA</v>
      </c>
      <c r="AQ348" t="str">
        <f>VLOOKUP($B348,'[1]Plant data'!$A$1:$AB$315,25,0)</f>
        <v>NA</v>
      </c>
      <c r="AR348" t="str">
        <f>VLOOKUP($B348,'[1]Plant data'!$A$1:$AB$315,26,0)</f>
        <v>NA</v>
      </c>
      <c r="AS348" t="str">
        <f>VLOOKUP($B348,'[1]Plant data'!$A$1:$AB$315,27,0)</f>
        <v>NA</v>
      </c>
      <c r="AT348" t="str">
        <f>VLOOKUP($B348,'[1]Plant data'!$A$1:$AB$315,28,0)</f>
        <v>Saibadela</v>
      </c>
    </row>
    <row r="349" spans="1:46">
      <c r="A349" s="5" t="s">
        <v>43</v>
      </c>
      <c r="B349" s="33" t="s">
        <v>38</v>
      </c>
      <c r="C349" s="7">
        <v>3</v>
      </c>
      <c r="D349" s="7">
        <v>23</v>
      </c>
      <c r="E349" s="8">
        <f>C349/D349</f>
        <v>0.13043478260869565</v>
      </c>
      <c r="F349" t="s">
        <v>19</v>
      </c>
      <c r="G349" s="27">
        <v>1</v>
      </c>
      <c r="H349" s="27"/>
      <c r="I349" s="8">
        <f>E349*G349</f>
        <v>0.13043478260869565</v>
      </c>
      <c r="J349" s="10" t="s">
        <v>20</v>
      </c>
      <c r="K349" t="s">
        <v>21</v>
      </c>
      <c r="L349" t="s">
        <v>22</v>
      </c>
      <c r="M349" t="s">
        <v>30</v>
      </c>
      <c r="N349" s="11">
        <v>32.5</v>
      </c>
      <c r="O349" s="11">
        <v>8.9205555560000001</v>
      </c>
      <c r="P349" t="s">
        <v>24</v>
      </c>
      <c r="Q349" t="s">
        <v>25</v>
      </c>
      <c r="R349" t="s">
        <v>26</v>
      </c>
      <c r="S349" t="s">
        <v>31</v>
      </c>
      <c r="T349" t="str">
        <f>VLOOKUP(B349,'[1]Plant data'!$A$1:$AB$315,2,0)</f>
        <v>Myrtaceae</v>
      </c>
      <c r="U349" t="str">
        <f>VLOOKUP($B349,'[1]Plant data'!$A$1:$AB$315,3,0)</f>
        <v>Myrcia splendens</v>
      </c>
      <c r="V349" t="str">
        <f>VLOOKUP($B349,'[1]Plant data'!$A$1:$AB$315,4,0)</f>
        <v>black</v>
      </c>
      <c r="W349" t="str">
        <f>VLOOKUP($B349,'[1]Plant data'!$A$1:$AB$315,5,0)</f>
        <v>YES</v>
      </c>
      <c r="X349">
        <f>VLOOKUP($B349,'[1]Plant data'!$A$1:$AB$315,6,0)</f>
        <v>7.3000000000000007</v>
      </c>
      <c r="Y349">
        <f>VLOOKUP($B349,'[1]Plant data'!$A$1:$AB$315,7,0)</f>
        <v>9.7666666666666675</v>
      </c>
      <c r="Z349">
        <f>VLOOKUP($B349,'[1]Plant data'!$A$1:$AB$315,8,0)</f>
        <v>3.8</v>
      </c>
      <c r="AA349">
        <f>VLOOKUP($B349,'[1]Plant data'!$A$1:$AB$315,9,0)</f>
        <v>5.9</v>
      </c>
      <c r="AB349">
        <f>VLOOKUP($B349,'[1]Plant data'!$A$1:$AB$315,10,0)</f>
        <v>0.14000000000000001</v>
      </c>
      <c r="AC349" t="str">
        <f>VLOOKUP($B349,'[1]Plant data'!$A$1:$AB$315,11,0)</f>
        <v>NA</v>
      </c>
      <c r="AD349">
        <f>VLOOKUP($B349,'[1]Plant data'!$A$1:$AB$315,12,0)</f>
        <v>6.2E-2</v>
      </c>
      <c r="AE349" t="str">
        <f>VLOOKUP($B349,'[1]Plant data'!$A$1:$AB$315,13,0)</f>
        <v>NA</v>
      </c>
      <c r="AF349" t="str">
        <f>VLOOKUP($B349,'[1]Plant data'!$A$1:$AB$315,14,0)</f>
        <v>NA</v>
      </c>
      <c r="AG349">
        <f>VLOOKUP($B349,'[1]Plant data'!$A$1:$AB$315,15,0)</f>
        <v>1</v>
      </c>
      <c r="AH349" t="str">
        <f>VLOOKUP($B349,'[1]Plant data'!$A$1:$AB$315,16,0)</f>
        <v>NA</v>
      </c>
      <c r="AI349" t="str">
        <f>VLOOKUP($B349,'[1]Plant data'!$A$1:$AB$315,17,0)</f>
        <v>NA</v>
      </c>
      <c r="AJ349" t="str">
        <f>VLOOKUP($B349,'[1]Plant data'!$A$1:$AB$315,18,0)</f>
        <v>Alves 2008, Angel-de-Oliveira 1999, Correia 1997</v>
      </c>
      <c r="AK349" t="str">
        <f>VLOOKUP($B349,'[1]Plant data'!$A$1:$AB$315,19,0)</f>
        <v>NA</v>
      </c>
      <c r="AL349">
        <f>VLOOKUP($B349,'[1]Plant data'!$A$1:$AB$315,20,0)</f>
        <v>0.144624167459563</v>
      </c>
      <c r="AM349">
        <f>VLOOKUP($B349,'[1]Plant data'!$A$1:$AB$315,21,0)</f>
        <v>0.1142915</v>
      </c>
      <c r="AN349">
        <f>VLOOKUP($B349,'[1]Plant data'!$A$1:$AB$315,22,0)</f>
        <v>7.5461793365924096E-2</v>
      </c>
      <c r="AO349">
        <f>VLOOKUP($B349,'[1]Plant data'!$A$1:$AB$315,23,0)</f>
        <v>0.198861875754162</v>
      </c>
      <c r="AP349" t="str">
        <f>VLOOKUP($B349,'[1]Plant data'!$A$1:$AB$315,24,0)</f>
        <v>NA</v>
      </c>
      <c r="AQ349" t="str">
        <f>VLOOKUP($B349,'[1]Plant data'!$A$1:$AB$315,25,0)</f>
        <v>NA</v>
      </c>
      <c r="AR349" t="str">
        <f>VLOOKUP($B349,'[1]Plant data'!$A$1:$AB$315,26,0)</f>
        <v>NA</v>
      </c>
      <c r="AS349" t="str">
        <f>VLOOKUP($B349,'[1]Plant data'!$A$1:$AB$315,27,0)</f>
        <v>NA</v>
      </c>
      <c r="AT349" t="str">
        <f>VLOOKUP($B349,'[1]Plant data'!$A$1:$AB$315,28,0)</f>
        <v>Saibadela</v>
      </c>
    </row>
    <row r="350" spans="1:46">
      <c r="A350" s="5" t="s">
        <v>46</v>
      </c>
      <c r="B350" s="33" t="s">
        <v>38</v>
      </c>
      <c r="C350" s="7">
        <v>3</v>
      </c>
      <c r="D350" s="7">
        <v>23</v>
      </c>
      <c r="E350" s="8">
        <f>C350/D350</f>
        <v>0.13043478260869565</v>
      </c>
      <c r="F350" t="s">
        <v>19</v>
      </c>
      <c r="G350" s="9" t="s">
        <v>19</v>
      </c>
      <c r="H350" s="9"/>
      <c r="I350" s="8" t="s">
        <v>19</v>
      </c>
      <c r="J350" s="10" t="s">
        <v>20</v>
      </c>
      <c r="K350" t="s">
        <v>21</v>
      </c>
      <c r="L350" t="s">
        <v>22</v>
      </c>
      <c r="M350" t="s">
        <v>47</v>
      </c>
      <c r="N350" s="11">
        <v>54</v>
      </c>
      <c r="O350" s="11">
        <v>11.14875</v>
      </c>
      <c r="P350" t="s">
        <v>48</v>
      </c>
      <c r="Q350" t="s">
        <v>49</v>
      </c>
      <c r="R350" t="s">
        <v>26</v>
      </c>
      <c r="S350" t="s">
        <v>31</v>
      </c>
      <c r="T350" t="str">
        <f>VLOOKUP(B350,'[1]Plant data'!$A$1:$AB$315,2,0)</f>
        <v>Myrtaceae</v>
      </c>
      <c r="U350" t="str">
        <f>VLOOKUP($B350,'[1]Plant data'!$A$1:$AB$315,3,0)</f>
        <v>Myrcia splendens</v>
      </c>
      <c r="V350" t="str">
        <f>VLOOKUP($B350,'[1]Plant data'!$A$1:$AB$315,4,0)</f>
        <v>black</v>
      </c>
      <c r="W350" t="str">
        <f>VLOOKUP($B350,'[1]Plant data'!$A$1:$AB$315,5,0)</f>
        <v>YES</v>
      </c>
      <c r="X350">
        <f>VLOOKUP($B350,'[1]Plant data'!$A$1:$AB$315,6,0)</f>
        <v>7.3000000000000007</v>
      </c>
      <c r="Y350">
        <f>VLOOKUP($B350,'[1]Plant data'!$A$1:$AB$315,7,0)</f>
        <v>9.7666666666666675</v>
      </c>
      <c r="Z350">
        <f>VLOOKUP($B350,'[1]Plant data'!$A$1:$AB$315,8,0)</f>
        <v>3.8</v>
      </c>
      <c r="AA350">
        <f>VLOOKUP($B350,'[1]Plant data'!$A$1:$AB$315,9,0)</f>
        <v>5.9</v>
      </c>
      <c r="AB350">
        <f>VLOOKUP($B350,'[1]Plant data'!$A$1:$AB$315,10,0)</f>
        <v>0.14000000000000001</v>
      </c>
      <c r="AC350" t="str">
        <f>VLOOKUP($B350,'[1]Plant data'!$A$1:$AB$315,11,0)</f>
        <v>NA</v>
      </c>
      <c r="AD350">
        <f>VLOOKUP($B350,'[1]Plant data'!$A$1:$AB$315,12,0)</f>
        <v>6.2E-2</v>
      </c>
      <c r="AE350" t="str">
        <f>VLOOKUP($B350,'[1]Plant data'!$A$1:$AB$315,13,0)</f>
        <v>NA</v>
      </c>
      <c r="AF350" t="str">
        <f>VLOOKUP($B350,'[1]Plant data'!$A$1:$AB$315,14,0)</f>
        <v>NA</v>
      </c>
      <c r="AG350">
        <f>VLOOKUP($B350,'[1]Plant data'!$A$1:$AB$315,15,0)</f>
        <v>1</v>
      </c>
      <c r="AH350" t="str">
        <f>VLOOKUP($B350,'[1]Plant data'!$A$1:$AB$315,16,0)</f>
        <v>NA</v>
      </c>
      <c r="AI350" t="str">
        <f>VLOOKUP($B350,'[1]Plant data'!$A$1:$AB$315,17,0)</f>
        <v>NA</v>
      </c>
      <c r="AJ350" t="str">
        <f>VLOOKUP($B350,'[1]Plant data'!$A$1:$AB$315,18,0)</f>
        <v>Alves 2008, Angel-de-Oliveira 1999, Correia 1997</v>
      </c>
      <c r="AK350" t="str">
        <f>VLOOKUP($B350,'[1]Plant data'!$A$1:$AB$315,19,0)</f>
        <v>NA</v>
      </c>
      <c r="AL350">
        <f>VLOOKUP($B350,'[1]Plant data'!$A$1:$AB$315,20,0)</f>
        <v>0.144624167459563</v>
      </c>
      <c r="AM350">
        <f>VLOOKUP($B350,'[1]Plant data'!$A$1:$AB$315,21,0)</f>
        <v>0.1142915</v>
      </c>
      <c r="AN350">
        <f>VLOOKUP($B350,'[1]Plant data'!$A$1:$AB$315,22,0)</f>
        <v>7.5461793365924096E-2</v>
      </c>
      <c r="AO350">
        <f>VLOOKUP($B350,'[1]Plant data'!$A$1:$AB$315,23,0)</f>
        <v>0.198861875754162</v>
      </c>
      <c r="AP350" t="str">
        <f>VLOOKUP($B350,'[1]Plant data'!$A$1:$AB$315,24,0)</f>
        <v>NA</v>
      </c>
      <c r="AQ350" t="str">
        <f>VLOOKUP($B350,'[1]Plant data'!$A$1:$AB$315,25,0)</f>
        <v>NA</v>
      </c>
      <c r="AR350" t="str">
        <f>VLOOKUP($B350,'[1]Plant data'!$A$1:$AB$315,26,0)</f>
        <v>NA</v>
      </c>
      <c r="AS350" t="str">
        <f>VLOOKUP($B350,'[1]Plant data'!$A$1:$AB$315,27,0)</f>
        <v>NA</v>
      </c>
      <c r="AT350" t="str">
        <f>VLOOKUP($B350,'[1]Plant data'!$A$1:$AB$315,28,0)</f>
        <v>Saibadela</v>
      </c>
    </row>
    <row r="351" spans="1:46">
      <c r="A351" s="5" t="s">
        <v>50</v>
      </c>
      <c r="B351" s="33" t="s">
        <v>38</v>
      </c>
      <c r="C351" s="7">
        <v>6</v>
      </c>
      <c r="D351" s="7">
        <v>23</v>
      </c>
      <c r="E351" s="8">
        <f>C351/D351</f>
        <v>0.2608695652173913</v>
      </c>
      <c r="F351" t="s">
        <v>19</v>
      </c>
      <c r="G351" s="9" t="s">
        <v>19</v>
      </c>
      <c r="H351" s="9"/>
      <c r="I351" s="8" t="s">
        <v>19</v>
      </c>
      <c r="J351" s="10" t="s">
        <v>20</v>
      </c>
      <c r="K351" t="s">
        <v>21</v>
      </c>
      <c r="L351" t="s">
        <v>22</v>
      </c>
      <c r="M351" t="s">
        <v>47</v>
      </c>
      <c r="N351" s="11">
        <v>69.5</v>
      </c>
      <c r="O351" s="11">
        <v>13.253214290000001</v>
      </c>
      <c r="P351" t="s">
        <v>48</v>
      </c>
      <c r="Q351" t="s">
        <v>25</v>
      </c>
      <c r="R351" t="s">
        <v>26</v>
      </c>
      <c r="S351" t="s">
        <v>31</v>
      </c>
      <c r="T351" t="str">
        <f>VLOOKUP(B351,'[1]Plant data'!$A$1:$AB$315,2,0)</f>
        <v>Myrtaceae</v>
      </c>
      <c r="U351" t="str">
        <f>VLOOKUP($B351,'[1]Plant data'!$A$1:$AB$315,3,0)</f>
        <v>Myrcia splendens</v>
      </c>
      <c r="V351" t="str">
        <f>VLOOKUP($B351,'[1]Plant data'!$A$1:$AB$315,4,0)</f>
        <v>black</v>
      </c>
      <c r="W351" t="str">
        <f>VLOOKUP($B351,'[1]Plant data'!$A$1:$AB$315,5,0)</f>
        <v>YES</v>
      </c>
      <c r="X351">
        <f>VLOOKUP($B351,'[1]Plant data'!$A$1:$AB$315,6,0)</f>
        <v>7.3000000000000007</v>
      </c>
      <c r="Y351">
        <f>VLOOKUP($B351,'[1]Plant data'!$A$1:$AB$315,7,0)</f>
        <v>9.7666666666666675</v>
      </c>
      <c r="Z351">
        <f>VLOOKUP($B351,'[1]Plant data'!$A$1:$AB$315,8,0)</f>
        <v>3.8</v>
      </c>
      <c r="AA351">
        <f>VLOOKUP($B351,'[1]Plant data'!$A$1:$AB$315,9,0)</f>
        <v>5.9</v>
      </c>
      <c r="AB351">
        <f>VLOOKUP($B351,'[1]Plant data'!$A$1:$AB$315,10,0)</f>
        <v>0.14000000000000001</v>
      </c>
      <c r="AC351" t="str">
        <f>VLOOKUP($B351,'[1]Plant data'!$A$1:$AB$315,11,0)</f>
        <v>NA</v>
      </c>
      <c r="AD351">
        <f>VLOOKUP($B351,'[1]Plant data'!$A$1:$AB$315,12,0)</f>
        <v>6.2E-2</v>
      </c>
      <c r="AE351" t="str">
        <f>VLOOKUP($B351,'[1]Plant data'!$A$1:$AB$315,13,0)</f>
        <v>NA</v>
      </c>
      <c r="AF351" t="str">
        <f>VLOOKUP($B351,'[1]Plant data'!$A$1:$AB$315,14,0)</f>
        <v>NA</v>
      </c>
      <c r="AG351">
        <f>VLOOKUP($B351,'[1]Plant data'!$A$1:$AB$315,15,0)</f>
        <v>1</v>
      </c>
      <c r="AH351" t="str">
        <f>VLOOKUP($B351,'[1]Plant data'!$A$1:$AB$315,16,0)</f>
        <v>NA</v>
      </c>
      <c r="AI351" t="str">
        <f>VLOOKUP($B351,'[1]Plant data'!$A$1:$AB$315,17,0)</f>
        <v>NA</v>
      </c>
      <c r="AJ351" t="str">
        <f>VLOOKUP($B351,'[1]Plant data'!$A$1:$AB$315,18,0)</f>
        <v>Alves 2008, Angel-de-Oliveira 1999, Correia 1997</v>
      </c>
      <c r="AK351" t="str">
        <f>VLOOKUP($B351,'[1]Plant data'!$A$1:$AB$315,19,0)</f>
        <v>NA</v>
      </c>
      <c r="AL351">
        <f>VLOOKUP($B351,'[1]Plant data'!$A$1:$AB$315,20,0)</f>
        <v>0.144624167459563</v>
      </c>
      <c r="AM351">
        <f>VLOOKUP($B351,'[1]Plant data'!$A$1:$AB$315,21,0)</f>
        <v>0.1142915</v>
      </c>
      <c r="AN351">
        <f>VLOOKUP($B351,'[1]Plant data'!$A$1:$AB$315,22,0)</f>
        <v>7.5461793365924096E-2</v>
      </c>
      <c r="AO351">
        <f>VLOOKUP($B351,'[1]Plant data'!$A$1:$AB$315,23,0)</f>
        <v>0.198861875754162</v>
      </c>
      <c r="AP351" t="str">
        <f>VLOOKUP($B351,'[1]Plant data'!$A$1:$AB$315,24,0)</f>
        <v>NA</v>
      </c>
      <c r="AQ351" t="str">
        <f>VLOOKUP($B351,'[1]Plant data'!$A$1:$AB$315,25,0)</f>
        <v>NA</v>
      </c>
      <c r="AR351" t="str">
        <f>VLOOKUP($B351,'[1]Plant data'!$A$1:$AB$315,26,0)</f>
        <v>NA</v>
      </c>
      <c r="AS351" t="str">
        <f>VLOOKUP($B351,'[1]Plant data'!$A$1:$AB$315,27,0)</f>
        <v>NA</v>
      </c>
      <c r="AT351" t="str">
        <f>VLOOKUP($B351,'[1]Plant data'!$A$1:$AB$315,28,0)</f>
        <v>Saibadela</v>
      </c>
    </row>
    <row r="352" spans="1:46">
      <c r="A352" s="5" t="s">
        <v>41</v>
      </c>
      <c r="B352" s="32" t="s">
        <v>38</v>
      </c>
      <c r="C352">
        <v>1</v>
      </c>
      <c r="D352" s="7">
        <v>15</v>
      </c>
      <c r="E352" s="8">
        <f>C352/15</f>
        <v>6.6666666666666666E-2</v>
      </c>
      <c r="F352" s="8" t="s">
        <v>19</v>
      </c>
      <c r="G352" s="9">
        <v>1</v>
      </c>
      <c r="H352" s="9"/>
      <c r="I352" s="8">
        <f>E352*G352</f>
        <v>6.6666666666666666E-2</v>
      </c>
      <c r="J352" s="25" t="s">
        <v>132</v>
      </c>
      <c r="K352" s="25" t="s">
        <v>133</v>
      </c>
      <c r="L352" t="s">
        <v>22</v>
      </c>
      <c r="M352" t="s">
        <v>30</v>
      </c>
      <c r="N352" s="11">
        <v>39</v>
      </c>
      <c r="O352" s="11">
        <v>8.2839869279999991</v>
      </c>
      <c r="P352" t="s">
        <v>24</v>
      </c>
      <c r="Q352" t="s">
        <v>25</v>
      </c>
      <c r="R352" t="s">
        <v>26</v>
      </c>
      <c r="S352" t="s">
        <v>31</v>
      </c>
      <c r="T352" t="str">
        <f>VLOOKUP(B352,'[1]Plant data'!$A$1:$AB$315,2,0)</f>
        <v>Myrtaceae</v>
      </c>
      <c r="U352" t="str">
        <f>VLOOKUP($B352,'[1]Plant data'!$A$1:$AB$315,3,0)</f>
        <v>Myrcia splendens</v>
      </c>
      <c r="V352" t="str">
        <f>VLOOKUP($B352,'[1]Plant data'!$A$1:$AB$315,4,0)</f>
        <v>black</v>
      </c>
      <c r="W352" t="str">
        <f>VLOOKUP($B352,'[1]Plant data'!$A$1:$AB$315,5,0)</f>
        <v>YES</v>
      </c>
      <c r="X352">
        <f>VLOOKUP($B352,'[1]Plant data'!$A$1:$AB$315,6,0)</f>
        <v>7.3000000000000007</v>
      </c>
      <c r="Y352">
        <f>VLOOKUP($B352,'[1]Plant data'!$A$1:$AB$315,7,0)</f>
        <v>9.7666666666666675</v>
      </c>
      <c r="Z352">
        <f>VLOOKUP($B352,'[1]Plant data'!$A$1:$AB$315,8,0)</f>
        <v>3.8</v>
      </c>
      <c r="AA352">
        <f>VLOOKUP($B352,'[1]Plant data'!$A$1:$AB$315,9,0)</f>
        <v>5.9</v>
      </c>
      <c r="AB352">
        <f>VLOOKUP($B352,'[1]Plant data'!$A$1:$AB$315,10,0)</f>
        <v>0.14000000000000001</v>
      </c>
      <c r="AC352" t="str">
        <f>VLOOKUP($B352,'[1]Plant data'!$A$1:$AB$315,11,0)</f>
        <v>NA</v>
      </c>
      <c r="AD352">
        <f>VLOOKUP($B352,'[1]Plant data'!$A$1:$AB$315,12,0)</f>
        <v>6.2E-2</v>
      </c>
      <c r="AE352" t="str">
        <f>VLOOKUP($B352,'[1]Plant data'!$A$1:$AB$315,13,0)</f>
        <v>NA</v>
      </c>
      <c r="AF352" t="str">
        <f>VLOOKUP($B352,'[1]Plant data'!$A$1:$AB$315,14,0)</f>
        <v>NA</v>
      </c>
      <c r="AG352">
        <f>VLOOKUP($B352,'[1]Plant data'!$A$1:$AB$315,15,0)</f>
        <v>1</v>
      </c>
      <c r="AH352" t="str">
        <f>VLOOKUP($B352,'[1]Plant data'!$A$1:$AB$315,16,0)</f>
        <v>NA</v>
      </c>
      <c r="AI352" t="str">
        <f>VLOOKUP($B352,'[1]Plant data'!$A$1:$AB$315,17,0)</f>
        <v>NA</v>
      </c>
      <c r="AJ352" t="str">
        <f>VLOOKUP($B352,'[1]Plant data'!$A$1:$AB$315,18,0)</f>
        <v>Alves 2008, Angel-de-Oliveira 1999, Correia 1997</v>
      </c>
      <c r="AK352" t="str">
        <f>VLOOKUP($B352,'[1]Plant data'!$A$1:$AB$315,19,0)</f>
        <v>NA</v>
      </c>
      <c r="AL352">
        <f>VLOOKUP($B352,'[1]Plant data'!$A$1:$AB$315,20,0)</f>
        <v>0.144624167459563</v>
      </c>
      <c r="AM352">
        <f>VLOOKUP($B352,'[1]Plant data'!$A$1:$AB$315,21,0)</f>
        <v>0.1142915</v>
      </c>
      <c r="AN352">
        <f>VLOOKUP($B352,'[1]Plant data'!$A$1:$AB$315,22,0)</f>
        <v>7.5461793365924096E-2</v>
      </c>
      <c r="AO352">
        <f>VLOOKUP($B352,'[1]Plant data'!$A$1:$AB$315,23,0)</f>
        <v>0.198861875754162</v>
      </c>
      <c r="AP352" t="str">
        <f>VLOOKUP($B352,'[1]Plant data'!$A$1:$AB$315,24,0)</f>
        <v>NA</v>
      </c>
      <c r="AQ352" t="str">
        <f>VLOOKUP($B352,'[1]Plant data'!$A$1:$AB$315,25,0)</f>
        <v>NA</v>
      </c>
      <c r="AR352" t="str">
        <f>VLOOKUP($B352,'[1]Plant data'!$A$1:$AB$315,26,0)</f>
        <v>NA</v>
      </c>
      <c r="AS352" t="str">
        <f>VLOOKUP($B352,'[1]Plant data'!$A$1:$AB$315,27,0)</f>
        <v>NA</v>
      </c>
      <c r="AT352" t="str">
        <f>VLOOKUP($B352,'[1]Plant data'!$A$1:$AB$315,28,0)</f>
        <v>Saibadela</v>
      </c>
    </row>
    <row r="353" spans="1:46">
      <c r="A353" s="5" t="s">
        <v>96</v>
      </c>
      <c r="B353" s="34" t="s">
        <v>115</v>
      </c>
      <c r="C353" s="7">
        <v>1</v>
      </c>
      <c r="D353" s="7" t="s">
        <v>19</v>
      </c>
      <c r="E353" s="8" t="s">
        <v>19</v>
      </c>
      <c r="F353" s="8" t="s">
        <v>19</v>
      </c>
      <c r="G353" s="8" t="s">
        <v>19</v>
      </c>
      <c r="H353" s="8"/>
      <c r="I353" s="8" t="s">
        <v>19</v>
      </c>
      <c r="J353" t="s">
        <v>112</v>
      </c>
      <c r="K353" t="s">
        <v>113</v>
      </c>
      <c r="L353" t="s">
        <v>100</v>
      </c>
      <c r="M353" t="s">
        <v>101</v>
      </c>
      <c r="N353" s="11">
        <v>1770</v>
      </c>
      <c r="O353" s="11">
        <v>22.349</v>
      </c>
      <c r="P353" t="s">
        <v>48</v>
      </c>
      <c r="Q353" t="s">
        <v>25</v>
      </c>
      <c r="R353" t="s">
        <v>26</v>
      </c>
      <c r="S353" t="s">
        <v>27</v>
      </c>
      <c r="T353" t="str">
        <f>VLOOKUP(B353,'[1]Plant data'!$A$1:$AB$315,2,0)</f>
        <v>Myrtaceae</v>
      </c>
      <c r="U353" t="str">
        <f>VLOOKUP($B353,'[1]Plant data'!$A$1:$AB$315,3,0)</f>
        <v>NA</v>
      </c>
      <c r="V353" t="str">
        <f>VLOOKUP($B353,'[1]Plant data'!$A$1:$AB$315,4,0)</f>
        <v>black</v>
      </c>
      <c r="W353" t="str">
        <f>VLOOKUP($B353,'[1]Plant data'!$A$1:$AB$315,5,0)</f>
        <v>YES</v>
      </c>
      <c r="X353">
        <f>VLOOKUP($B353,'[1]Plant data'!$A$1:$AB$315,6,0)</f>
        <v>13.1533333333333</v>
      </c>
      <c r="Y353">
        <f>VLOOKUP($B353,'[1]Plant data'!$A$1:$AB$315,7,0)</f>
        <v>15.709999999999999</v>
      </c>
      <c r="Z353">
        <f>VLOOKUP($B353,'[1]Plant data'!$A$1:$AB$315,8,0)</f>
        <v>3.1</v>
      </c>
      <c r="AA353">
        <f>VLOOKUP($B353,'[1]Plant data'!$A$1:$AB$315,9,0)</f>
        <v>5.583333333333333</v>
      </c>
      <c r="AB353">
        <f>VLOOKUP($B353,'[1]Plant data'!$A$1:$AB$315,10,0)</f>
        <v>2.0425999999999997</v>
      </c>
      <c r="AC353" t="str">
        <f>VLOOKUP($B353,'[1]Plant data'!$A$1:$AB$315,11,0)</f>
        <v>NA</v>
      </c>
      <c r="AD353">
        <f>VLOOKUP($B353,'[1]Plant data'!$A$1:$AB$315,12,0)</f>
        <v>0.19390000000000002</v>
      </c>
      <c r="AE353">
        <f>VLOOKUP($B353,'[1]Plant data'!$A$1:$AB$315,13,0)</f>
        <v>2.6467999999999998</v>
      </c>
      <c r="AF353">
        <f>VLOOKUP($B353,'[1]Plant data'!$A$1:$AB$315,14,0)</f>
        <v>0.43839999999999996</v>
      </c>
      <c r="AG353">
        <f>VLOOKUP($B353,'[1]Plant data'!$A$1:$AB$315,15,0)</f>
        <v>1.8</v>
      </c>
      <c r="AH353" t="str">
        <f>VLOOKUP($B353,'[1]Plant data'!$A$1:$AB$315,16,0)</f>
        <v>NA</v>
      </c>
      <c r="AI353">
        <f>VLOOKUP($B353,'[1]Plant data'!$A$1:$AB$315,17,0)</f>
        <v>6.0374087591240881</v>
      </c>
      <c r="AJ353" t="str">
        <f>VLOOKUP($B353,'[1]Plant data'!$A$1:$AB$315,18,0)</f>
        <v>ATLANTIC, Erica&amp;Wesley, Intervales_morfo</v>
      </c>
      <c r="AK353" t="str">
        <f>VLOOKUP($B353,'[1]Plant data'!$A$1:$AB$315,19,0)</f>
        <v>NA</v>
      </c>
      <c r="AL353">
        <f>VLOOKUP($B353,'[1]Plant data'!$A$1:$AB$315,20,0)</f>
        <v>8.4000000000000005E-2</v>
      </c>
      <c r="AM353">
        <f>VLOOKUP($B353,'[1]Plant data'!$A$1:$AB$315,21,0)</f>
        <v>6.0837313709109539E-2</v>
      </c>
      <c r="AN353">
        <f>VLOOKUP($B353,'[1]Plant data'!$A$1:$AB$315,22,0)</f>
        <v>0.22800000000000001</v>
      </c>
      <c r="AO353">
        <f>VLOOKUP($B353,'[1]Plant data'!$A$1:$AB$315,23,0)</f>
        <v>6.7000000000000004E-2</v>
      </c>
      <c r="AP353" t="str">
        <f>VLOOKUP($B353,'[1]Plant data'!$A$1:$AB$315,24,0)</f>
        <v>NA</v>
      </c>
      <c r="AQ353" t="str">
        <f>VLOOKUP($B353,'[1]Plant data'!$A$1:$AB$315,25,0)</f>
        <v>NA</v>
      </c>
      <c r="AR353" t="str">
        <f>VLOOKUP($B353,'[1]Plant data'!$A$1:$AB$315,26,0)</f>
        <v>NA</v>
      </c>
      <c r="AS353" t="str">
        <f>VLOOKUP($B353,'[1]Plant data'!$A$1:$AB$315,27,0)</f>
        <v>NA</v>
      </c>
      <c r="AT353" t="str">
        <f>VLOOKUP($B353,'[1]Plant data'!$A$1:$AB$315,28,0)</f>
        <v>Erica &amp; Wesley, unpubl.</v>
      </c>
    </row>
    <row r="354" spans="1:46">
      <c r="A354" s="18" t="s">
        <v>28</v>
      </c>
      <c r="B354" s="33" t="s">
        <v>190</v>
      </c>
      <c r="C354" s="25">
        <v>1</v>
      </c>
      <c r="D354" s="25">
        <v>1.25</v>
      </c>
      <c r="E354" s="26">
        <f>C354/D354</f>
        <v>0.8</v>
      </c>
      <c r="F354" s="25" t="s">
        <v>19</v>
      </c>
      <c r="G354" s="27" t="s">
        <v>184</v>
      </c>
      <c r="H354" s="27"/>
      <c r="I354" s="8" t="s">
        <v>19</v>
      </c>
      <c r="J354" s="25" t="s">
        <v>180</v>
      </c>
      <c r="K354" s="25" t="s">
        <v>181</v>
      </c>
      <c r="L354" t="s">
        <v>22</v>
      </c>
      <c r="M354" t="s">
        <v>30</v>
      </c>
      <c r="N354" s="11">
        <v>18</v>
      </c>
      <c r="O354" s="11">
        <v>7.4188405800000004</v>
      </c>
      <c r="P354" t="s">
        <v>24</v>
      </c>
      <c r="Q354" s="13" t="s">
        <v>25</v>
      </c>
      <c r="R354" s="13" t="s">
        <v>26</v>
      </c>
      <c r="S354" s="13" t="s">
        <v>31</v>
      </c>
      <c r="T354" t="str">
        <f>VLOOKUP(B354,'[1]Plant data'!$A$1:$AB$315,2,0)</f>
        <v>Myrtaceae</v>
      </c>
      <c r="U354" t="str">
        <f>VLOOKUP($B354,'[1]Plant data'!$A$1:$AB$315,3,0)</f>
        <v>Myrcia longipes</v>
      </c>
      <c r="V354" t="str">
        <f>VLOOKUP($B354,'[1]Plant data'!$A$1:$AB$315,4,0)</f>
        <v>black</v>
      </c>
      <c r="W354" t="str">
        <f>VLOOKUP($B354,'[1]Plant data'!$A$1:$AB$315,5,0)</f>
        <v>YES</v>
      </c>
      <c r="X354">
        <f>VLOOKUP($B354,'[1]Plant data'!$A$1:$AB$315,6,0)</f>
        <v>4.2</v>
      </c>
      <c r="Y354">
        <f>VLOOKUP($B354,'[1]Plant data'!$A$1:$AB$315,7,0)</f>
        <v>4.3</v>
      </c>
      <c r="Z354">
        <f>VLOOKUP($B354,'[1]Plant data'!$A$1:$AB$315,8,0)</f>
        <v>4.3</v>
      </c>
      <c r="AA354">
        <f>VLOOKUP($B354,'[1]Plant data'!$A$1:$AB$315,9,0)</f>
        <v>4.5</v>
      </c>
      <c r="AB354" t="str">
        <f>VLOOKUP($B354,'[1]Plant data'!$A$1:$AB$315,10,0)</f>
        <v>NA</v>
      </c>
      <c r="AC354" t="str">
        <f>VLOOKUP($B354,'[1]Plant data'!$A$1:$AB$315,11,0)</f>
        <v>NA</v>
      </c>
      <c r="AD354" t="str">
        <f>VLOOKUP($B354,'[1]Plant data'!$A$1:$AB$315,12,0)</f>
        <v>NA</v>
      </c>
      <c r="AE354" t="str">
        <f>VLOOKUP($B354,'[1]Plant data'!$A$1:$AB$315,13,0)</f>
        <v>NA</v>
      </c>
      <c r="AF354" t="str">
        <f>VLOOKUP($B354,'[1]Plant data'!$A$1:$AB$315,14,0)</f>
        <v>NA</v>
      </c>
      <c r="AG354" t="str">
        <f>VLOOKUP($B354,'[1]Plant data'!$A$1:$AB$315,15,0)</f>
        <v>NA</v>
      </c>
      <c r="AH354" t="str">
        <f>VLOOKUP($B354,'[1]Plant data'!$A$1:$AB$315,16,0)</f>
        <v>NA</v>
      </c>
      <c r="AI354" t="str">
        <f>VLOOKUP($B354,'[1]Plant data'!$A$1:$AB$315,17,0)</f>
        <v>NA</v>
      </c>
      <c r="AJ354" t="str">
        <f>VLOOKUP($B354,'[1]Plant data'!$A$1:$AB$315,18,0)</f>
        <v>ATLANTIC</v>
      </c>
      <c r="AK354" t="str">
        <f>VLOOKUP($B354,'[1]Plant data'!$A$1:$AB$315,19,0)</f>
        <v>NA</v>
      </c>
      <c r="AL354" t="str">
        <f>VLOOKUP($B354,'[1]Plant data'!$A$1:$AB$315,20,0)</f>
        <v>NA</v>
      </c>
      <c r="AM354" t="str">
        <f>VLOOKUP($B354,'[1]Plant data'!$A$1:$AB$315,21,0)</f>
        <v>NA</v>
      </c>
      <c r="AN354" t="str">
        <f>VLOOKUP($B354,'[1]Plant data'!$A$1:$AB$315,22,0)</f>
        <v>NA</v>
      </c>
      <c r="AO354" t="str">
        <f>VLOOKUP($B354,'[1]Plant data'!$A$1:$AB$315,23,0)</f>
        <v>NA</v>
      </c>
      <c r="AP354" t="str">
        <f>VLOOKUP($B354,'[1]Plant data'!$A$1:$AB$315,24,0)</f>
        <v>NA</v>
      </c>
      <c r="AQ354" t="str">
        <f>VLOOKUP($B354,'[1]Plant data'!$A$1:$AB$315,25,0)</f>
        <v>NA</v>
      </c>
      <c r="AR354" t="str">
        <f>VLOOKUP($B354,'[1]Plant data'!$A$1:$AB$315,26,0)</f>
        <v>NA</v>
      </c>
      <c r="AS354" t="str">
        <f>VLOOKUP($B354,'[1]Plant data'!$A$1:$AB$315,27,0)</f>
        <v>NA</v>
      </c>
      <c r="AT354" t="str">
        <f>VLOOKUP($B354,'[1]Plant data'!$A$1:$AB$315,28,0)</f>
        <v>NA</v>
      </c>
    </row>
    <row r="355" spans="1:46">
      <c r="A355" s="5" t="s">
        <v>43</v>
      </c>
      <c r="B355" s="32" t="s">
        <v>190</v>
      </c>
      <c r="C355">
        <v>6</v>
      </c>
      <c r="D355">
        <v>1.2</v>
      </c>
      <c r="E355" s="8">
        <f>C355/1.2</f>
        <v>5</v>
      </c>
      <c r="F355" t="s">
        <v>19</v>
      </c>
      <c r="G355" s="41">
        <f>(2+5)/2</f>
        <v>3.5</v>
      </c>
      <c r="H355" s="41"/>
      <c r="I355" s="8">
        <f t="shared" ref="I355:I387" si="27">E355*G355</f>
        <v>17.5</v>
      </c>
      <c r="J355" s="25" t="s">
        <v>180</v>
      </c>
      <c r="K355" s="25" t="s">
        <v>181</v>
      </c>
      <c r="L355" t="s">
        <v>22</v>
      </c>
      <c r="M355" t="s">
        <v>30</v>
      </c>
      <c r="N355" s="11">
        <v>32.5</v>
      </c>
      <c r="O355" s="11">
        <v>8.9205555560000001</v>
      </c>
      <c r="P355" t="s">
        <v>24</v>
      </c>
      <c r="Q355" t="s">
        <v>25</v>
      </c>
      <c r="R355" t="s">
        <v>26</v>
      </c>
      <c r="S355" t="s">
        <v>31</v>
      </c>
      <c r="T355" t="str">
        <f>VLOOKUP(B355,'[1]Plant data'!$A$1:$AB$315,2,0)</f>
        <v>Myrtaceae</v>
      </c>
      <c r="U355" t="str">
        <f>VLOOKUP($B355,'[1]Plant data'!$A$1:$AB$315,3,0)</f>
        <v>Myrcia longipes</v>
      </c>
      <c r="V355" t="str">
        <f>VLOOKUP($B355,'[1]Plant data'!$A$1:$AB$315,4,0)</f>
        <v>black</v>
      </c>
      <c r="W355" t="str">
        <f>VLOOKUP($B355,'[1]Plant data'!$A$1:$AB$315,5,0)</f>
        <v>YES</v>
      </c>
      <c r="X355">
        <f>VLOOKUP($B355,'[1]Plant data'!$A$1:$AB$315,6,0)</f>
        <v>4.2</v>
      </c>
      <c r="Y355">
        <f>VLOOKUP($B355,'[1]Plant data'!$A$1:$AB$315,7,0)</f>
        <v>4.3</v>
      </c>
      <c r="Z355">
        <f>VLOOKUP($B355,'[1]Plant data'!$A$1:$AB$315,8,0)</f>
        <v>4.3</v>
      </c>
      <c r="AA355">
        <f>VLOOKUP($B355,'[1]Plant data'!$A$1:$AB$315,9,0)</f>
        <v>4.5</v>
      </c>
      <c r="AB355" t="str">
        <f>VLOOKUP($B355,'[1]Plant data'!$A$1:$AB$315,10,0)</f>
        <v>NA</v>
      </c>
      <c r="AC355" t="str">
        <f>VLOOKUP($B355,'[1]Plant data'!$A$1:$AB$315,11,0)</f>
        <v>NA</v>
      </c>
      <c r="AD355" t="str">
        <f>VLOOKUP($B355,'[1]Plant data'!$A$1:$AB$315,12,0)</f>
        <v>NA</v>
      </c>
      <c r="AE355" t="str">
        <f>VLOOKUP($B355,'[1]Plant data'!$A$1:$AB$315,13,0)</f>
        <v>NA</v>
      </c>
      <c r="AF355" t="str">
        <f>VLOOKUP($B355,'[1]Plant data'!$A$1:$AB$315,14,0)</f>
        <v>NA</v>
      </c>
      <c r="AG355" t="str">
        <f>VLOOKUP($B355,'[1]Plant data'!$A$1:$AB$315,15,0)</f>
        <v>NA</v>
      </c>
      <c r="AH355" t="str">
        <f>VLOOKUP($B355,'[1]Plant data'!$A$1:$AB$315,16,0)</f>
        <v>NA</v>
      </c>
      <c r="AI355" t="str">
        <f>VLOOKUP($B355,'[1]Plant data'!$A$1:$AB$315,17,0)</f>
        <v>NA</v>
      </c>
      <c r="AJ355" t="str">
        <f>VLOOKUP($B355,'[1]Plant data'!$A$1:$AB$315,18,0)</f>
        <v>ATLANTIC</v>
      </c>
      <c r="AK355" t="str">
        <f>VLOOKUP($B355,'[1]Plant data'!$A$1:$AB$315,19,0)</f>
        <v>NA</v>
      </c>
      <c r="AL355" t="str">
        <f>VLOOKUP($B355,'[1]Plant data'!$A$1:$AB$315,20,0)</f>
        <v>NA</v>
      </c>
      <c r="AM355" t="str">
        <f>VLOOKUP($B355,'[1]Plant data'!$A$1:$AB$315,21,0)</f>
        <v>NA</v>
      </c>
      <c r="AN355" t="str">
        <f>VLOOKUP($B355,'[1]Plant data'!$A$1:$AB$315,22,0)</f>
        <v>NA</v>
      </c>
      <c r="AO355" t="str">
        <f>VLOOKUP($B355,'[1]Plant data'!$A$1:$AB$315,23,0)</f>
        <v>NA</v>
      </c>
      <c r="AP355" t="str">
        <f>VLOOKUP($B355,'[1]Plant data'!$A$1:$AB$315,24,0)</f>
        <v>NA</v>
      </c>
      <c r="AQ355" t="str">
        <f>VLOOKUP($B355,'[1]Plant data'!$A$1:$AB$315,25,0)</f>
        <v>NA</v>
      </c>
      <c r="AR355" t="str">
        <f>VLOOKUP($B355,'[1]Plant data'!$A$1:$AB$315,26,0)</f>
        <v>NA</v>
      </c>
      <c r="AS355" t="str">
        <f>VLOOKUP($B355,'[1]Plant data'!$A$1:$AB$315,27,0)</f>
        <v>NA</v>
      </c>
      <c r="AT355" t="str">
        <f>VLOOKUP($B355,'[1]Plant data'!$A$1:$AB$315,28,0)</f>
        <v>NA</v>
      </c>
    </row>
    <row r="356" spans="1:46">
      <c r="A356" s="5" t="s">
        <v>43</v>
      </c>
      <c r="B356" s="32" t="s">
        <v>129</v>
      </c>
      <c r="C356">
        <v>54</v>
      </c>
      <c r="D356">
        <v>60</v>
      </c>
      <c r="E356" s="8">
        <f>C356/60</f>
        <v>0.9</v>
      </c>
      <c r="F356">
        <v>94</v>
      </c>
      <c r="G356" s="9">
        <f>F356/C356</f>
        <v>1.7407407407407407</v>
      </c>
      <c r="H356" s="9"/>
      <c r="I356" s="8">
        <f t="shared" si="27"/>
        <v>1.5666666666666667</v>
      </c>
      <c r="J356" s="25" t="s">
        <v>126</v>
      </c>
      <c r="K356" s="25" t="s">
        <v>127</v>
      </c>
      <c r="L356" t="s">
        <v>22</v>
      </c>
      <c r="M356" t="s">
        <v>30</v>
      </c>
      <c r="N356" s="11">
        <v>32.5</v>
      </c>
      <c r="O356" s="11">
        <v>8.9205555560000001</v>
      </c>
      <c r="P356" t="s">
        <v>24</v>
      </c>
      <c r="Q356" t="s">
        <v>25</v>
      </c>
      <c r="R356" t="s">
        <v>26</v>
      </c>
      <c r="S356" t="s">
        <v>31</v>
      </c>
      <c r="T356" t="str">
        <f>VLOOKUP(B356,'[1]Plant data'!$A$1:$AB$315,2,0)</f>
        <v>Myrtaceae</v>
      </c>
      <c r="U356" t="str">
        <f>VLOOKUP($B356,'[1]Plant data'!$A$1:$AB$315,3,0)</f>
        <v>Plinia trunciflora, Plinia peruviana</v>
      </c>
      <c r="V356" t="str">
        <f>VLOOKUP($B356,'[1]Plant data'!$A$1:$AB$315,4,0)</f>
        <v>black</v>
      </c>
      <c r="W356" t="str">
        <f>VLOOKUP($B356,'[1]Plant data'!$A$1:$AB$315,5,0)</f>
        <v>YES</v>
      </c>
      <c r="X356" t="str">
        <f>VLOOKUP($B356,'[1]Plant data'!$A$1:$AB$315,6,0)</f>
        <v>NA</v>
      </c>
      <c r="Y356" t="str">
        <f>VLOOKUP($B356,'[1]Plant data'!$A$1:$AB$315,7,0)</f>
        <v>NA</v>
      </c>
      <c r="Z356" t="str">
        <f>VLOOKUP($B356,'[1]Plant data'!$A$1:$AB$315,8,0)</f>
        <v>NA</v>
      </c>
      <c r="AA356" t="str">
        <f>VLOOKUP($B356,'[1]Plant data'!$A$1:$AB$315,9,0)</f>
        <v>NA</v>
      </c>
      <c r="AB356" t="str">
        <f>VLOOKUP($B356,'[1]Plant data'!$A$1:$AB$315,10,0)</f>
        <v>NA</v>
      </c>
      <c r="AC356" t="str">
        <f>VLOOKUP($B356,'[1]Plant data'!$A$1:$AB$315,11,0)</f>
        <v>NA</v>
      </c>
      <c r="AD356" t="str">
        <f>VLOOKUP($B356,'[1]Plant data'!$A$1:$AB$315,12,0)</f>
        <v>NA</v>
      </c>
      <c r="AE356" t="str">
        <f>VLOOKUP($B356,'[1]Plant data'!$A$1:$AB$315,13,0)</f>
        <v>NA</v>
      </c>
      <c r="AF356" t="str">
        <f>VLOOKUP($B356,'[1]Plant data'!$A$1:$AB$315,14,0)</f>
        <v>NA</v>
      </c>
      <c r="AG356" t="str">
        <f>VLOOKUP($B356,'[1]Plant data'!$A$1:$AB$315,15,0)</f>
        <v>NA</v>
      </c>
      <c r="AH356" t="str">
        <f>VLOOKUP($B356,'[1]Plant data'!$A$1:$AB$315,16,0)</f>
        <v>NA</v>
      </c>
      <c r="AI356" t="str">
        <f>VLOOKUP($B356,'[1]Plant data'!$A$1:$AB$315,17,0)</f>
        <v>NA</v>
      </c>
      <c r="AJ356" t="str">
        <f>VLOOKUP($B356,'[1]Plant data'!$A$1:$AB$315,18,0)</f>
        <v>NA</v>
      </c>
      <c r="AK356" t="str">
        <f>VLOOKUP($B356,'[1]Plant data'!$A$1:$AB$315,19,0)</f>
        <v>NA</v>
      </c>
      <c r="AL356" t="str">
        <f>VLOOKUP($B356,'[1]Plant data'!$A$1:$AB$315,20,0)</f>
        <v>NA</v>
      </c>
      <c r="AM356" t="str">
        <f>VLOOKUP($B356,'[1]Plant data'!$A$1:$AB$315,21,0)</f>
        <v>NA</v>
      </c>
      <c r="AN356" t="str">
        <f>VLOOKUP($B356,'[1]Plant data'!$A$1:$AB$315,22,0)</f>
        <v>NA</v>
      </c>
      <c r="AO356" t="str">
        <f>VLOOKUP($B356,'[1]Plant data'!$A$1:$AB$315,23,0)</f>
        <v>NA</v>
      </c>
      <c r="AP356" t="str">
        <f>VLOOKUP($B356,'[1]Plant data'!$A$1:$AB$315,24,0)</f>
        <v>NA</v>
      </c>
      <c r="AQ356" t="str">
        <f>VLOOKUP($B356,'[1]Plant data'!$A$1:$AB$315,25,0)</f>
        <v>NA</v>
      </c>
      <c r="AR356" t="str">
        <f>VLOOKUP($B356,'[1]Plant data'!$A$1:$AB$315,26,0)</f>
        <v>NA</v>
      </c>
      <c r="AS356" t="str">
        <f>VLOOKUP($B356,'[1]Plant data'!$A$1:$AB$315,27,0)</f>
        <v>NA</v>
      </c>
      <c r="AT356" t="str">
        <f>VLOOKUP($B356,'[1]Plant data'!$A$1:$AB$315,28,0)</f>
        <v>NA</v>
      </c>
    </row>
    <row r="357" spans="1:46">
      <c r="A357" s="5" t="s">
        <v>46</v>
      </c>
      <c r="B357" s="33" t="s">
        <v>129</v>
      </c>
      <c r="C357">
        <v>2</v>
      </c>
      <c r="D357">
        <v>60</v>
      </c>
      <c r="E357" s="8">
        <f>C357/60</f>
        <v>3.3333333333333333E-2</v>
      </c>
      <c r="F357">
        <v>3</v>
      </c>
      <c r="G357" s="9">
        <f>F357/C357</f>
        <v>1.5</v>
      </c>
      <c r="H357" s="9"/>
      <c r="I357" s="8">
        <f t="shared" si="27"/>
        <v>0.05</v>
      </c>
      <c r="J357" t="s">
        <v>126</v>
      </c>
      <c r="K357" t="s">
        <v>127</v>
      </c>
      <c r="L357" t="s">
        <v>22</v>
      </c>
      <c r="M357" t="s">
        <v>47</v>
      </c>
      <c r="N357" s="11">
        <v>54</v>
      </c>
      <c r="O357" s="11">
        <v>11.14875</v>
      </c>
      <c r="P357" t="s">
        <v>48</v>
      </c>
      <c r="Q357" t="s">
        <v>49</v>
      </c>
      <c r="R357" t="s">
        <v>26</v>
      </c>
      <c r="S357" t="s">
        <v>31</v>
      </c>
      <c r="T357" t="str">
        <f>VLOOKUP(B357,'[1]Plant data'!$A$1:$AB$315,2,0)</f>
        <v>Myrtaceae</v>
      </c>
      <c r="U357" t="str">
        <f>VLOOKUP($B357,'[1]Plant data'!$A$1:$AB$315,3,0)</f>
        <v>Plinia trunciflora, Plinia peruviana</v>
      </c>
      <c r="V357" t="str">
        <f>VLOOKUP($B357,'[1]Plant data'!$A$1:$AB$315,4,0)</f>
        <v>black</v>
      </c>
      <c r="W357" t="str">
        <f>VLOOKUP($B357,'[1]Plant data'!$A$1:$AB$315,5,0)</f>
        <v>YES</v>
      </c>
      <c r="X357" t="str">
        <f>VLOOKUP($B357,'[1]Plant data'!$A$1:$AB$315,6,0)</f>
        <v>NA</v>
      </c>
      <c r="Y357" t="str">
        <f>VLOOKUP($B357,'[1]Plant data'!$A$1:$AB$315,7,0)</f>
        <v>NA</v>
      </c>
      <c r="Z357" t="str">
        <f>VLOOKUP($B357,'[1]Plant data'!$A$1:$AB$315,8,0)</f>
        <v>NA</v>
      </c>
      <c r="AA357" t="str">
        <f>VLOOKUP($B357,'[1]Plant data'!$A$1:$AB$315,9,0)</f>
        <v>NA</v>
      </c>
      <c r="AB357" t="str">
        <f>VLOOKUP($B357,'[1]Plant data'!$A$1:$AB$315,10,0)</f>
        <v>NA</v>
      </c>
      <c r="AC357" t="str">
        <f>VLOOKUP($B357,'[1]Plant data'!$A$1:$AB$315,11,0)</f>
        <v>NA</v>
      </c>
      <c r="AD357" t="str">
        <f>VLOOKUP($B357,'[1]Plant data'!$A$1:$AB$315,12,0)</f>
        <v>NA</v>
      </c>
      <c r="AE357" t="str">
        <f>VLOOKUP($B357,'[1]Plant data'!$A$1:$AB$315,13,0)</f>
        <v>NA</v>
      </c>
      <c r="AF357" t="str">
        <f>VLOOKUP($B357,'[1]Plant data'!$A$1:$AB$315,14,0)</f>
        <v>NA</v>
      </c>
      <c r="AG357" t="str">
        <f>VLOOKUP($B357,'[1]Plant data'!$A$1:$AB$315,15,0)</f>
        <v>NA</v>
      </c>
      <c r="AH357" t="str">
        <f>VLOOKUP($B357,'[1]Plant data'!$A$1:$AB$315,16,0)</f>
        <v>NA</v>
      </c>
      <c r="AI357" t="str">
        <f>VLOOKUP($B357,'[1]Plant data'!$A$1:$AB$315,17,0)</f>
        <v>NA</v>
      </c>
      <c r="AJ357" t="str">
        <f>VLOOKUP($B357,'[1]Plant data'!$A$1:$AB$315,18,0)</f>
        <v>NA</v>
      </c>
      <c r="AK357" t="str">
        <f>VLOOKUP($B357,'[1]Plant data'!$A$1:$AB$315,19,0)</f>
        <v>NA</v>
      </c>
      <c r="AL357" t="str">
        <f>VLOOKUP($B357,'[1]Plant data'!$A$1:$AB$315,20,0)</f>
        <v>NA</v>
      </c>
      <c r="AM357" t="str">
        <f>VLOOKUP($B357,'[1]Plant data'!$A$1:$AB$315,21,0)</f>
        <v>NA</v>
      </c>
      <c r="AN357" t="str">
        <f>VLOOKUP($B357,'[1]Plant data'!$A$1:$AB$315,22,0)</f>
        <v>NA</v>
      </c>
      <c r="AO357" t="str">
        <f>VLOOKUP($B357,'[1]Plant data'!$A$1:$AB$315,23,0)</f>
        <v>NA</v>
      </c>
      <c r="AP357" t="str">
        <f>VLOOKUP($B357,'[1]Plant data'!$A$1:$AB$315,24,0)</f>
        <v>NA</v>
      </c>
      <c r="AQ357" t="str">
        <f>VLOOKUP($B357,'[1]Plant data'!$A$1:$AB$315,25,0)</f>
        <v>NA</v>
      </c>
      <c r="AR357" t="str">
        <f>VLOOKUP($B357,'[1]Plant data'!$A$1:$AB$315,26,0)</f>
        <v>NA</v>
      </c>
      <c r="AS357" t="str">
        <f>VLOOKUP($B357,'[1]Plant data'!$A$1:$AB$315,27,0)</f>
        <v>NA</v>
      </c>
      <c r="AT357" t="str">
        <f>VLOOKUP($B357,'[1]Plant data'!$A$1:$AB$315,28,0)</f>
        <v>NA</v>
      </c>
    </row>
    <row r="358" spans="1:46">
      <c r="A358" s="5" t="s">
        <v>50</v>
      </c>
      <c r="B358" s="32" t="s">
        <v>129</v>
      </c>
      <c r="C358">
        <v>1</v>
      </c>
      <c r="D358" s="25">
        <v>60</v>
      </c>
      <c r="E358" s="8">
        <f>C358/60</f>
        <v>1.6666666666666666E-2</v>
      </c>
      <c r="F358">
        <v>1</v>
      </c>
      <c r="G358" s="9">
        <v>1</v>
      </c>
      <c r="H358" s="9"/>
      <c r="I358" s="8">
        <f t="shared" si="27"/>
        <v>1.6666666666666666E-2</v>
      </c>
      <c r="J358" t="s">
        <v>126</v>
      </c>
      <c r="K358" t="s">
        <v>127</v>
      </c>
      <c r="L358" t="s">
        <v>22</v>
      </c>
      <c r="M358" t="s">
        <v>47</v>
      </c>
      <c r="N358" s="11">
        <v>69.5</v>
      </c>
      <c r="O358" s="11">
        <v>13.253214290000001</v>
      </c>
      <c r="P358" t="s">
        <v>48</v>
      </c>
      <c r="Q358" t="s">
        <v>25</v>
      </c>
      <c r="R358" t="s">
        <v>26</v>
      </c>
      <c r="S358" t="s">
        <v>31</v>
      </c>
      <c r="T358" t="str">
        <f>VLOOKUP(B358,'[1]Plant data'!$A$1:$AB$315,2,0)</f>
        <v>Myrtaceae</v>
      </c>
      <c r="U358" t="str">
        <f>VLOOKUP($B358,'[1]Plant data'!$A$1:$AB$315,3,0)</f>
        <v>Plinia trunciflora, Plinia peruviana</v>
      </c>
      <c r="V358" t="str">
        <f>VLOOKUP($B358,'[1]Plant data'!$A$1:$AB$315,4,0)</f>
        <v>black</v>
      </c>
      <c r="W358" t="str">
        <f>VLOOKUP($B358,'[1]Plant data'!$A$1:$AB$315,5,0)</f>
        <v>YES</v>
      </c>
      <c r="X358" t="str">
        <f>VLOOKUP($B358,'[1]Plant data'!$A$1:$AB$315,6,0)</f>
        <v>NA</v>
      </c>
      <c r="Y358" t="str">
        <f>VLOOKUP($B358,'[1]Plant data'!$A$1:$AB$315,7,0)</f>
        <v>NA</v>
      </c>
      <c r="Z358" t="str">
        <f>VLOOKUP($B358,'[1]Plant data'!$A$1:$AB$315,8,0)</f>
        <v>NA</v>
      </c>
      <c r="AA358" t="str">
        <f>VLOOKUP($B358,'[1]Plant data'!$A$1:$AB$315,9,0)</f>
        <v>NA</v>
      </c>
      <c r="AB358" t="str">
        <f>VLOOKUP($B358,'[1]Plant data'!$A$1:$AB$315,10,0)</f>
        <v>NA</v>
      </c>
      <c r="AC358" t="str">
        <f>VLOOKUP($B358,'[1]Plant data'!$A$1:$AB$315,11,0)</f>
        <v>NA</v>
      </c>
      <c r="AD358" t="str">
        <f>VLOOKUP($B358,'[1]Plant data'!$A$1:$AB$315,12,0)</f>
        <v>NA</v>
      </c>
      <c r="AE358" t="str">
        <f>VLOOKUP($B358,'[1]Plant data'!$A$1:$AB$315,13,0)</f>
        <v>NA</v>
      </c>
      <c r="AF358" t="str">
        <f>VLOOKUP($B358,'[1]Plant data'!$A$1:$AB$315,14,0)</f>
        <v>NA</v>
      </c>
      <c r="AG358" t="str">
        <f>VLOOKUP($B358,'[1]Plant data'!$A$1:$AB$315,15,0)</f>
        <v>NA</v>
      </c>
      <c r="AH358" t="str">
        <f>VLOOKUP($B358,'[1]Plant data'!$A$1:$AB$315,16,0)</f>
        <v>NA</v>
      </c>
      <c r="AI358" t="str">
        <f>VLOOKUP($B358,'[1]Plant data'!$A$1:$AB$315,17,0)</f>
        <v>NA</v>
      </c>
      <c r="AJ358" t="str">
        <f>VLOOKUP($B358,'[1]Plant data'!$A$1:$AB$315,18,0)</f>
        <v>NA</v>
      </c>
      <c r="AK358" t="str">
        <f>VLOOKUP($B358,'[1]Plant data'!$A$1:$AB$315,19,0)</f>
        <v>NA</v>
      </c>
      <c r="AL358" t="str">
        <f>VLOOKUP($B358,'[1]Plant data'!$A$1:$AB$315,20,0)</f>
        <v>NA</v>
      </c>
      <c r="AM358" t="str">
        <f>VLOOKUP($B358,'[1]Plant data'!$A$1:$AB$315,21,0)</f>
        <v>NA</v>
      </c>
      <c r="AN358" t="str">
        <f>VLOOKUP($B358,'[1]Plant data'!$A$1:$AB$315,22,0)</f>
        <v>NA</v>
      </c>
      <c r="AO358" t="str">
        <f>VLOOKUP($B358,'[1]Plant data'!$A$1:$AB$315,23,0)</f>
        <v>NA</v>
      </c>
      <c r="AP358" t="str">
        <f>VLOOKUP($B358,'[1]Plant data'!$A$1:$AB$315,24,0)</f>
        <v>NA</v>
      </c>
      <c r="AQ358" t="str">
        <f>VLOOKUP($B358,'[1]Plant data'!$A$1:$AB$315,25,0)</f>
        <v>NA</v>
      </c>
      <c r="AR358" t="str">
        <f>VLOOKUP($B358,'[1]Plant data'!$A$1:$AB$315,26,0)</f>
        <v>NA</v>
      </c>
      <c r="AS358" t="str">
        <f>VLOOKUP($B358,'[1]Plant data'!$A$1:$AB$315,27,0)</f>
        <v>NA</v>
      </c>
      <c r="AT358" t="str">
        <f>VLOOKUP($B358,'[1]Plant data'!$A$1:$AB$315,28,0)</f>
        <v>NA</v>
      </c>
    </row>
    <row r="359" spans="1:46">
      <c r="A359" s="5" t="s">
        <v>32</v>
      </c>
      <c r="B359" s="33" t="s">
        <v>39</v>
      </c>
      <c r="C359" s="7">
        <v>23</v>
      </c>
      <c r="D359" s="7">
        <v>22.5</v>
      </c>
      <c r="E359" s="8">
        <f>C359/D359</f>
        <v>1.0222222222222221</v>
      </c>
      <c r="F359" t="s">
        <v>19</v>
      </c>
      <c r="G359" s="41">
        <v>3.7083333333333339</v>
      </c>
      <c r="H359" s="41"/>
      <c r="I359" s="8">
        <f t="shared" si="27"/>
        <v>3.7907407407407412</v>
      </c>
      <c r="J359" s="10" t="s">
        <v>20</v>
      </c>
      <c r="K359" t="s">
        <v>21</v>
      </c>
      <c r="L359" t="s">
        <v>22</v>
      </c>
      <c r="M359" t="s">
        <v>30</v>
      </c>
      <c r="N359" s="11">
        <v>18</v>
      </c>
      <c r="O359" s="11">
        <v>5.1684999999999999</v>
      </c>
      <c r="P359" t="s">
        <v>24</v>
      </c>
      <c r="Q359" s="13" t="s">
        <v>25</v>
      </c>
      <c r="R359" s="13" t="s">
        <v>26</v>
      </c>
      <c r="S359" s="13" t="s">
        <v>31</v>
      </c>
      <c r="T359" t="str">
        <f>VLOOKUP(B359,'[1]Plant data'!$A$1:$AB$315,2,0)</f>
        <v>Primulaceae</v>
      </c>
      <c r="U359" t="str">
        <f>VLOOKUP($B359,'[1]Plant data'!$A$1:$AB$315,3,0)</f>
        <v>Rapanea ferruginea, Myrsine ferruginea</v>
      </c>
      <c r="V359" t="str">
        <f>VLOOKUP($B359,'[1]Plant data'!$A$1:$AB$315,4,0)</f>
        <v>black</v>
      </c>
      <c r="W359" t="str">
        <f>VLOOKUP($B359,'[1]Plant data'!$A$1:$AB$315,5,0)</f>
        <v>YES</v>
      </c>
      <c r="X359">
        <f>VLOOKUP($B359,'[1]Plant data'!$A$1:$AB$315,6,0)</f>
        <v>3.5175000000000001</v>
      </c>
      <c r="Y359">
        <f>VLOOKUP($B359,'[1]Plant data'!$A$1:$AB$315,7,0)</f>
        <v>3.7733333333333334</v>
      </c>
      <c r="Z359">
        <f>VLOOKUP($B359,'[1]Plant data'!$A$1:$AB$315,8,0)</f>
        <v>2.96</v>
      </c>
      <c r="AA359">
        <f>VLOOKUP($B359,'[1]Plant data'!$A$1:$AB$315,9,0)</f>
        <v>2.9909999999999997</v>
      </c>
      <c r="AB359">
        <f>VLOOKUP($B359,'[1]Plant data'!$A$1:$AB$315,10,0)</f>
        <v>2.53E-2</v>
      </c>
      <c r="AC359" t="str">
        <f>VLOOKUP($B359,'[1]Plant data'!$A$1:$AB$315,11,0)</f>
        <v>NA</v>
      </c>
      <c r="AD359">
        <f>VLOOKUP($B359,'[1]Plant data'!$A$1:$AB$315,12,0)</f>
        <v>1.3000000000000001E-2</v>
      </c>
      <c r="AE359">
        <f>VLOOKUP($B359,'[1]Plant data'!$A$1:$AB$315,13,0)</f>
        <v>1.3000000000000001E-2</v>
      </c>
      <c r="AF359">
        <f>VLOOKUP($B359,'[1]Plant data'!$A$1:$AB$315,14,0)</f>
        <v>1.2299999999999997E-2</v>
      </c>
      <c r="AG359">
        <f>VLOOKUP($B359,'[1]Plant data'!$A$1:$AB$315,15,0)</f>
        <v>1</v>
      </c>
      <c r="AH359" t="str">
        <f>VLOOKUP($B359,'[1]Plant data'!$A$1:$AB$315,16,0)</f>
        <v>NA</v>
      </c>
      <c r="AI359">
        <f>VLOOKUP($B359,'[1]Plant data'!$A$1:$AB$315,17,0)</f>
        <v>1.0569105691056915</v>
      </c>
      <c r="AJ359" t="str">
        <f>VLOOKUP($B359,'[1]Plant data'!$A$1:$AB$315,18,0)</f>
        <v>Erica&amp;Wesley, Kindel 1996, Alves 2008, Correia 1997</v>
      </c>
      <c r="AK359" t="str">
        <f>VLOOKUP($B359,'[1]Plant data'!$A$1:$AB$315,19,0)</f>
        <v>NA</v>
      </c>
      <c r="AL359">
        <f>VLOOKUP($B359,'[1]Plant data'!$A$1:$AB$315,20,0)</f>
        <v>0.50800000000000001</v>
      </c>
      <c r="AM359" t="str">
        <f>VLOOKUP($B359,'[1]Plant data'!$A$1:$AB$315,21,0)</f>
        <v>NA</v>
      </c>
      <c r="AN359">
        <f>VLOOKUP($B359,'[1]Plant data'!$A$1:$AB$315,22,0)</f>
        <v>1.2E-2</v>
      </c>
      <c r="AO359">
        <f>VLOOKUP($B359,'[1]Plant data'!$A$1:$AB$315,23,0)</f>
        <v>4.2000000000000003E-2</v>
      </c>
      <c r="AP359" t="str">
        <f>VLOOKUP($B359,'[1]Plant data'!$A$1:$AB$315,24,0)</f>
        <v>NA</v>
      </c>
      <c r="AQ359" t="str">
        <f>VLOOKUP($B359,'[1]Plant data'!$A$1:$AB$315,25,0)</f>
        <v>NA</v>
      </c>
      <c r="AR359" t="str">
        <f>VLOOKUP($B359,'[1]Plant data'!$A$1:$AB$315,26,0)</f>
        <v>NA</v>
      </c>
      <c r="AS359" t="str">
        <f>VLOOKUP($B359,'[1]Plant data'!$A$1:$AB$315,27,0)</f>
        <v>NA</v>
      </c>
      <c r="AT359" t="str">
        <f>VLOOKUP($B359,'[1]Plant data'!$A$1:$AB$315,28,0)</f>
        <v>Erica &amp; Wesley, unpubl.</v>
      </c>
    </row>
    <row r="360" spans="1:46">
      <c r="A360" s="5" t="s">
        <v>43</v>
      </c>
      <c r="B360" s="33" t="s">
        <v>39</v>
      </c>
      <c r="C360" s="7">
        <v>2</v>
      </c>
      <c r="D360" s="7">
        <v>22.5</v>
      </c>
      <c r="E360" s="8">
        <f>C360/D360</f>
        <v>8.8888888888888892E-2</v>
      </c>
      <c r="F360" t="s">
        <v>19</v>
      </c>
      <c r="G360" s="41">
        <v>3.1632653061224487</v>
      </c>
      <c r="H360" s="41"/>
      <c r="I360" s="8">
        <f t="shared" si="27"/>
        <v>0.28117913832199543</v>
      </c>
      <c r="J360" s="10" t="s">
        <v>20</v>
      </c>
      <c r="K360" t="s">
        <v>21</v>
      </c>
      <c r="L360" t="s">
        <v>22</v>
      </c>
      <c r="M360" t="s">
        <v>30</v>
      </c>
      <c r="N360" s="11">
        <v>32.5</v>
      </c>
      <c r="O360" s="11">
        <v>8.9205555560000001</v>
      </c>
      <c r="P360" t="s">
        <v>24</v>
      </c>
      <c r="Q360" t="s">
        <v>25</v>
      </c>
      <c r="R360" t="s">
        <v>26</v>
      </c>
      <c r="S360" t="s">
        <v>31</v>
      </c>
      <c r="T360" t="str">
        <f>VLOOKUP(B360,'[1]Plant data'!$A$1:$AB$315,2,0)</f>
        <v>Primulaceae</v>
      </c>
      <c r="U360" t="str">
        <f>VLOOKUP($B360,'[1]Plant data'!$A$1:$AB$315,3,0)</f>
        <v>Rapanea ferruginea, Myrsine ferruginea</v>
      </c>
      <c r="V360" t="str">
        <f>VLOOKUP($B360,'[1]Plant data'!$A$1:$AB$315,4,0)</f>
        <v>black</v>
      </c>
      <c r="W360" t="str">
        <f>VLOOKUP($B360,'[1]Plant data'!$A$1:$AB$315,5,0)</f>
        <v>YES</v>
      </c>
      <c r="X360">
        <f>VLOOKUP($B360,'[1]Plant data'!$A$1:$AB$315,6,0)</f>
        <v>3.5175000000000001</v>
      </c>
      <c r="Y360">
        <f>VLOOKUP($B360,'[1]Plant data'!$A$1:$AB$315,7,0)</f>
        <v>3.7733333333333334</v>
      </c>
      <c r="Z360">
        <f>VLOOKUP($B360,'[1]Plant data'!$A$1:$AB$315,8,0)</f>
        <v>2.96</v>
      </c>
      <c r="AA360">
        <f>VLOOKUP($B360,'[1]Plant data'!$A$1:$AB$315,9,0)</f>
        <v>2.9909999999999997</v>
      </c>
      <c r="AB360">
        <f>VLOOKUP($B360,'[1]Plant data'!$A$1:$AB$315,10,0)</f>
        <v>2.53E-2</v>
      </c>
      <c r="AC360" t="str">
        <f>VLOOKUP($B360,'[1]Plant data'!$A$1:$AB$315,11,0)</f>
        <v>NA</v>
      </c>
      <c r="AD360">
        <f>VLOOKUP($B360,'[1]Plant data'!$A$1:$AB$315,12,0)</f>
        <v>1.3000000000000001E-2</v>
      </c>
      <c r="AE360">
        <f>VLOOKUP($B360,'[1]Plant data'!$A$1:$AB$315,13,0)</f>
        <v>1.3000000000000001E-2</v>
      </c>
      <c r="AF360">
        <f>VLOOKUP($B360,'[1]Plant data'!$A$1:$AB$315,14,0)</f>
        <v>1.2299999999999997E-2</v>
      </c>
      <c r="AG360">
        <f>VLOOKUP($B360,'[1]Plant data'!$A$1:$AB$315,15,0)</f>
        <v>1</v>
      </c>
      <c r="AH360" t="str">
        <f>VLOOKUP($B360,'[1]Plant data'!$A$1:$AB$315,16,0)</f>
        <v>NA</v>
      </c>
      <c r="AI360">
        <f>VLOOKUP($B360,'[1]Plant data'!$A$1:$AB$315,17,0)</f>
        <v>1.0569105691056915</v>
      </c>
      <c r="AJ360" t="str">
        <f>VLOOKUP($B360,'[1]Plant data'!$A$1:$AB$315,18,0)</f>
        <v>Erica&amp;Wesley, Kindel 1996, Alves 2008, Correia 1997</v>
      </c>
      <c r="AK360" t="str">
        <f>VLOOKUP($B360,'[1]Plant data'!$A$1:$AB$315,19,0)</f>
        <v>NA</v>
      </c>
      <c r="AL360">
        <f>VLOOKUP($B360,'[1]Plant data'!$A$1:$AB$315,20,0)</f>
        <v>0.50800000000000001</v>
      </c>
      <c r="AM360" t="str">
        <f>VLOOKUP($B360,'[1]Plant data'!$A$1:$AB$315,21,0)</f>
        <v>NA</v>
      </c>
      <c r="AN360">
        <f>VLOOKUP($B360,'[1]Plant data'!$A$1:$AB$315,22,0)</f>
        <v>1.2E-2</v>
      </c>
      <c r="AO360">
        <f>VLOOKUP($B360,'[1]Plant data'!$A$1:$AB$315,23,0)</f>
        <v>4.2000000000000003E-2</v>
      </c>
      <c r="AP360" t="str">
        <f>VLOOKUP($B360,'[1]Plant data'!$A$1:$AB$315,24,0)</f>
        <v>NA</v>
      </c>
      <c r="AQ360" t="str">
        <f>VLOOKUP($B360,'[1]Plant data'!$A$1:$AB$315,25,0)</f>
        <v>NA</v>
      </c>
      <c r="AR360" t="str">
        <f>VLOOKUP($B360,'[1]Plant data'!$A$1:$AB$315,26,0)</f>
        <v>NA</v>
      </c>
      <c r="AS360" t="str">
        <f>VLOOKUP($B360,'[1]Plant data'!$A$1:$AB$315,27,0)</f>
        <v>NA</v>
      </c>
      <c r="AT360" t="str">
        <f>VLOOKUP($B360,'[1]Plant data'!$A$1:$AB$315,28,0)</f>
        <v>Erica &amp; Wesley, unpubl.</v>
      </c>
    </row>
    <row r="361" spans="1:46">
      <c r="A361" s="5" t="s">
        <v>46</v>
      </c>
      <c r="B361" s="33" t="s">
        <v>39</v>
      </c>
      <c r="C361" s="7">
        <v>2</v>
      </c>
      <c r="D361" s="7">
        <v>22.5</v>
      </c>
      <c r="E361" s="8">
        <f>C361/D361</f>
        <v>8.8888888888888892E-2</v>
      </c>
      <c r="F361" t="s">
        <v>19</v>
      </c>
      <c r="G361" s="41">
        <v>14.303571428571429</v>
      </c>
      <c r="H361" s="41"/>
      <c r="I361" s="8">
        <f t="shared" si="27"/>
        <v>1.2714285714285716</v>
      </c>
      <c r="J361" s="10" t="s">
        <v>20</v>
      </c>
      <c r="K361" t="s">
        <v>21</v>
      </c>
      <c r="L361" t="s">
        <v>22</v>
      </c>
      <c r="M361" t="s">
        <v>47</v>
      </c>
      <c r="N361" s="11">
        <v>54</v>
      </c>
      <c r="O361" s="11">
        <v>11.14875</v>
      </c>
      <c r="P361" t="s">
        <v>48</v>
      </c>
      <c r="Q361" t="s">
        <v>49</v>
      </c>
      <c r="R361" t="s">
        <v>26</v>
      </c>
      <c r="S361" t="s">
        <v>31</v>
      </c>
      <c r="T361" t="str">
        <f>VLOOKUP(B361,'[1]Plant data'!$A$1:$AB$315,2,0)</f>
        <v>Primulaceae</v>
      </c>
      <c r="U361" t="str">
        <f>VLOOKUP($B361,'[1]Plant data'!$A$1:$AB$315,3,0)</f>
        <v>Rapanea ferruginea, Myrsine ferruginea</v>
      </c>
      <c r="V361" t="str">
        <f>VLOOKUP($B361,'[1]Plant data'!$A$1:$AB$315,4,0)</f>
        <v>black</v>
      </c>
      <c r="W361" t="str">
        <f>VLOOKUP($B361,'[1]Plant data'!$A$1:$AB$315,5,0)</f>
        <v>YES</v>
      </c>
      <c r="X361">
        <f>VLOOKUP($B361,'[1]Plant data'!$A$1:$AB$315,6,0)</f>
        <v>3.5175000000000001</v>
      </c>
      <c r="Y361">
        <f>VLOOKUP($B361,'[1]Plant data'!$A$1:$AB$315,7,0)</f>
        <v>3.7733333333333334</v>
      </c>
      <c r="Z361">
        <f>VLOOKUP($B361,'[1]Plant data'!$A$1:$AB$315,8,0)</f>
        <v>2.96</v>
      </c>
      <c r="AA361">
        <f>VLOOKUP($B361,'[1]Plant data'!$A$1:$AB$315,9,0)</f>
        <v>2.9909999999999997</v>
      </c>
      <c r="AB361">
        <f>VLOOKUP($B361,'[1]Plant data'!$A$1:$AB$315,10,0)</f>
        <v>2.53E-2</v>
      </c>
      <c r="AC361" t="str">
        <f>VLOOKUP($B361,'[1]Plant data'!$A$1:$AB$315,11,0)</f>
        <v>NA</v>
      </c>
      <c r="AD361">
        <f>VLOOKUP($B361,'[1]Plant data'!$A$1:$AB$315,12,0)</f>
        <v>1.3000000000000001E-2</v>
      </c>
      <c r="AE361">
        <f>VLOOKUP($B361,'[1]Plant data'!$A$1:$AB$315,13,0)</f>
        <v>1.3000000000000001E-2</v>
      </c>
      <c r="AF361">
        <f>VLOOKUP($B361,'[1]Plant data'!$A$1:$AB$315,14,0)</f>
        <v>1.2299999999999997E-2</v>
      </c>
      <c r="AG361">
        <f>VLOOKUP($B361,'[1]Plant data'!$A$1:$AB$315,15,0)</f>
        <v>1</v>
      </c>
      <c r="AH361" t="str">
        <f>VLOOKUP($B361,'[1]Plant data'!$A$1:$AB$315,16,0)</f>
        <v>NA</v>
      </c>
      <c r="AI361">
        <f>VLOOKUP($B361,'[1]Plant data'!$A$1:$AB$315,17,0)</f>
        <v>1.0569105691056915</v>
      </c>
      <c r="AJ361" t="str">
        <f>VLOOKUP($B361,'[1]Plant data'!$A$1:$AB$315,18,0)</f>
        <v>Erica&amp;Wesley, Kindel 1996, Alves 2008, Correia 1997</v>
      </c>
      <c r="AK361" t="str">
        <f>VLOOKUP($B361,'[1]Plant data'!$A$1:$AB$315,19,0)</f>
        <v>NA</v>
      </c>
      <c r="AL361">
        <f>VLOOKUP($B361,'[1]Plant data'!$A$1:$AB$315,20,0)</f>
        <v>0.50800000000000001</v>
      </c>
      <c r="AM361" t="str">
        <f>VLOOKUP($B361,'[1]Plant data'!$A$1:$AB$315,21,0)</f>
        <v>NA</v>
      </c>
      <c r="AN361">
        <f>VLOOKUP($B361,'[1]Plant data'!$A$1:$AB$315,22,0)</f>
        <v>1.2E-2</v>
      </c>
      <c r="AO361">
        <f>VLOOKUP($B361,'[1]Plant data'!$A$1:$AB$315,23,0)</f>
        <v>4.2000000000000003E-2</v>
      </c>
      <c r="AP361" t="str">
        <f>VLOOKUP($B361,'[1]Plant data'!$A$1:$AB$315,24,0)</f>
        <v>NA</v>
      </c>
      <c r="AQ361" t="str">
        <f>VLOOKUP($B361,'[1]Plant data'!$A$1:$AB$315,25,0)</f>
        <v>NA</v>
      </c>
      <c r="AR361" t="str">
        <f>VLOOKUP($B361,'[1]Plant data'!$A$1:$AB$315,26,0)</f>
        <v>NA</v>
      </c>
      <c r="AS361" t="str">
        <f>VLOOKUP($B361,'[1]Plant data'!$A$1:$AB$315,27,0)</f>
        <v>NA</v>
      </c>
      <c r="AT361" t="str">
        <f>VLOOKUP($B361,'[1]Plant data'!$A$1:$AB$315,28,0)</f>
        <v>Erica &amp; Wesley, unpubl.</v>
      </c>
    </row>
    <row r="362" spans="1:46">
      <c r="A362" s="5" t="s">
        <v>50</v>
      </c>
      <c r="B362" s="33" t="s">
        <v>39</v>
      </c>
      <c r="C362" s="7">
        <v>4</v>
      </c>
      <c r="D362" s="7">
        <v>22.5</v>
      </c>
      <c r="E362" s="8">
        <f>C362/D362</f>
        <v>0.17777777777777778</v>
      </c>
      <c r="F362" t="s">
        <v>19</v>
      </c>
      <c r="G362" s="41">
        <v>23.785454545454545</v>
      </c>
      <c r="H362" s="41"/>
      <c r="I362" s="8">
        <f t="shared" si="27"/>
        <v>4.2285252525252526</v>
      </c>
      <c r="J362" s="10" t="s">
        <v>20</v>
      </c>
      <c r="K362" t="s">
        <v>21</v>
      </c>
      <c r="L362" t="s">
        <v>22</v>
      </c>
      <c r="M362" t="s">
        <v>47</v>
      </c>
      <c r="N362" s="11">
        <v>69.5</v>
      </c>
      <c r="O362" s="11">
        <v>13.253214290000001</v>
      </c>
      <c r="P362" t="s">
        <v>48</v>
      </c>
      <c r="Q362" t="s">
        <v>25</v>
      </c>
      <c r="R362" t="s">
        <v>26</v>
      </c>
      <c r="S362" t="s">
        <v>31</v>
      </c>
      <c r="T362" t="str">
        <f>VLOOKUP(B362,'[1]Plant data'!$A$1:$AB$315,2,0)</f>
        <v>Primulaceae</v>
      </c>
      <c r="U362" t="str">
        <f>VLOOKUP($B362,'[1]Plant data'!$A$1:$AB$315,3,0)</f>
        <v>Rapanea ferruginea, Myrsine ferruginea</v>
      </c>
      <c r="V362" t="str">
        <f>VLOOKUP($B362,'[1]Plant data'!$A$1:$AB$315,4,0)</f>
        <v>black</v>
      </c>
      <c r="W362" t="str">
        <f>VLOOKUP($B362,'[1]Plant data'!$A$1:$AB$315,5,0)</f>
        <v>YES</v>
      </c>
      <c r="X362">
        <f>VLOOKUP($B362,'[1]Plant data'!$A$1:$AB$315,6,0)</f>
        <v>3.5175000000000001</v>
      </c>
      <c r="Y362">
        <f>VLOOKUP($B362,'[1]Plant data'!$A$1:$AB$315,7,0)</f>
        <v>3.7733333333333334</v>
      </c>
      <c r="Z362">
        <f>VLOOKUP($B362,'[1]Plant data'!$A$1:$AB$315,8,0)</f>
        <v>2.96</v>
      </c>
      <c r="AA362">
        <f>VLOOKUP($B362,'[1]Plant data'!$A$1:$AB$315,9,0)</f>
        <v>2.9909999999999997</v>
      </c>
      <c r="AB362">
        <f>VLOOKUP($B362,'[1]Plant data'!$A$1:$AB$315,10,0)</f>
        <v>2.53E-2</v>
      </c>
      <c r="AC362" t="str">
        <f>VLOOKUP($B362,'[1]Plant data'!$A$1:$AB$315,11,0)</f>
        <v>NA</v>
      </c>
      <c r="AD362">
        <f>VLOOKUP($B362,'[1]Plant data'!$A$1:$AB$315,12,0)</f>
        <v>1.3000000000000001E-2</v>
      </c>
      <c r="AE362">
        <f>VLOOKUP($B362,'[1]Plant data'!$A$1:$AB$315,13,0)</f>
        <v>1.3000000000000001E-2</v>
      </c>
      <c r="AF362">
        <f>VLOOKUP($B362,'[1]Plant data'!$A$1:$AB$315,14,0)</f>
        <v>1.2299999999999997E-2</v>
      </c>
      <c r="AG362">
        <f>VLOOKUP($B362,'[1]Plant data'!$A$1:$AB$315,15,0)</f>
        <v>1</v>
      </c>
      <c r="AH362" t="str">
        <f>VLOOKUP($B362,'[1]Plant data'!$A$1:$AB$315,16,0)</f>
        <v>NA</v>
      </c>
      <c r="AI362">
        <f>VLOOKUP($B362,'[1]Plant data'!$A$1:$AB$315,17,0)</f>
        <v>1.0569105691056915</v>
      </c>
      <c r="AJ362" t="str">
        <f>VLOOKUP($B362,'[1]Plant data'!$A$1:$AB$315,18,0)</f>
        <v>Erica&amp;Wesley, Kindel 1996, Alves 2008, Correia 1997</v>
      </c>
      <c r="AK362" t="str">
        <f>VLOOKUP($B362,'[1]Plant data'!$A$1:$AB$315,19,0)</f>
        <v>NA</v>
      </c>
      <c r="AL362">
        <f>VLOOKUP($B362,'[1]Plant data'!$A$1:$AB$315,20,0)</f>
        <v>0.50800000000000001</v>
      </c>
      <c r="AM362" t="str">
        <f>VLOOKUP($B362,'[1]Plant data'!$A$1:$AB$315,21,0)</f>
        <v>NA</v>
      </c>
      <c r="AN362">
        <f>VLOOKUP($B362,'[1]Plant data'!$A$1:$AB$315,22,0)</f>
        <v>1.2E-2</v>
      </c>
      <c r="AO362">
        <f>VLOOKUP($B362,'[1]Plant data'!$A$1:$AB$315,23,0)</f>
        <v>4.2000000000000003E-2</v>
      </c>
      <c r="AP362" t="str">
        <f>VLOOKUP($B362,'[1]Plant data'!$A$1:$AB$315,24,0)</f>
        <v>NA</v>
      </c>
      <c r="AQ362" t="str">
        <f>VLOOKUP($B362,'[1]Plant data'!$A$1:$AB$315,25,0)</f>
        <v>NA</v>
      </c>
      <c r="AR362" t="str">
        <f>VLOOKUP($B362,'[1]Plant data'!$A$1:$AB$315,26,0)</f>
        <v>NA</v>
      </c>
      <c r="AS362" t="str">
        <f>VLOOKUP($B362,'[1]Plant data'!$A$1:$AB$315,27,0)</f>
        <v>NA</v>
      </c>
      <c r="AT362" t="str">
        <f>VLOOKUP($B362,'[1]Plant data'!$A$1:$AB$315,28,0)</f>
        <v>Erica &amp; Wesley, unpubl.</v>
      </c>
    </row>
    <row r="363" spans="1:46">
      <c r="A363" s="20" t="s">
        <v>28</v>
      </c>
      <c r="B363" s="31" t="s">
        <v>39</v>
      </c>
      <c r="C363" s="16">
        <v>1</v>
      </c>
      <c r="D363" s="16">
        <v>15</v>
      </c>
      <c r="E363" s="8">
        <f>C363/D363</f>
        <v>6.6666666666666666E-2</v>
      </c>
      <c r="F363" s="16" t="s">
        <v>19</v>
      </c>
      <c r="G363" s="19">
        <v>2</v>
      </c>
      <c r="H363" s="19"/>
      <c r="I363" s="8">
        <f t="shared" si="27"/>
        <v>0.13333333333333333</v>
      </c>
      <c r="J363" t="s">
        <v>132</v>
      </c>
      <c r="K363" t="s">
        <v>133</v>
      </c>
      <c r="L363" t="s">
        <v>22</v>
      </c>
      <c r="M363" t="s">
        <v>30</v>
      </c>
      <c r="N363" s="11">
        <v>18</v>
      </c>
      <c r="O363" s="11">
        <v>7.4188405800000004</v>
      </c>
      <c r="P363" t="s">
        <v>24</v>
      </c>
      <c r="Q363" s="13" t="s">
        <v>25</v>
      </c>
      <c r="R363" s="13" t="s">
        <v>26</v>
      </c>
      <c r="S363" s="13" t="s">
        <v>31</v>
      </c>
      <c r="T363" t="str">
        <f>VLOOKUP(B363,'[1]Plant data'!$A$1:$AB$315,2,0)</f>
        <v>Primulaceae</v>
      </c>
      <c r="U363" t="str">
        <f>VLOOKUP($B363,'[1]Plant data'!$A$1:$AB$315,3,0)</f>
        <v>Rapanea ferruginea, Myrsine ferruginea</v>
      </c>
      <c r="V363" t="str">
        <f>VLOOKUP($B363,'[1]Plant data'!$A$1:$AB$315,4,0)</f>
        <v>black</v>
      </c>
      <c r="W363" t="str">
        <f>VLOOKUP($B363,'[1]Plant data'!$A$1:$AB$315,5,0)</f>
        <v>YES</v>
      </c>
      <c r="X363">
        <f>VLOOKUP($B363,'[1]Plant data'!$A$1:$AB$315,6,0)</f>
        <v>3.5175000000000001</v>
      </c>
      <c r="Y363">
        <f>VLOOKUP($B363,'[1]Plant data'!$A$1:$AB$315,7,0)</f>
        <v>3.7733333333333334</v>
      </c>
      <c r="Z363">
        <f>VLOOKUP($B363,'[1]Plant data'!$A$1:$AB$315,8,0)</f>
        <v>2.96</v>
      </c>
      <c r="AA363">
        <f>VLOOKUP($B363,'[1]Plant data'!$A$1:$AB$315,9,0)</f>
        <v>2.9909999999999997</v>
      </c>
      <c r="AB363">
        <f>VLOOKUP($B363,'[1]Plant data'!$A$1:$AB$315,10,0)</f>
        <v>2.53E-2</v>
      </c>
      <c r="AC363" t="str">
        <f>VLOOKUP($B363,'[1]Plant data'!$A$1:$AB$315,11,0)</f>
        <v>NA</v>
      </c>
      <c r="AD363">
        <f>VLOOKUP($B363,'[1]Plant data'!$A$1:$AB$315,12,0)</f>
        <v>1.3000000000000001E-2</v>
      </c>
      <c r="AE363">
        <f>VLOOKUP($B363,'[1]Plant data'!$A$1:$AB$315,13,0)</f>
        <v>1.3000000000000001E-2</v>
      </c>
      <c r="AF363">
        <f>VLOOKUP($B363,'[1]Plant data'!$A$1:$AB$315,14,0)</f>
        <v>1.2299999999999997E-2</v>
      </c>
      <c r="AG363">
        <f>VLOOKUP($B363,'[1]Plant data'!$A$1:$AB$315,15,0)</f>
        <v>1</v>
      </c>
      <c r="AH363" t="str">
        <f>VLOOKUP($B363,'[1]Plant data'!$A$1:$AB$315,16,0)</f>
        <v>NA</v>
      </c>
      <c r="AI363">
        <f>VLOOKUP($B363,'[1]Plant data'!$A$1:$AB$315,17,0)</f>
        <v>1.0569105691056915</v>
      </c>
      <c r="AJ363" t="str">
        <f>VLOOKUP($B363,'[1]Plant data'!$A$1:$AB$315,18,0)</f>
        <v>Erica&amp;Wesley, Kindel 1996, Alves 2008, Correia 1997</v>
      </c>
      <c r="AK363" t="str">
        <f>VLOOKUP($B363,'[1]Plant data'!$A$1:$AB$315,19,0)</f>
        <v>NA</v>
      </c>
      <c r="AL363">
        <f>VLOOKUP($B363,'[1]Plant data'!$A$1:$AB$315,20,0)</f>
        <v>0.50800000000000001</v>
      </c>
      <c r="AM363" t="str">
        <f>VLOOKUP($B363,'[1]Plant data'!$A$1:$AB$315,21,0)</f>
        <v>NA</v>
      </c>
      <c r="AN363">
        <f>VLOOKUP($B363,'[1]Plant data'!$A$1:$AB$315,22,0)</f>
        <v>1.2E-2</v>
      </c>
      <c r="AO363">
        <f>VLOOKUP($B363,'[1]Plant data'!$A$1:$AB$315,23,0)</f>
        <v>4.2000000000000003E-2</v>
      </c>
      <c r="AP363" t="str">
        <f>VLOOKUP($B363,'[1]Plant data'!$A$1:$AB$315,24,0)</f>
        <v>NA</v>
      </c>
      <c r="AQ363" t="str">
        <f>VLOOKUP($B363,'[1]Plant data'!$A$1:$AB$315,25,0)</f>
        <v>NA</v>
      </c>
      <c r="AR363" t="str">
        <f>VLOOKUP($B363,'[1]Plant data'!$A$1:$AB$315,26,0)</f>
        <v>NA</v>
      </c>
      <c r="AS363" t="str">
        <f>VLOOKUP($B363,'[1]Plant data'!$A$1:$AB$315,27,0)</f>
        <v>NA</v>
      </c>
      <c r="AT363" t="str">
        <f>VLOOKUP($B363,'[1]Plant data'!$A$1:$AB$315,28,0)</f>
        <v>Erica &amp; Wesley, unpubl.</v>
      </c>
    </row>
    <row r="364" spans="1:46">
      <c r="A364" s="5" t="s">
        <v>41</v>
      </c>
      <c r="B364" s="32" t="s">
        <v>39</v>
      </c>
      <c r="C364">
        <v>1</v>
      </c>
      <c r="D364" s="7">
        <v>15</v>
      </c>
      <c r="E364" s="8">
        <f>(C364/15)*2</f>
        <v>0.13333333333333333</v>
      </c>
      <c r="F364" s="8" t="s">
        <v>19</v>
      </c>
      <c r="G364" s="9">
        <v>2</v>
      </c>
      <c r="H364" s="9"/>
      <c r="I364" s="8">
        <f t="shared" si="27"/>
        <v>0.26666666666666666</v>
      </c>
      <c r="J364" s="25" t="s">
        <v>132</v>
      </c>
      <c r="K364" s="25" t="s">
        <v>133</v>
      </c>
      <c r="L364" t="s">
        <v>22</v>
      </c>
      <c r="M364" t="s">
        <v>30</v>
      </c>
      <c r="N364" s="11">
        <v>39</v>
      </c>
      <c r="O364" s="11">
        <v>8.2839869279999991</v>
      </c>
      <c r="P364" t="s">
        <v>24</v>
      </c>
      <c r="Q364" t="s">
        <v>25</v>
      </c>
      <c r="R364" t="s">
        <v>26</v>
      </c>
      <c r="S364" t="s">
        <v>31</v>
      </c>
      <c r="T364" t="str">
        <f>VLOOKUP(B364,'[1]Plant data'!$A$1:$AB$315,2,0)</f>
        <v>Primulaceae</v>
      </c>
      <c r="U364" t="str">
        <f>VLOOKUP($B364,'[1]Plant data'!$A$1:$AB$315,3,0)</f>
        <v>Rapanea ferruginea, Myrsine ferruginea</v>
      </c>
      <c r="V364" t="str">
        <f>VLOOKUP($B364,'[1]Plant data'!$A$1:$AB$315,4,0)</f>
        <v>black</v>
      </c>
      <c r="W364" t="str">
        <f>VLOOKUP($B364,'[1]Plant data'!$A$1:$AB$315,5,0)</f>
        <v>YES</v>
      </c>
      <c r="X364">
        <f>VLOOKUP($B364,'[1]Plant data'!$A$1:$AB$315,6,0)</f>
        <v>3.5175000000000001</v>
      </c>
      <c r="Y364">
        <f>VLOOKUP($B364,'[1]Plant data'!$A$1:$AB$315,7,0)</f>
        <v>3.7733333333333334</v>
      </c>
      <c r="Z364">
        <f>VLOOKUP($B364,'[1]Plant data'!$A$1:$AB$315,8,0)</f>
        <v>2.96</v>
      </c>
      <c r="AA364">
        <f>VLOOKUP($B364,'[1]Plant data'!$A$1:$AB$315,9,0)</f>
        <v>2.9909999999999997</v>
      </c>
      <c r="AB364">
        <f>VLOOKUP($B364,'[1]Plant data'!$A$1:$AB$315,10,0)</f>
        <v>2.53E-2</v>
      </c>
      <c r="AC364" t="str">
        <f>VLOOKUP($B364,'[1]Plant data'!$A$1:$AB$315,11,0)</f>
        <v>NA</v>
      </c>
      <c r="AD364">
        <f>VLOOKUP($B364,'[1]Plant data'!$A$1:$AB$315,12,0)</f>
        <v>1.3000000000000001E-2</v>
      </c>
      <c r="AE364">
        <f>VLOOKUP($B364,'[1]Plant data'!$A$1:$AB$315,13,0)</f>
        <v>1.3000000000000001E-2</v>
      </c>
      <c r="AF364">
        <f>VLOOKUP($B364,'[1]Plant data'!$A$1:$AB$315,14,0)</f>
        <v>1.2299999999999997E-2</v>
      </c>
      <c r="AG364">
        <f>VLOOKUP($B364,'[1]Plant data'!$A$1:$AB$315,15,0)</f>
        <v>1</v>
      </c>
      <c r="AH364" t="str">
        <f>VLOOKUP($B364,'[1]Plant data'!$A$1:$AB$315,16,0)</f>
        <v>NA</v>
      </c>
      <c r="AI364">
        <f>VLOOKUP($B364,'[1]Plant data'!$A$1:$AB$315,17,0)</f>
        <v>1.0569105691056915</v>
      </c>
      <c r="AJ364" t="str">
        <f>VLOOKUP($B364,'[1]Plant data'!$A$1:$AB$315,18,0)</f>
        <v>Erica&amp;Wesley, Kindel 1996, Alves 2008, Correia 1997</v>
      </c>
      <c r="AK364" t="str">
        <f>VLOOKUP($B364,'[1]Plant data'!$A$1:$AB$315,19,0)</f>
        <v>NA</v>
      </c>
      <c r="AL364">
        <f>VLOOKUP($B364,'[1]Plant data'!$A$1:$AB$315,20,0)</f>
        <v>0.50800000000000001</v>
      </c>
      <c r="AM364" t="str">
        <f>VLOOKUP($B364,'[1]Plant data'!$A$1:$AB$315,21,0)</f>
        <v>NA</v>
      </c>
      <c r="AN364">
        <f>VLOOKUP($B364,'[1]Plant data'!$A$1:$AB$315,22,0)</f>
        <v>1.2E-2</v>
      </c>
      <c r="AO364">
        <f>VLOOKUP($B364,'[1]Plant data'!$A$1:$AB$315,23,0)</f>
        <v>4.2000000000000003E-2</v>
      </c>
      <c r="AP364" t="str">
        <f>VLOOKUP($B364,'[1]Plant data'!$A$1:$AB$315,24,0)</f>
        <v>NA</v>
      </c>
      <c r="AQ364" t="str">
        <f>VLOOKUP($B364,'[1]Plant data'!$A$1:$AB$315,25,0)</f>
        <v>NA</v>
      </c>
      <c r="AR364" t="str">
        <f>VLOOKUP($B364,'[1]Plant data'!$A$1:$AB$315,26,0)</f>
        <v>NA</v>
      </c>
      <c r="AS364" t="str">
        <f>VLOOKUP($B364,'[1]Plant data'!$A$1:$AB$315,27,0)</f>
        <v>NA</v>
      </c>
      <c r="AT364" t="str">
        <f>VLOOKUP($B364,'[1]Plant data'!$A$1:$AB$315,28,0)</f>
        <v>Erica &amp; Wesley, unpubl.</v>
      </c>
    </row>
    <row r="365" spans="1:46">
      <c r="A365" s="5" t="s">
        <v>43</v>
      </c>
      <c r="B365" s="32" t="s">
        <v>39</v>
      </c>
      <c r="C365">
        <v>1</v>
      </c>
      <c r="D365" s="7">
        <v>15</v>
      </c>
      <c r="E365" s="8">
        <f>C365/15</f>
        <v>6.6666666666666666E-2</v>
      </c>
      <c r="F365" s="8" t="s">
        <v>19</v>
      </c>
      <c r="G365" s="9">
        <v>1</v>
      </c>
      <c r="H365" s="9"/>
      <c r="I365" s="8">
        <f t="shared" si="27"/>
        <v>6.6666666666666666E-2</v>
      </c>
      <c r="J365" t="s">
        <v>132</v>
      </c>
      <c r="K365" t="s">
        <v>133</v>
      </c>
      <c r="L365" t="s">
        <v>22</v>
      </c>
      <c r="M365" t="s">
        <v>30</v>
      </c>
      <c r="N365" s="11">
        <v>32.5</v>
      </c>
      <c r="O365" s="11">
        <v>8.9205555560000001</v>
      </c>
      <c r="P365" t="s">
        <v>24</v>
      </c>
      <c r="Q365" t="s">
        <v>25</v>
      </c>
      <c r="R365" t="s">
        <v>26</v>
      </c>
      <c r="S365" t="s">
        <v>31</v>
      </c>
      <c r="T365" t="str">
        <f>VLOOKUP(B365,'[1]Plant data'!$A$1:$AB$315,2,0)</f>
        <v>Primulaceae</v>
      </c>
      <c r="U365" t="str">
        <f>VLOOKUP($B365,'[1]Plant data'!$A$1:$AB$315,3,0)</f>
        <v>Rapanea ferruginea, Myrsine ferruginea</v>
      </c>
      <c r="V365" t="str">
        <f>VLOOKUP($B365,'[1]Plant data'!$A$1:$AB$315,4,0)</f>
        <v>black</v>
      </c>
      <c r="W365" t="str">
        <f>VLOOKUP($B365,'[1]Plant data'!$A$1:$AB$315,5,0)</f>
        <v>YES</v>
      </c>
      <c r="X365">
        <f>VLOOKUP($B365,'[1]Plant data'!$A$1:$AB$315,6,0)</f>
        <v>3.5175000000000001</v>
      </c>
      <c r="Y365">
        <f>VLOOKUP($B365,'[1]Plant data'!$A$1:$AB$315,7,0)</f>
        <v>3.7733333333333334</v>
      </c>
      <c r="Z365">
        <f>VLOOKUP($B365,'[1]Plant data'!$A$1:$AB$315,8,0)</f>
        <v>2.96</v>
      </c>
      <c r="AA365">
        <f>VLOOKUP($B365,'[1]Plant data'!$A$1:$AB$315,9,0)</f>
        <v>2.9909999999999997</v>
      </c>
      <c r="AB365">
        <f>VLOOKUP($B365,'[1]Plant data'!$A$1:$AB$315,10,0)</f>
        <v>2.53E-2</v>
      </c>
      <c r="AC365" t="str">
        <f>VLOOKUP($B365,'[1]Plant data'!$A$1:$AB$315,11,0)</f>
        <v>NA</v>
      </c>
      <c r="AD365">
        <f>VLOOKUP($B365,'[1]Plant data'!$A$1:$AB$315,12,0)</f>
        <v>1.3000000000000001E-2</v>
      </c>
      <c r="AE365">
        <f>VLOOKUP($B365,'[1]Plant data'!$A$1:$AB$315,13,0)</f>
        <v>1.3000000000000001E-2</v>
      </c>
      <c r="AF365">
        <f>VLOOKUP($B365,'[1]Plant data'!$A$1:$AB$315,14,0)</f>
        <v>1.2299999999999997E-2</v>
      </c>
      <c r="AG365">
        <f>VLOOKUP($B365,'[1]Plant data'!$A$1:$AB$315,15,0)</f>
        <v>1</v>
      </c>
      <c r="AH365" t="str">
        <f>VLOOKUP($B365,'[1]Plant data'!$A$1:$AB$315,16,0)</f>
        <v>NA</v>
      </c>
      <c r="AI365">
        <f>VLOOKUP($B365,'[1]Plant data'!$A$1:$AB$315,17,0)</f>
        <v>1.0569105691056915</v>
      </c>
      <c r="AJ365" t="str">
        <f>VLOOKUP($B365,'[1]Plant data'!$A$1:$AB$315,18,0)</f>
        <v>Erica&amp;Wesley, Kindel 1996, Alves 2008, Correia 1997</v>
      </c>
      <c r="AK365" t="str">
        <f>VLOOKUP($B365,'[1]Plant data'!$A$1:$AB$315,19,0)</f>
        <v>NA</v>
      </c>
      <c r="AL365">
        <f>VLOOKUP($B365,'[1]Plant data'!$A$1:$AB$315,20,0)</f>
        <v>0.50800000000000001</v>
      </c>
      <c r="AM365" t="str">
        <f>VLOOKUP($B365,'[1]Plant data'!$A$1:$AB$315,21,0)</f>
        <v>NA</v>
      </c>
      <c r="AN365">
        <f>VLOOKUP($B365,'[1]Plant data'!$A$1:$AB$315,22,0)</f>
        <v>1.2E-2</v>
      </c>
      <c r="AO365">
        <f>VLOOKUP($B365,'[1]Plant data'!$A$1:$AB$315,23,0)</f>
        <v>4.2000000000000003E-2</v>
      </c>
      <c r="AP365" t="str">
        <f>VLOOKUP($B365,'[1]Plant data'!$A$1:$AB$315,24,0)</f>
        <v>NA</v>
      </c>
      <c r="AQ365" t="str">
        <f>VLOOKUP($B365,'[1]Plant data'!$A$1:$AB$315,25,0)</f>
        <v>NA</v>
      </c>
      <c r="AR365" t="str">
        <f>VLOOKUP($B365,'[1]Plant data'!$A$1:$AB$315,26,0)</f>
        <v>NA</v>
      </c>
      <c r="AS365" t="str">
        <f>VLOOKUP($B365,'[1]Plant data'!$A$1:$AB$315,27,0)</f>
        <v>NA</v>
      </c>
      <c r="AT365" t="str">
        <f>VLOOKUP($B365,'[1]Plant data'!$A$1:$AB$315,28,0)</f>
        <v>Erica &amp; Wesley, unpubl.</v>
      </c>
    </row>
    <row r="366" spans="1:46">
      <c r="A366" s="5" t="s">
        <v>43</v>
      </c>
      <c r="B366" s="32" t="s">
        <v>39</v>
      </c>
      <c r="C366">
        <v>2</v>
      </c>
      <c r="D366">
        <v>48</v>
      </c>
      <c r="E366" s="8">
        <f>C366/48</f>
        <v>4.1666666666666664E-2</v>
      </c>
      <c r="F366" s="8" t="s">
        <v>19</v>
      </c>
      <c r="G366" s="19">
        <v>9</v>
      </c>
      <c r="H366" s="19"/>
      <c r="I366" s="8">
        <f t="shared" si="27"/>
        <v>0.375</v>
      </c>
      <c r="J366" s="25" t="s">
        <v>141</v>
      </c>
      <c r="K366" s="25" t="s">
        <v>142</v>
      </c>
      <c r="L366" t="s">
        <v>22</v>
      </c>
      <c r="M366" t="s">
        <v>30</v>
      </c>
      <c r="N366" s="11">
        <v>32.5</v>
      </c>
      <c r="O366" s="11">
        <v>8.9205555560000001</v>
      </c>
      <c r="P366" t="s">
        <v>24</v>
      </c>
      <c r="Q366" t="s">
        <v>25</v>
      </c>
      <c r="R366" t="s">
        <v>26</v>
      </c>
      <c r="S366" t="s">
        <v>31</v>
      </c>
      <c r="T366" t="str">
        <f>VLOOKUP(B366,'[1]Plant data'!$A$1:$AB$315,2,0)</f>
        <v>Primulaceae</v>
      </c>
      <c r="U366" t="str">
        <f>VLOOKUP($B366,'[1]Plant data'!$A$1:$AB$315,3,0)</f>
        <v>Rapanea ferruginea, Myrsine ferruginea</v>
      </c>
      <c r="V366" t="str">
        <f>VLOOKUP($B366,'[1]Plant data'!$A$1:$AB$315,4,0)</f>
        <v>black</v>
      </c>
      <c r="W366" t="str">
        <f>VLOOKUP($B366,'[1]Plant data'!$A$1:$AB$315,5,0)</f>
        <v>YES</v>
      </c>
      <c r="X366">
        <f>VLOOKUP($B366,'[1]Plant data'!$A$1:$AB$315,6,0)</f>
        <v>3.5175000000000001</v>
      </c>
      <c r="Y366">
        <f>VLOOKUP($B366,'[1]Plant data'!$A$1:$AB$315,7,0)</f>
        <v>3.7733333333333334</v>
      </c>
      <c r="Z366">
        <f>VLOOKUP($B366,'[1]Plant data'!$A$1:$AB$315,8,0)</f>
        <v>2.96</v>
      </c>
      <c r="AA366">
        <f>VLOOKUP($B366,'[1]Plant data'!$A$1:$AB$315,9,0)</f>
        <v>2.9909999999999997</v>
      </c>
      <c r="AB366">
        <f>VLOOKUP($B366,'[1]Plant data'!$A$1:$AB$315,10,0)</f>
        <v>2.53E-2</v>
      </c>
      <c r="AC366" t="str">
        <f>VLOOKUP($B366,'[1]Plant data'!$A$1:$AB$315,11,0)</f>
        <v>NA</v>
      </c>
      <c r="AD366">
        <f>VLOOKUP($B366,'[1]Plant data'!$A$1:$AB$315,12,0)</f>
        <v>1.3000000000000001E-2</v>
      </c>
      <c r="AE366">
        <f>VLOOKUP($B366,'[1]Plant data'!$A$1:$AB$315,13,0)</f>
        <v>1.3000000000000001E-2</v>
      </c>
      <c r="AF366">
        <f>VLOOKUP($B366,'[1]Plant data'!$A$1:$AB$315,14,0)</f>
        <v>1.2299999999999997E-2</v>
      </c>
      <c r="AG366">
        <f>VLOOKUP($B366,'[1]Plant data'!$A$1:$AB$315,15,0)</f>
        <v>1</v>
      </c>
      <c r="AH366" t="str">
        <f>VLOOKUP($B366,'[1]Plant data'!$A$1:$AB$315,16,0)</f>
        <v>NA</v>
      </c>
      <c r="AI366">
        <f>VLOOKUP($B366,'[1]Plant data'!$A$1:$AB$315,17,0)</f>
        <v>1.0569105691056915</v>
      </c>
      <c r="AJ366" t="str">
        <f>VLOOKUP($B366,'[1]Plant data'!$A$1:$AB$315,18,0)</f>
        <v>Erica&amp;Wesley, Kindel 1996, Alves 2008, Correia 1997</v>
      </c>
      <c r="AK366" t="str">
        <f>VLOOKUP($B366,'[1]Plant data'!$A$1:$AB$315,19,0)</f>
        <v>NA</v>
      </c>
      <c r="AL366">
        <f>VLOOKUP($B366,'[1]Plant data'!$A$1:$AB$315,20,0)</f>
        <v>0.50800000000000001</v>
      </c>
      <c r="AM366" t="str">
        <f>VLOOKUP($B366,'[1]Plant data'!$A$1:$AB$315,21,0)</f>
        <v>NA</v>
      </c>
      <c r="AN366">
        <f>VLOOKUP($B366,'[1]Plant data'!$A$1:$AB$315,22,0)</f>
        <v>1.2E-2</v>
      </c>
      <c r="AO366">
        <f>VLOOKUP($B366,'[1]Plant data'!$A$1:$AB$315,23,0)</f>
        <v>4.2000000000000003E-2</v>
      </c>
      <c r="AP366" t="str">
        <f>VLOOKUP($B366,'[1]Plant data'!$A$1:$AB$315,24,0)</f>
        <v>NA</v>
      </c>
      <c r="AQ366" t="str">
        <f>VLOOKUP($B366,'[1]Plant data'!$A$1:$AB$315,25,0)</f>
        <v>NA</v>
      </c>
      <c r="AR366" t="str">
        <f>VLOOKUP($B366,'[1]Plant data'!$A$1:$AB$315,26,0)</f>
        <v>NA</v>
      </c>
      <c r="AS366" t="str">
        <f>VLOOKUP($B366,'[1]Plant data'!$A$1:$AB$315,27,0)</f>
        <v>NA</v>
      </c>
      <c r="AT366" t="str">
        <f>VLOOKUP($B366,'[1]Plant data'!$A$1:$AB$315,28,0)</f>
        <v>Erica &amp; Wesley, unpubl.</v>
      </c>
    </row>
    <row r="367" spans="1:46">
      <c r="A367" s="5" t="s">
        <v>46</v>
      </c>
      <c r="B367" s="33" t="s">
        <v>39</v>
      </c>
      <c r="C367">
        <v>2</v>
      </c>
      <c r="D367">
        <v>48</v>
      </c>
      <c r="E367" s="8">
        <f>C367/48</f>
        <v>4.1666666666666664E-2</v>
      </c>
      <c r="F367" s="8" t="s">
        <v>19</v>
      </c>
      <c r="G367" s="19">
        <v>8</v>
      </c>
      <c r="H367" s="19"/>
      <c r="I367" s="8">
        <f t="shared" si="27"/>
        <v>0.33333333333333331</v>
      </c>
      <c r="J367" s="25" t="s">
        <v>141</v>
      </c>
      <c r="K367" s="25" t="s">
        <v>142</v>
      </c>
      <c r="L367" t="s">
        <v>22</v>
      </c>
      <c r="M367" t="s">
        <v>47</v>
      </c>
      <c r="N367" s="11">
        <v>54</v>
      </c>
      <c r="O367" s="11">
        <v>11.14875</v>
      </c>
      <c r="P367" t="s">
        <v>48</v>
      </c>
      <c r="Q367" t="s">
        <v>49</v>
      </c>
      <c r="R367" t="s">
        <v>26</v>
      </c>
      <c r="S367" t="s">
        <v>31</v>
      </c>
      <c r="T367" t="str">
        <f>VLOOKUP(B367,'[1]Plant data'!$A$1:$AB$315,2,0)</f>
        <v>Primulaceae</v>
      </c>
      <c r="U367" t="str">
        <f>VLOOKUP($B367,'[1]Plant data'!$A$1:$AB$315,3,0)</f>
        <v>Rapanea ferruginea, Myrsine ferruginea</v>
      </c>
      <c r="V367" t="str">
        <f>VLOOKUP($B367,'[1]Plant data'!$A$1:$AB$315,4,0)</f>
        <v>black</v>
      </c>
      <c r="W367" t="str">
        <f>VLOOKUP($B367,'[1]Plant data'!$A$1:$AB$315,5,0)</f>
        <v>YES</v>
      </c>
      <c r="X367">
        <f>VLOOKUP($B367,'[1]Plant data'!$A$1:$AB$315,6,0)</f>
        <v>3.5175000000000001</v>
      </c>
      <c r="Y367">
        <f>VLOOKUP($B367,'[1]Plant data'!$A$1:$AB$315,7,0)</f>
        <v>3.7733333333333334</v>
      </c>
      <c r="Z367">
        <f>VLOOKUP($B367,'[1]Plant data'!$A$1:$AB$315,8,0)</f>
        <v>2.96</v>
      </c>
      <c r="AA367">
        <f>VLOOKUP($B367,'[1]Plant data'!$A$1:$AB$315,9,0)</f>
        <v>2.9909999999999997</v>
      </c>
      <c r="AB367">
        <f>VLOOKUP($B367,'[1]Plant data'!$A$1:$AB$315,10,0)</f>
        <v>2.53E-2</v>
      </c>
      <c r="AC367" t="str">
        <f>VLOOKUP($B367,'[1]Plant data'!$A$1:$AB$315,11,0)</f>
        <v>NA</v>
      </c>
      <c r="AD367">
        <f>VLOOKUP($B367,'[1]Plant data'!$A$1:$AB$315,12,0)</f>
        <v>1.3000000000000001E-2</v>
      </c>
      <c r="AE367">
        <f>VLOOKUP($B367,'[1]Plant data'!$A$1:$AB$315,13,0)</f>
        <v>1.3000000000000001E-2</v>
      </c>
      <c r="AF367">
        <f>VLOOKUP($B367,'[1]Plant data'!$A$1:$AB$315,14,0)</f>
        <v>1.2299999999999997E-2</v>
      </c>
      <c r="AG367">
        <f>VLOOKUP($B367,'[1]Plant data'!$A$1:$AB$315,15,0)</f>
        <v>1</v>
      </c>
      <c r="AH367" t="str">
        <f>VLOOKUP($B367,'[1]Plant data'!$A$1:$AB$315,16,0)</f>
        <v>NA</v>
      </c>
      <c r="AI367">
        <f>VLOOKUP($B367,'[1]Plant data'!$A$1:$AB$315,17,0)</f>
        <v>1.0569105691056915</v>
      </c>
      <c r="AJ367" t="str">
        <f>VLOOKUP($B367,'[1]Plant data'!$A$1:$AB$315,18,0)</f>
        <v>Erica&amp;Wesley, Kindel 1996, Alves 2008, Correia 1997</v>
      </c>
      <c r="AK367" t="str">
        <f>VLOOKUP($B367,'[1]Plant data'!$A$1:$AB$315,19,0)</f>
        <v>NA</v>
      </c>
      <c r="AL367">
        <f>VLOOKUP($B367,'[1]Plant data'!$A$1:$AB$315,20,0)</f>
        <v>0.50800000000000001</v>
      </c>
      <c r="AM367" t="str">
        <f>VLOOKUP($B367,'[1]Plant data'!$A$1:$AB$315,21,0)</f>
        <v>NA</v>
      </c>
      <c r="AN367">
        <f>VLOOKUP($B367,'[1]Plant data'!$A$1:$AB$315,22,0)</f>
        <v>1.2E-2</v>
      </c>
      <c r="AO367">
        <f>VLOOKUP($B367,'[1]Plant data'!$A$1:$AB$315,23,0)</f>
        <v>4.2000000000000003E-2</v>
      </c>
      <c r="AP367" t="str">
        <f>VLOOKUP($B367,'[1]Plant data'!$A$1:$AB$315,24,0)</f>
        <v>NA</v>
      </c>
      <c r="AQ367" t="str">
        <f>VLOOKUP($B367,'[1]Plant data'!$A$1:$AB$315,25,0)</f>
        <v>NA</v>
      </c>
      <c r="AR367" t="str">
        <f>VLOOKUP($B367,'[1]Plant data'!$A$1:$AB$315,26,0)</f>
        <v>NA</v>
      </c>
      <c r="AS367" t="str">
        <f>VLOOKUP($B367,'[1]Plant data'!$A$1:$AB$315,27,0)</f>
        <v>NA</v>
      </c>
      <c r="AT367" t="str">
        <f>VLOOKUP($B367,'[1]Plant data'!$A$1:$AB$315,28,0)</f>
        <v>Erica &amp; Wesley, unpubl.</v>
      </c>
    </row>
    <row r="368" spans="1:46">
      <c r="A368" s="5" t="s">
        <v>50</v>
      </c>
      <c r="B368" s="32" t="s">
        <v>39</v>
      </c>
      <c r="C368">
        <v>13</v>
      </c>
      <c r="D368">
        <v>48</v>
      </c>
      <c r="E368" s="8">
        <f>C368/48</f>
        <v>0.27083333333333331</v>
      </c>
      <c r="F368" s="8" t="s">
        <v>19</v>
      </c>
      <c r="G368" s="19">
        <v>36.799999999999997</v>
      </c>
      <c r="H368" s="19"/>
      <c r="I368" s="8">
        <f t="shared" si="27"/>
        <v>9.966666666666665</v>
      </c>
      <c r="J368" s="25" t="s">
        <v>141</v>
      </c>
      <c r="K368" s="25" t="s">
        <v>142</v>
      </c>
      <c r="L368" t="s">
        <v>22</v>
      </c>
      <c r="M368" t="s">
        <v>47</v>
      </c>
      <c r="N368" s="11">
        <v>69.5</v>
      </c>
      <c r="O368" s="11">
        <v>13.253214290000001</v>
      </c>
      <c r="P368" t="s">
        <v>48</v>
      </c>
      <c r="Q368" t="s">
        <v>25</v>
      </c>
      <c r="R368" t="s">
        <v>26</v>
      </c>
      <c r="S368" t="s">
        <v>31</v>
      </c>
      <c r="T368" t="str">
        <f>VLOOKUP(B368,'[1]Plant data'!$A$1:$AB$315,2,0)</f>
        <v>Primulaceae</v>
      </c>
      <c r="U368" t="str">
        <f>VLOOKUP($B368,'[1]Plant data'!$A$1:$AB$315,3,0)</f>
        <v>Rapanea ferruginea, Myrsine ferruginea</v>
      </c>
      <c r="V368" t="str">
        <f>VLOOKUP($B368,'[1]Plant data'!$A$1:$AB$315,4,0)</f>
        <v>black</v>
      </c>
      <c r="W368" t="str">
        <f>VLOOKUP($B368,'[1]Plant data'!$A$1:$AB$315,5,0)</f>
        <v>YES</v>
      </c>
      <c r="X368">
        <f>VLOOKUP($B368,'[1]Plant data'!$A$1:$AB$315,6,0)</f>
        <v>3.5175000000000001</v>
      </c>
      <c r="Y368">
        <f>VLOOKUP($B368,'[1]Plant data'!$A$1:$AB$315,7,0)</f>
        <v>3.7733333333333334</v>
      </c>
      <c r="Z368">
        <f>VLOOKUP($B368,'[1]Plant data'!$A$1:$AB$315,8,0)</f>
        <v>2.96</v>
      </c>
      <c r="AA368">
        <f>VLOOKUP($B368,'[1]Plant data'!$A$1:$AB$315,9,0)</f>
        <v>2.9909999999999997</v>
      </c>
      <c r="AB368">
        <f>VLOOKUP($B368,'[1]Plant data'!$A$1:$AB$315,10,0)</f>
        <v>2.53E-2</v>
      </c>
      <c r="AC368" t="str">
        <f>VLOOKUP($B368,'[1]Plant data'!$A$1:$AB$315,11,0)</f>
        <v>NA</v>
      </c>
      <c r="AD368">
        <f>VLOOKUP($B368,'[1]Plant data'!$A$1:$AB$315,12,0)</f>
        <v>1.3000000000000001E-2</v>
      </c>
      <c r="AE368">
        <f>VLOOKUP($B368,'[1]Plant data'!$A$1:$AB$315,13,0)</f>
        <v>1.3000000000000001E-2</v>
      </c>
      <c r="AF368">
        <f>VLOOKUP($B368,'[1]Plant data'!$A$1:$AB$315,14,0)</f>
        <v>1.2299999999999997E-2</v>
      </c>
      <c r="AG368">
        <f>VLOOKUP($B368,'[1]Plant data'!$A$1:$AB$315,15,0)</f>
        <v>1</v>
      </c>
      <c r="AH368" t="str">
        <f>VLOOKUP($B368,'[1]Plant data'!$A$1:$AB$315,16,0)</f>
        <v>NA</v>
      </c>
      <c r="AI368">
        <f>VLOOKUP($B368,'[1]Plant data'!$A$1:$AB$315,17,0)</f>
        <v>1.0569105691056915</v>
      </c>
      <c r="AJ368" t="str">
        <f>VLOOKUP($B368,'[1]Plant data'!$A$1:$AB$315,18,0)</f>
        <v>Erica&amp;Wesley, Kindel 1996, Alves 2008, Correia 1997</v>
      </c>
      <c r="AK368" t="str">
        <f>VLOOKUP($B368,'[1]Plant data'!$A$1:$AB$315,19,0)</f>
        <v>NA</v>
      </c>
      <c r="AL368">
        <f>VLOOKUP($B368,'[1]Plant data'!$A$1:$AB$315,20,0)</f>
        <v>0.50800000000000001</v>
      </c>
      <c r="AM368" t="str">
        <f>VLOOKUP($B368,'[1]Plant data'!$A$1:$AB$315,21,0)</f>
        <v>NA</v>
      </c>
      <c r="AN368">
        <f>VLOOKUP($B368,'[1]Plant data'!$A$1:$AB$315,22,0)</f>
        <v>1.2E-2</v>
      </c>
      <c r="AO368">
        <f>VLOOKUP($B368,'[1]Plant data'!$A$1:$AB$315,23,0)</f>
        <v>4.2000000000000003E-2</v>
      </c>
      <c r="AP368" t="str">
        <f>VLOOKUP($B368,'[1]Plant data'!$A$1:$AB$315,24,0)</f>
        <v>NA</v>
      </c>
      <c r="AQ368" t="str">
        <f>VLOOKUP($B368,'[1]Plant data'!$A$1:$AB$315,25,0)</f>
        <v>NA</v>
      </c>
      <c r="AR368" t="str">
        <f>VLOOKUP($B368,'[1]Plant data'!$A$1:$AB$315,26,0)</f>
        <v>NA</v>
      </c>
      <c r="AS368" t="str">
        <f>VLOOKUP($B368,'[1]Plant data'!$A$1:$AB$315,27,0)</f>
        <v>NA</v>
      </c>
      <c r="AT368" t="str">
        <f>VLOOKUP($B368,'[1]Plant data'!$A$1:$AB$315,28,0)</f>
        <v>Erica &amp; Wesley, unpubl.</v>
      </c>
    </row>
    <row r="369" spans="1:46">
      <c r="A369" s="5" t="s">
        <v>46</v>
      </c>
      <c r="B369" s="32" t="s">
        <v>39</v>
      </c>
      <c r="C369">
        <v>7</v>
      </c>
      <c r="D369" s="25" t="s">
        <v>19</v>
      </c>
      <c r="E369" s="76">
        <v>0.11001984126984127</v>
      </c>
      <c r="F369">
        <v>166</v>
      </c>
      <c r="G369" s="9">
        <f>F369/C369</f>
        <v>23.714285714285715</v>
      </c>
      <c r="H369" s="9"/>
      <c r="I369" s="8">
        <f t="shared" si="27"/>
        <v>2.6090419501133786</v>
      </c>
      <c r="J369" t="s">
        <v>202</v>
      </c>
      <c r="K369" t="s">
        <v>203</v>
      </c>
      <c r="L369" t="s">
        <v>22</v>
      </c>
      <c r="M369" t="s">
        <v>47</v>
      </c>
      <c r="N369" s="11">
        <v>54</v>
      </c>
      <c r="O369" s="11">
        <v>11.14875</v>
      </c>
      <c r="P369" t="s">
        <v>48</v>
      </c>
      <c r="Q369" t="s">
        <v>49</v>
      </c>
      <c r="R369" t="s">
        <v>26</v>
      </c>
      <c r="S369" t="s">
        <v>31</v>
      </c>
      <c r="T369" t="str">
        <f>VLOOKUP(B369,'[1]Plant data'!$A$1:$AB$315,2,0)</f>
        <v>Primulaceae</v>
      </c>
      <c r="U369" t="str">
        <f>VLOOKUP($B369,'[1]Plant data'!$A$1:$AB$315,3,0)</f>
        <v>Rapanea ferruginea, Myrsine ferruginea</v>
      </c>
      <c r="V369" t="str">
        <f>VLOOKUP($B369,'[1]Plant data'!$A$1:$AB$315,4,0)</f>
        <v>black</v>
      </c>
      <c r="W369" t="str">
        <f>VLOOKUP($B369,'[1]Plant data'!$A$1:$AB$315,5,0)</f>
        <v>YES</v>
      </c>
      <c r="X369">
        <f>VLOOKUP($B369,'[1]Plant data'!$A$1:$AB$315,6,0)</f>
        <v>3.5175000000000001</v>
      </c>
      <c r="Y369">
        <f>VLOOKUP($B369,'[1]Plant data'!$A$1:$AB$315,7,0)</f>
        <v>3.7733333333333334</v>
      </c>
      <c r="Z369">
        <f>VLOOKUP($B369,'[1]Plant data'!$A$1:$AB$315,8,0)</f>
        <v>2.96</v>
      </c>
      <c r="AA369">
        <f>VLOOKUP($B369,'[1]Plant data'!$A$1:$AB$315,9,0)</f>
        <v>2.9909999999999997</v>
      </c>
      <c r="AB369">
        <f>VLOOKUP($B369,'[1]Plant data'!$A$1:$AB$315,10,0)</f>
        <v>2.53E-2</v>
      </c>
      <c r="AC369" t="str">
        <f>VLOOKUP($B369,'[1]Plant data'!$A$1:$AB$315,11,0)</f>
        <v>NA</v>
      </c>
      <c r="AD369">
        <f>VLOOKUP($B369,'[1]Plant data'!$A$1:$AB$315,12,0)</f>
        <v>1.3000000000000001E-2</v>
      </c>
      <c r="AE369">
        <f>VLOOKUP($B369,'[1]Plant data'!$A$1:$AB$315,13,0)</f>
        <v>1.3000000000000001E-2</v>
      </c>
      <c r="AF369">
        <f>VLOOKUP($B369,'[1]Plant data'!$A$1:$AB$315,14,0)</f>
        <v>1.2299999999999997E-2</v>
      </c>
      <c r="AG369">
        <f>VLOOKUP($B369,'[1]Plant data'!$A$1:$AB$315,15,0)</f>
        <v>1</v>
      </c>
      <c r="AH369" t="str">
        <f>VLOOKUP($B369,'[1]Plant data'!$A$1:$AB$315,16,0)</f>
        <v>NA</v>
      </c>
      <c r="AI369">
        <f>VLOOKUP($B369,'[1]Plant data'!$A$1:$AB$315,17,0)</f>
        <v>1.0569105691056915</v>
      </c>
      <c r="AJ369" t="str">
        <f>VLOOKUP($B369,'[1]Plant data'!$A$1:$AB$315,18,0)</f>
        <v>Erica&amp;Wesley, Kindel 1996, Alves 2008, Correia 1997</v>
      </c>
      <c r="AK369" t="str">
        <f>VLOOKUP($B369,'[1]Plant data'!$A$1:$AB$315,19,0)</f>
        <v>NA</v>
      </c>
      <c r="AL369">
        <f>VLOOKUP($B369,'[1]Plant data'!$A$1:$AB$315,20,0)</f>
        <v>0.50800000000000001</v>
      </c>
      <c r="AM369" t="str">
        <f>VLOOKUP($B369,'[1]Plant data'!$A$1:$AB$315,21,0)</f>
        <v>NA</v>
      </c>
      <c r="AN369">
        <f>VLOOKUP($B369,'[1]Plant data'!$A$1:$AB$315,22,0)</f>
        <v>1.2E-2</v>
      </c>
      <c r="AO369">
        <f>VLOOKUP($B369,'[1]Plant data'!$A$1:$AB$315,23,0)</f>
        <v>4.2000000000000003E-2</v>
      </c>
      <c r="AP369" t="str">
        <f>VLOOKUP($B369,'[1]Plant data'!$A$1:$AB$315,24,0)</f>
        <v>NA</v>
      </c>
      <c r="AQ369" t="str">
        <f>VLOOKUP($B369,'[1]Plant data'!$A$1:$AB$315,25,0)</f>
        <v>NA</v>
      </c>
      <c r="AR369" t="str">
        <f>VLOOKUP($B369,'[1]Plant data'!$A$1:$AB$315,26,0)</f>
        <v>NA</v>
      </c>
      <c r="AS369" t="str">
        <f>VLOOKUP($B369,'[1]Plant data'!$A$1:$AB$315,27,0)</f>
        <v>NA</v>
      </c>
      <c r="AT369" t="str">
        <f>VLOOKUP($B369,'[1]Plant data'!$A$1:$AB$315,28,0)</f>
        <v>Erica &amp; Wesley, unpubl.</v>
      </c>
    </row>
    <row r="370" spans="1:46">
      <c r="A370" s="5" t="s">
        <v>50</v>
      </c>
      <c r="B370" s="32" t="s">
        <v>39</v>
      </c>
      <c r="C370">
        <v>5</v>
      </c>
      <c r="D370" s="25" t="s">
        <v>19</v>
      </c>
      <c r="E370" s="76">
        <v>0.38228328809935025</v>
      </c>
      <c r="F370">
        <v>47</v>
      </c>
      <c r="G370" s="9">
        <f>F370/C370</f>
        <v>9.4</v>
      </c>
      <c r="H370" s="9"/>
      <c r="I370" s="8">
        <f t="shared" si="27"/>
        <v>3.5934629081338927</v>
      </c>
      <c r="J370" s="10" t="s">
        <v>202</v>
      </c>
      <c r="K370" t="s">
        <v>203</v>
      </c>
      <c r="L370" t="s">
        <v>22</v>
      </c>
      <c r="M370" t="s">
        <v>47</v>
      </c>
      <c r="N370" s="11">
        <v>69.5</v>
      </c>
      <c r="O370" s="11">
        <v>13.253214290000001</v>
      </c>
      <c r="P370" t="s">
        <v>48</v>
      </c>
      <c r="Q370" t="s">
        <v>25</v>
      </c>
      <c r="R370" t="s">
        <v>26</v>
      </c>
      <c r="S370" t="s">
        <v>31</v>
      </c>
      <c r="T370" t="str">
        <f>VLOOKUP(B370,'[1]Plant data'!$A$1:$AB$315,2,0)</f>
        <v>Primulaceae</v>
      </c>
      <c r="U370" t="str">
        <f>VLOOKUP($B370,'[1]Plant data'!$A$1:$AB$315,3,0)</f>
        <v>Rapanea ferruginea, Myrsine ferruginea</v>
      </c>
      <c r="V370" t="str">
        <f>VLOOKUP($B370,'[1]Plant data'!$A$1:$AB$315,4,0)</f>
        <v>black</v>
      </c>
      <c r="W370" t="str">
        <f>VLOOKUP($B370,'[1]Plant data'!$A$1:$AB$315,5,0)</f>
        <v>YES</v>
      </c>
      <c r="X370">
        <f>VLOOKUP($B370,'[1]Plant data'!$A$1:$AB$315,6,0)</f>
        <v>3.5175000000000001</v>
      </c>
      <c r="Y370">
        <f>VLOOKUP($B370,'[1]Plant data'!$A$1:$AB$315,7,0)</f>
        <v>3.7733333333333334</v>
      </c>
      <c r="Z370">
        <f>VLOOKUP($B370,'[1]Plant data'!$A$1:$AB$315,8,0)</f>
        <v>2.96</v>
      </c>
      <c r="AA370">
        <f>VLOOKUP($B370,'[1]Plant data'!$A$1:$AB$315,9,0)</f>
        <v>2.9909999999999997</v>
      </c>
      <c r="AB370">
        <f>VLOOKUP($B370,'[1]Plant data'!$A$1:$AB$315,10,0)</f>
        <v>2.53E-2</v>
      </c>
      <c r="AC370" t="str">
        <f>VLOOKUP($B370,'[1]Plant data'!$A$1:$AB$315,11,0)</f>
        <v>NA</v>
      </c>
      <c r="AD370">
        <f>VLOOKUP($B370,'[1]Plant data'!$A$1:$AB$315,12,0)</f>
        <v>1.3000000000000001E-2</v>
      </c>
      <c r="AE370">
        <f>VLOOKUP($B370,'[1]Plant data'!$A$1:$AB$315,13,0)</f>
        <v>1.3000000000000001E-2</v>
      </c>
      <c r="AF370">
        <f>VLOOKUP($B370,'[1]Plant data'!$A$1:$AB$315,14,0)</f>
        <v>1.2299999999999997E-2</v>
      </c>
      <c r="AG370">
        <f>VLOOKUP($B370,'[1]Plant data'!$A$1:$AB$315,15,0)</f>
        <v>1</v>
      </c>
      <c r="AH370" t="str">
        <f>VLOOKUP($B370,'[1]Plant data'!$A$1:$AB$315,16,0)</f>
        <v>NA</v>
      </c>
      <c r="AI370">
        <f>VLOOKUP($B370,'[1]Plant data'!$A$1:$AB$315,17,0)</f>
        <v>1.0569105691056915</v>
      </c>
      <c r="AJ370" t="str">
        <f>VLOOKUP($B370,'[1]Plant data'!$A$1:$AB$315,18,0)</f>
        <v>Erica&amp;Wesley, Kindel 1996, Alves 2008, Correia 1997</v>
      </c>
      <c r="AK370" t="str">
        <f>VLOOKUP($B370,'[1]Plant data'!$A$1:$AB$315,19,0)</f>
        <v>NA</v>
      </c>
      <c r="AL370">
        <f>VLOOKUP($B370,'[1]Plant data'!$A$1:$AB$315,20,0)</f>
        <v>0.50800000000000001</v>
      </c>
      <c r="AM370" t="str">
        <f>VLOOKUP($B370,'[1]Plant data'!$A$1:$AB$315,21,0)</f>
        <v>NA</v>
      </c>
      <c r="AN370">
        <f>VLOOKUP($B370,'[1]Plant data'!$A$1:$AB$315,22,0)</f>
        <v>1.2E-2</v>
      </c>
      <c r="AO370">
        <f>VLOOKUP($B370,'[1]Plant data'!$A$1:$AB$315,23,0)</f>
        <v>4.2000000000000003E-2</v>
      </c>
      <c r="AP370" t="str">
        <f>VLOOKUP($B370,'[1]Plant data'!$A$1:$AB$315,24,0)</f>
        <v>NA</v>
      </c>
      <c r="AQ370" t="str">
        <f>VLOOKUP($B370,'[1]Plant data'!$A$1:$AB$315,25,0)</f>
        <v>NA</v>
      </c>
      <c r="AR370" t="str">
        <f>VLOOKUP($B370,'[1]Plant data'!$A$1:$AB$315,26,0)</f>
        <v>NA</v>
      </c>
      <c r="AS370" t="str">
        <f>VLOOKUP($B370,'[1]Plant data'!$A$1:$AB$315,27,0)</f>
        <v>NA</v>
      </c>
      <c r="AT370" t="str">
        <f>VLOOKUP($B370,'[1]Plant data'!$A$1:$AB$315,28,0)</f>
        <v>Erica &amp; Wesley, unpubl.</v>
      </c>
    </row>
    <row r="371" spans="1:46">
      <c r="A371" s="5" t="s">
        <v>43</v>
      </c>
      <c r="B371" s="32" t="s">
        <v>39</v>
      </c>
      <c r="C371">
        <v>1</v>
      </c>
      <c r="D371" s="16">
        <v>84</v>
      </c>
      <c r="E371" s="8">
        <f>C371/84</f>
        <v>1.1904761904761904E-2</v>
      </c>
      <c r="F371">
        <v>1</v>
      </c>
      <c r="G371" s="9">
        <f>F371/C371</f>
        <v>1</v>
      </c>
      <c r="H371" s="9"/>
      <c r="I371" s="8">
        <f t="shared" si="27"/>
        <v>1.1904761904761904E-2</v>
      </c>
      <c r="J371" s="25" t="s">
        <v>236</v>
      </c>
      <c r="K371" s="25" t="s">
        <v>237</v>
      </c>
      <c r="L371" t="s">
        <v>22</v>
      </c>
      <c r="M371" t="s">
        <v>30</v>
      </c>
      <c r="N371" s="17">
        <v>32.5</v>
      </c>
      <c r="O371" s="17">
        <v>8.9205555560000001</v>
      </c>
      <c r="P371" s="16" t="s">
        <v>24</v>
      </c>
      <c r="Q371" s="16" t="s">
        <v>25</v>
      </c>
      <c r="R371" s="16" t="s">
        <v>26</v>
      </c>
      <c r="S371" s="16" t="s">
        <v>31</v>
      </c>
      <c r="T371" t="str">
        <f>VLOOKUP(B371,'[1]Plant data'!$A$1:$AB$315,2,0)</f>
        <v>Primulaceae</v>
      </c>
      <c r="U371" t="str">
        <f>VLOOKUP($B371,'[1]Plant data'!$A$1:$AB$315,3,0)</f>
        <v>Rapanea ferruginea, Myrsine ferruginea</v>
      </c>
      <c r="V371" t="str">
        <f>VLOOKUP($B371,'[1]Plant data'!$A$1:$AB$315,4,0)</f>
        <v>black</v>
      </c>
      <c r="W371" t="str">
        <f>VLOOKUP($B371,'[1]Plant data'!$A$1:$AB$315,5,0)</f>
        <v>YES</v>
      </c>
      <c r="X371">
        <f>VLOOKUP($B371,'[1]Plant data'!$A$1:$AB$315,6,0)</f>
        <v>3.5175000000000001</v>
      </c>
      <c r="Y371">
        <f>VLOOKUP($B371,'[1]Plant data'!$A$1:$AB$315,7,0)</f>
        <v>3.7733333333333334</v>
      </c>
      <c r="Z371">
        <f>VLOOKUP($B371,'[1]Plant data'!$A$1:$AB$315,8,0)</f>
        <v>2.96</v>
      </c>
      <c r="AA371">
        <f>VLOOKUP($B371,'[1]Plant data'!$A$1:$AB$315,9,0)</f>
        <v>2.9909999999999997</v>
      </c>
      <c r="AB371">
        <f>VLOOKUP($B371,'[1]Plant data'!$A$1:$AB$315,10,0)</f>
        <v>2.53E-2</v>
      </c>
      <c r="AC371" t="str">
        <f>VLOOKUP($B371,'[1]Plant data'!$A$1:$AB$315,11,0)</f>
        <v>NA</v>
      </c>
      <c r="AD371">
        <f>VLOOKUP($B371,'[1]Plant data'!$A$1:$AB$315,12,0)</f>
        <v>1.3000000000000001E-2</v>
      </c>
      <c r="AE371">
        <f>VLOOKUP($B371,'[1]Plant data'!$A$1:$AB$315,13,0)</f>
        <v>1.3000000000000001E-2</v>
      </c>
      <c r="AF371">
        <f>VLOOKUP($B371,'[1]Plant data'!$A$1:$AB$315,14,0)</f>
        <v>1.2299999999999997E-2</v>
      </c>
      <c r="AG371">
        <f>VLOOKUP($B371,'[1]Plant data'!$A$1:$AB$315,15,0)</f>
        <v>1</v>
      </c>
      <c r="AH371" t="str">
        <f>VLOOKUP($B371,'[1]Plant data'!$A$1:$AB$315,16,0)</f>
        <v>NA</v>
      </c>
      <c r="AI371">
        <f>VLOOKUP($B371,'[1]Plant data'!$A$1:$AB$315,17,0)</f>
        <v>1.0569105691056915</v>
      </c>
      <c r="AJ371" t="str">
        <f>VLOOKUP($B371,'[1]Plant data'!$A$1:$AB$315,18,0)</f>
        <v>Erica&amp;Wesley, Kindel 1996, Alves 2008, Correia 1997</v>
      </c>
      <c r="AK371" t="str">
        <f>VLOOKUP($B371,'[1]Plant data'!$A$1:$AB$315,19,0)</f>
        <v>NA</v>
      </c>
      <c r="AL371">
        <f>VLOOKUP($B371,'[1]Plant data'!$A$1:$AB$315,20,0)</f>
        <v>0.50800000000000001</v>
      </c>
      <c r="AM371" t="str">
        <f>VLOOKUP($B371,'[1]Plant data'!$A$1:$AB$315,21,0)</f>
        <v>NA</v>
      </c>
      <c r="AN371">
        <f>VLOOKUP($B371,'[1]Plant data'!$A$1:$AB$315,22,0)</f>
        <v>1.2E-2</v>
      </c>
      <c r="AO371">
        <f>VLOOKUP($B371,'[1]Plant data'!$A$1:$AB$315,23,0)</f>
        <v>4.2000000000000003E-2</v>
      </c>
      <c r="AP371" t="str">
        <f>VLOOKUP($B371,'[1]Plant data'!$A$1:$AB$315,24,0)</f>
        <v>NA</v>
      </c>
      <c r="AQ371" t="str">
        <f>VLOOKUP($B371,'[1]Plant data'!$A$1:$AB$315,25,0)</f>
        <v>NA</v>
      </c>
      <c r="AR371" t="str">
        <f>VLOOKUP($B371,'[1]Plant data'!$A$1:$AB$315,26,0)</f>
        <v>NA</v>
      </c>
      <c r="AS371" t="str">
        <f>VLOOKUP($B371,'[1]Plant data'!$A$1:$AB$315,27,0)</f>
        <v>NA</v>
      </c>
      <c r="AT371" t="str">
        <f>VLOOKUP($B371,'[1]Plant data'!$A$1:$AB$315,28,0)</f>
        <v>Erica &amp; Wesley, unpubl.</v>
      </c>
    </row>
    <row r="372" spans="1:46">
      <c r="A372" s="5" t="s">
        <v>46</v>
      </c>
      <c r="B372" s="32" t="s">
        <v>39</v>
      </c>
      <c r="C372">
        <v>2</v>
      </c>
      <c r="D372" s="16">
        <v>84</v>
      </c>
      <c r="E372" s="8">
        <f>C372/84</f>
        <v>2.3809523809523808E-2</v>
      </c>
      <c r="F372">
        <v>21</v>
      </c>
      <c r="G372" s="9">
        <f>F372/C372</f>
        <v>10.5</v>
      </c>
      <c r="H372" s="9"/>
      <c r="I372" s="8">
        <f t="shared" si="27"/>
        <v>0.25</v>
      </c>
      <c r="J372" s="42" t="s">
        <v>236</v>
      </c>
      <c r="K372" t="s">
        <v>237</v>
      </c>
      <c r="L372" t="s">
        <v>22</v>
      </c>
      <c r="M372" t="s">
        <v>47</v>
      </c>
      <c r="N372" s="11">
        <v>54</v>
      </c>
      <c r="O372" s="11">
        <v>11.14875</v>
      </c>
      <c r="P372" t="s">
        <v>48</v>
      </c>
      <c r="Q372" t="s">
        <v>49</v>
      </c>
      <c r="R372" t="s">
        <v>26</v>
      </c>
      <c r="S372" t="s">
        <v>31</v>
      </c>
      <c r="T372" t="str">
        <f>VLOOKUP(B372,'[1]Plant data'!$A$1:$AB$315,2,0)</f>
        <v>Primulaceae</v>
      </c>
      <c r="U372" t="str">
        <f>VLOOKUP($B372,'[1]Plant data'!$A$1:$AB$315,3,0)</f>
        <v>Rapanea ferruginea, Myrsine ferruginea</v>
      </c>
      <c r="V372" t="str">
        <f>VLOOKUP($B372,'[1]Plant data'!$A$1:$AB$315,4,0)</f>
        <v>black</v>
      </c>
      <c r="W372" t="str">
        <f>VLOOKUP($B372,'[1]Plant data'!$A$1:$AB$315,5,0)</f>
        <v>YES</v>
      </c>
      <c r="X372">
        <f>VLOOKUP($B372,'[1]Plant data'!$A$1:$AB$315,6,0)</f>
        <v>3.5175000000000001</v>
      </c>
      <c r="Y372">
        <f>VLOOKUP($B372,'[1]Plant data'!$A$1:$AB$315,7,0)</f>
        <v>3.7733333333333334</v>
      </c>
      <c r="Z372">
        <f>VLOOKUP($B372,'[1]Plant data'!$A$1:$AB$315,8,0)</f>
        <v>2.96</v>
      </c>
      <c r="AA372">
        <f>VLOOKUP($B372,'[1]Plant data'!$A$1:$AB$315,9,0)</f>
        <v>2.9909999999999997</v>
      </c>
      <c r="AB372">
        <f>VLOOKUP($B372,'[1]Plant data'!$A$1:$AB$315,10,0)</f>
        <v>2.53E-2</v>
      </c>
      <c r="AC372" t="str">
        <f>VLOOKUP($B372,'[1]Plant data'!$A$1:$AB$315,11,0)</f>
        <v>NA</v>
      </c>
      <c r="AD372">
        <f>VLOOKUP($B372,'[1]Plant data'!$A$1:$AB$315,12,0)</f>
        <v>1.3000000000000001E-2</v>
      </c>
      <c r="AE372">
        <f>VLOOKUP($B372,'[1]Plant data'!$A$1:$AB$315,13,0)</f>
        <v>1.3000000000000001E-2</v>
      </c>
      <c r="AF372">
        <f>VLOOKUP($B372,'[1]Plant data'!$A$1:$AB$315,14,0)</f>
        <v>1.2299999999999997E-2</v>
      </c>
      <c r="AG372">
        <f>VLOOKUP($B372,'[1]Plant data'!$A$1:$AB$315,15,0)</f>
        <v>1</v>
      </c>
      <c r="AH372" t="str">
        <f>VLOOKUP($B372,'[1]Plant data'!$A$1:$AB$315,16,0)</f>
        <v>NA</v>
      </c>
      <c r="AI372">
        <f>VLOOKUP($B372,'[1]Plant data'!$A$1:$AB$315,17,0)</f>
        <v>1.0569105691056915</v>
      </c>
      <c r="AJ372" t="str">
        <f>VLOOKUP($B372,'[1]Plant data'!$A$1:$AB$315,18,0)</f>
        <v>Erica&amp;Wesley, Kindel 1996, Alves 2008, Correia 1997</v>
      </c>
      <c r="AK372" t="str">
        <f>VLOOKUP($B372,'[1]Plant data'!$A$1:$AB$315,19,0)</f>
        <v>NA</v>
      </c>
      <c r="AL372">
        <f>VLOOKUP($B372,'[1]Plant data'!$A$1:$AB$315,20,0)</f>
        <v>0.50800000000000001</v>
      </c>
      <c r="AM372" t="str">
        <f>VLOOKUP($B372,'[1]Plant data'!$A$1:$AB$315,21,0)</f>
        <v>NA</v>
      </c>
      <c r="AN372">
        <f>VLOOKUP($B372,'[1]Plant data'!$A$1:$AB$315,22,0)</f>
        <v>1.2E-2</v>
      </c>
      <c r="AO372">
        <f>VLOOKUP($B372,'[1]Plant data'!$A$1:$AB$315,23,0)</f>
        <v>4.2000000000000003E-2</v>
      </c>
      <c r="AP372" t="str">
        <f>VLOOKUP($B372,'[1]Plant data'!$A$1:$AB$315,24,0)</f>
        <v>NA</v>
      </c>
      <c r="AQ372" t="str">
        <f>VLOOKUP($B372,'[1]Plant data'!$A$1:$AB$315,25,0)</f>
        <v>NA</v>
      </c>
      <c r="AR372" t="str">
        <f>VLOOKUP($B372,'[1]Plant data'!$A$1:$AB$315,26,0)</f>
        <v>NA</v>
      </c>
      <c r="AS372" t="str">
        <f>VLOOKUP($B372,'[1]Plant data'!$A$1:$AB$315,27,0)</f>
        <v>NA</v>
      </c>
      <c r="AT372" t="str">
        <f>VLOOKUP($B372,'[1]Plant data'!$A$1:$AB$315,28,0)</f>
        <v>Erica &amp; Wesley, unpubl.</v>
      </c>
    </row>
    <row r="373" spans="1:46">
      <c r="A373" s="5" t="s">
        <v>50</v>
      </c>
      <c r="B373" s="32" t="s">
        <v>39</v>
      </c>
      <c r="C373">
        <v>11</v>
      </c>
      <c r="D373" s="16">
        <v>84</v>
      </c>
      <c r="E373" s="8">
        <f>C373/84</f>
        <v>0.13095238095238096</v>
      </c>
      <c r="F373" s="8">
        <v>206</v>
      </c>
      <c r="G373" s="9">
        <f>F373/C373</f>
        <v>18.727272727272727</v>
      </c>
      <c r="H373" s="9"/>
      <c r="I373" s="8">
        <f t="shared" si="27"/>
        <v>2.4523809523809526</v>
      </c>
      <c r="J373" s="42" t="s">
        <v>236</v>
      </c>
      <c r="K373" t="s">
        <v>237</v>
      </c>
      <c r="L373" t="s">
        <v>22</v>
      </c>
      <c r="M373" t="s">
        <v>47</v>
      </c>
      <c r="N373" s="11">
        <v>69.5</v>
      </c>
      <c r="O373" s="11">
        <v>13.253214290000001</v>
      </c>
      <c r="P373" t="s">
        <v>48</v>
      </c>
      <c r="Q373" t="s">
        <v>25</v>
      </c>
      <c r="R373" t="s">
        <v>26</v>
      </c>
      <c r="S373" t="s">
        <v>31</v>
      </c>
      <c r="T373" t="str">
        <f>VLOOKUP(B373,'[1]Plant data'!$A$1:$AB$315,2,0)</f>
        <v>Primulaceae</v>
      </c>
      <c r="U373" t="str">
        <f>VLOOKUP($B373,'[1]Plant data'!$A$1:$AB$315,3,0)</f>
        <v>Rapanea ferruginea, Myrsine ferruginea</v>
      </c>
      <c r="V373" t="str">
        <f>VLOOKUP($B373,'[1]Plant data'!$A$1:$AB$315,4,0)</f>
        <v>black</v>
      </c>
      <c r="W373" t="str">
        <f>VLOOKUP($B373,'[1]Plant data'!$A$1:$AB$315,5,0)</f>
        <v>YES</v>
      </c>
      <c r="X373">
        <f>VLOOKUP($B373,'[1]Plant data'!$A$1:$AB$315,6,0)</f>
        <v>3.5175000000000001</v>
      </c>
      <c r="Y373">
        <f>VLOOKUP($B373,'[1]Plant data'!$A$1:$AB$315,7,0)</f>
        <v>3.7733333333333334</v>
      </c>
      <c r="Z373">
        <f>VLOOKUP($B373,'[1]Plant data'!$A$1:$AB$315,8,0)</f>
        <v>2.96</v>
      </c>
      <c r="AA373">
        <f>VLOOKUP($B373,'[1]Plant data'!$A$1:$AB$315,9,0)</f>
        <v>2.9909999999999997</v>
      </c>
      <c r="AB373">
        <f>VLOOKUP($B373,'[1]Plant data'!$A$1:$AB$315,10,0)</f>
        <v>2.53E-2</v>
      </c>
      <c r="AC373" t="str">
        <f>VLOOKUP($B373,'[1]Plant data'!$A$1:$AB$315,11,0)</f>
        <v>NA</v>
      </c>
      <c r="AD373">
        <f>VLOOKUP($B373,'[1]Plant data'!$A$1:$AB$315,12,0)</f>
        <v>1.3000000000000001E-2</v>
      </c>
      <c r="AE373">
        <f>VLOOKUP($B373,'[1]Plant data'!$A$1:$AB$315,13,0)</f>
        <v>1.3000000000000001E-2</v>
      </c>
      <c r="AF373">
        <f>VLOOKUP($B373,'[1]Plant data'!$A$1:$AB$315,14,0)</f>
        <v>1.2299999999999997E-2</v>
      </c>
      <c r="AG373">
        <f>VLOOKUP($B373,'[1]Plant data'!$A$1:$AB$315,15,0)</f>
        <v>1</v>
      </c>
      <c r="AH373" t="str">
        <f>VLOOKUP($B373,'[1]Plant data'!$A$1:$AB$315,16,0)</f>
        <v>NA</v>
      </c>
      <c r="AI373">
        <f>VLOOKUP($B373,'[1]Plant data'!$A$1:$AB$315,17,0)</f>
        <v>1.0569105691056915</v>
      </c>
      <c r="AJ373" t="str">
        <f>VLOOKUP($B373,'[1]Plant data'!$A$1:$AB$315,18,0)</f>
        <v>Erica&amp;Wesley, Kindel 1996, Alves 2008, Correia 1997</v>
      </c>
      <c r="AK373" t="str">
        <f>VLOOKUP($B373,'[1]Plant data'!$A$1:$AB$315,19,0)</f>
        <v>NA</v>
      </c>
      <c r="AL373">
        <f>VLOOKUP($B373,'[1]Plant data'!$A$1:$AB$315,20,0)</f>
        <v>0.50800000000000001</v>
      </c>
      <c r="AM373" t="str">
        <f>VLOOKUP($B373,'[1]Plant data'!$A$1:$AB$315,21,0)</f>
        <v>NA</v>
      </c>
      <c r="AN373">
        <f>VLOOKUP($B373,'[1]Plant data'!$A$1:$AB$315,22,0)</f>
        <v>1.2E-2</v>
      </c>
      <c r="AO373">
        <f>VLOOKUP($B373,'[1]Plant data'!$A$1:$AB$315,23,0)</f>
        <v>4.2000000000000003E-2</v>
      </c>
      <c r="AP373" t="str">
        <f>VLOOKUP($B373,'[1]Plant data'!$A$1:$AB$315,24,0)</f>
        <v>NA</v>
      </c>
      <c r="AQ373" t="str">
        <f>VLOOKUP($B373,'[1]Plant data'!$A$1:$AB$315,25,0)</f>
        <v>NA</v>
      </c>
      <c r="AR373" t="str">
        <f>VLOOKUP($B373,'[1]Plant data'!$A$1:$AB$315,26,0)</f>
        <v>NA</v>
      </c>
      <c r="AS373" t="str">
        <f>VLOOKUP($B373,'[1]Plant data'!$A$1:$AB$315,27,0)</f>
        <v>NA</v>
      </c>
      <c r="AT373" t="str">
        <f>VLOOKUP($B373,'[1]Plant data'!$A$1:$AB$315,28,0)</f>
        <v>Erica &amp; Wesley, unpubl.</v>
      </c>
    </row>
    <row r="374" spans="1:46">
      <c r="A374" s="5" t="s">
        <v>43</v>
      </c>
      <c r="B374" s="32" t="s">
        <v>39</v>
      </c>
      <c r="C374">
        <v>33</v>
      </c>
      <c r="D374" s="7">
        <v>38.6</v>
      </c>
      <c r="E374" s="8">
        <f>C374/38.6</f>
        <v>0.85492227979274604</v>
      </c>
      <c r="F374">
        <v>161</v>
      </c>
      <c r="G374" s="9">
        <v>5</v>
      </c>
      <c r="H374" s="9"/>
      <c r="I374" s="8">
        <f t="shared" si="27"/>
        <v>4.2746113989637298</v>
      </c>
      <c r="J374" t="s">
        <v>260</v>
      </c>
      <c r="K374" t="s">
        <v>261</v>
      </c>
      <c r="L374" t="s">
        <v>22</v>
      </c>
      <c r="M374" t="s">
        <v>30</v>
      </c>
      <c r="N374" s="11">
        <v>32.5</v>
      </c>
      <c r="O374" s="11">
        <v>8.9205555560000001</v>
      </c>
      <c r="P374" t="s">
        <v>24</v>
      </c>
      <c r="Q374" t="s">
        <v>25</v>
      </c>
      <c r="R374" t="s">
        <v>26</v>
      </c>
      <c r="S374" t="s">
        <v>31</v>
      </c>
      <c r="T374" t="str">
        <f>VLOOKUP(B374,'[1]Plant data'!$A$1:$AB$315,2,0)</f>
        <v>Primulaceae</v>
      </c>
      <c r="U374" t="str">
        <f>VLOOKUP($B374,'[1]Plant data'!$A$1:$AB$315,3,0)</f>
        <v>Rapanea ferruginea, Myrsine ferruginea</v>
      </c>
      <c r="V374" t="str">
        <f>VLOOKUP($B374,'[1]Plant data'!$A$1:$AB$315,4,0)</f>
        <v>black</v>
      </c>
      <c r="W374" t="str">
        <f>VLOOKUP($B374,'[1]Plant data'!$A$1:$AB$315,5,0)</f>
        <v>YES</v>
      </c>
      <c r="X374">
        <f>VLOOKUP($B374,'[1]Plant data'!$A$1:$AB$315,6,0)</f>
        <v>3.5175000000000001</v>
      </c>
      <c r="Y374">
        <f>VLOOKUP($B374,'[1]Plant data'!$A$1:$AB$315,7,0)</f>
        <v>3.7733333333333334</v>
      </c>
      <c r="Z374">
        <f>VLOOKUP($B374,'[1]Plant data'!$A$1:$AB$315,8,0)</f>
        <v>2.96</v>
      </c>
      <c r="AA374">
        <f>VLOOKUP($B374,'[1]Plant data'!$A$1:$AB$315,9,0)</f>
        <v>2.9909999999999997</v>
      </c>
      <c r="AB374">
        <f>VLOOKUP($B374,'[1]Plant data'!$A$1:$AB$315,10,0)</f>
        <v>2.53E-2</v>
      </c>
      <c r="AC374" t="str">
        <f>VLOOKUP($B374,'[1]Plant data'!$A$1:$AB$315,11,0)</f>
        <v>NA</v>
      </c>
      <c r="AD374">
        <f>VLOOKUP($B374,'[1]Plant data'!$A$1:$AB$315,12,0)</f>
        <v>1.3000000000000001E-2</v>
      </c>
      <c r="AE374">
        <f>VLOOKUP($B374,'[1]Plant data'!$A$1:$AB$315,13,0)</f>
        <v>1.3000000000000001E-2</v>
      </c>
      <c r="AF374">
        <f>VLOOKUP($B374,'[1]Plant data'!$A$1:$AB$315,14,0)</f>
        <v>1.2299999999999997E-2</v>
      </c>
      <c r="AG374">
        <f>VLOOKUP($B374,'[1]Plant data'!$A$1:$AB$315,15,0)</f>
        <v>1</v>
      </c>
      <c r="AH374" t="str">
        <f>VLOOKUP($B374,'[1]Plant data'!$A$1:$AB$315,16,0)</f>
        <v>NA</v>
      </c>
      <c r="AI374">
        <f>VLOOKUP($B374,'[1]Plant data'!$A$1:$AB$315,17,0)</f>
        <v>1.0569105691056915</v>
      </c>
      <c r="AJ374" t="str">
        <f>VLOOKUP($B374,'[1]Plant data'!$A$1:$AB$315,18,0)</f>
        <v>Erica&amp;Wesley, Kindel 1996, Alves 2008, Correia 1997</v>
      </c>
      <c r="AK374" t="str">
        <f>VLOOKUP($B374,'[1]Plant data'!$A$1:$AB$315,19,0)</f>
        <v>NA</v>
      </c>
      <c r="AL374">
        <f>VLOOKUP($B374,'[1]Plant data'!$A$1:$AB$315,20,0)</f>
        <v>0.50800000000000001</v>
      </c>
      <c r="AM374" t="str">
        <f>VLOOKUP($B374,'[1]Plant data'!$A$1:$AB$315,21,0)</f>
        <v>NA</v>
      </c>
      <c r="AN374">
        <f>VLOOKUP($B374,'[1]Plant data'!$A$1:$AB$315,22,0)</f>
        <v>1.2E-2</v>
      </c>
      <c r="AO374">
        <f>VLOOKUP($B374,'[1]Plant data'!$A$1:$AB$315,23,0)</f>
        <v>4.2000000000000003E-2</v>
      </c>
      <c r="AP374" t="str">
        <f>VLOOKUP($B374,'[1]Plant data'!$A$1:$AB$315,24,0)</f>
        <v>NA</v>
      </c>
      <c r="AQ374" t="str">
        <f>VLOOKUP($B374,'[1]Plant data'!$A$1:$AB$315,25,0)</f>
        <v>NA</v>
      </c>
      <c r="AR374" t="str">
        <f>VLOOKUP($B374,'[1]Plant data'!$A$1:$AB$315,26,0)</f>
        <v>NA</v>
      </c>
      <c r="AS374" t="str">
        <f>VLOOKUP($B374,'[1]Plant data'!$A$1:$AB$315,27,0)</f>
        <v>NA</v>
      </c>
      <c r="AT374" t="str">
        <f>VLOOKUP($B374,'[1]Plant data'!$A$1:$AB$315,28,0)</f>
        <v>Erica &amp; Wesley, unpubl.</v>
      </c>
    </row>
    <row r="375" spans="1:46">
      <c r="A375" s="5" t="s">
        <v>106</v>
      </c>
      <c r="B375" s="32" t="s">
        <v>39</v>
      </c>
      <c r="C375">
        <v>3</v>
      </c>
      <c r="D375" s="7">
        <v>38.6</v>
      </c>
      <c r="E375" s="8">
        <f>C375/38.6</f>
        <v>7.7720207253886009E-2</v>
      </c>
      <c r="F375">
        <v>28</v>
      </c>
      <c r="G375" s="9">
        <v>9</v>
      </c>
      <c r="H375" s="9"/>
      <c r="I375" s="8">
        <f t="shared" si="27"/>
        <v>0.69948186528497414</v>
      </c>
      <c r="J375" t="s">
        <v>260</v>
      </c>
      <c r="K375" t="s">
        <v>261</v>
      </c>
      <c r="L375" t="s">
        <v>22</v>
      </c>
      <c r="M375" t="s">
        <v>75</v>
      </c>
      <c r="N375" s="11">
        <v>68.099999999999994</v>
      </c>
      <c r="O375" s="11">
        <v>16.570370369999999</v>
      </c>
      <c r="P375" t="s">
        <v>48</v>
      </c>
      <c r="Q375" t="s">
        <v>49</v>
      </c>
      <c r="R375" t="s">
        <v>26</v>
      </c>
      <c r="S375" t="s">
        <v>27</v>
      </c>
      <c r="T375" t="str">
        <f>VLOOKUP(B375,'[1]Plant data'!$A$1:$AB$315,2,0)</f>
        <v>Primulaceae</v>
      </c>
      <c r="U375" t="str">
        <f>VLOOKUP($B375,'[1]Plant data'!$A$1:$AB$315,3,0)</f>
        <v>Rapanea ferruginea, Myrsine ferruginea</v>
      </c>
      <c r="V375" t="str">
        <f>VLOOKUP($B375,'[1]Plant data'!$A$1:$AB$315,4,0)</f>
        <v>black</v>
      </c>
      <c r="W375" t="str">
        <f>VLOOKUP($B375,'[1]Plant data'!$A$1:$AB$315,5,0)</f>
        <v>YES</v>
      </c>
      <c r="X375">
        <f>VLOOKUP($B375,'[1]Plant data'!$A$1:$AB$315,6,0)</f>
        <v>3.5175000000000001</v>
      </c>
      <c r="Y375">
        <f>VLOOKUP($B375,'[1]Plant data'!$A$1:$AB$315,7,0)</f>
        <v>3.7733333333333334</v>
      </c>
      <c r="Z375">
        <f>VLOOKUP($B375,'[1]Plant data'!$A$1:$AB$315,8,0)</f>
        <v>2.96</v>
      </c>
      <c r="AA375">
        <f>VLOOKUP($B375,'[1]Plant data'!$A$1:$AB$315,9,0)</f>
        <v>2.9909999999999997</v>
      </c>
      <c r="AB375">
        <f>VLOOKUP($B375,'[1]Plant data'!$A$1:$AB$315,10,0)</f>
        <v>2.53E-2</v>
      </c>
      <c r="AC375" t="str">
        <f>VLOOKUP($B375,'[1]Plant data'!$A$1:$AB$315,11,0)</f>
        <v>NA</v>
      </c>
      <c r="AD375">
        <f>VLOOKUP($B375,'[1]Plant data'!$A$1:$AB$315,12,0)</f>
        <v>1.3000000000000001E-2</v>
      </c>
      <c r="AE375">
        <f>VLOOKUP($B375,'[1]Plant data'!$A$1:$AB$315,13,0)</f>
        <v>1.3000000000000001E-2</v>
      </c>
      <c r="AF375">
        <f>VLOOKUP($B375,'[1]Plant data'!$A$1:$AB$315,14,0)</f>
        <v>1.2299999999999997E-2</v>
      </c>
      <c r="AG375">
        <f>VLOOKUP($B375,'[1]Plant data'!$A$1:$AB$315,15,0)</f>
        <v>1</v>
      </c>
      <c r="AH375" t="str">
        <f>VLOOKUP($B375,'[1]Plant data'!$A$1:$AB$315,16,0)</f>
        <v>NA</v>
      </c>
      <c r="AI375">
        <f>VLOOKUP($B375,'[1]Plant data'!$A$1:$AB$315,17,0)</f>
        <v>1.0569105691056915</v>
      </c>
      <c r="AJ375" t="str">
        <f>VLOOKUP($B375,'[1]Plant data'!$A$1:$AB$315,18,0)</f>
        <v>Erica&amp;Wesley, Kindel 1996, Alves 2008, Correia 1997</v>
      </c>
      <c r="AK375" t="str">
        <f>VLOOKUP($B375,'[1]Plant data'!$A$1:$AB$315,19,0)</f>
        <v>NA</v>
      </c>
      <c r="AL375">
        <f>VLOOKUP($B375,'[1]Plant data'!$A$1:$AB$315,20,0)</f>
        <v>0.50800000000000001</v>
      </c>
      <c r="AM375" t="str">
        <f>VLOOKUP($B375,'[1]Plant data'!$A$1:$AB$315,21,0)</f>
        <v>NA</v>
      </c>
      <c r="AN375">
        <f>VLOOKUP($B375,'[1]Plant data'!$A$1:$AB$315,22,0)</f>
        <v>1.2E-2</v>
      </c>
      <c r="AO375">
        <f>VLOOKUP($B375,'[1]Plant data'!$A$1:$AB$315,23,0)</f>
        <v>4.2000000000000003E-2</v>
      </c>
      <c r="AP375" t="str">
        <f>VLOOKUP($B375,'[1]Plant data'!$A$1:$AB$315,24,0)</f>
        <v>NA</v>
      </c>
      <c r="AQ375" t="str">
        <f>VLOOKUP($B375,'[1]Plant data'!$A$1:$AB$315,25,0)</f>
        <v>NA</v>
      </c>
      <c r="AR375" t="str">
        <f>VLOOKUP($B375,'[1]Plant data'!$A$1:$AB$315,26,0)</f>
        <v>NA</v>
      </c>
      <c r="AS375" t="str">
        <f>VLOOKUP($B375,'[1]Plant data'!$A$1:$AB$315,27,0)</f>
        <v>NA</v>
      </c>
      <c r="AT375" t="str">
        <f>VLOOKUP($B375,'[1]Plant data'!$A$1:$AB$315,28,0)</f>
        <v>Erica &amp; Wesley, unpubl.</v>
      </c>
    </row>
    <row r="376" spans="1:46">
      <c r="A376" s="5" t="s">
        <v>50</v>
      </c>
      <c r="B376" s="32" t="s">
        <v>39</v>
      </c>
      <c r="C376">
        <v>22</v>
      </c>
      <c r="D376" s="7">
        <v>38.6</v>
      </c>
      <c r="E376" s="8">
        <f>C376/38.6</f>
        <v>0.56994818652849744</v>
      </c>
      <c r="F376">
        <v>682</v>
      </c>
      <c r="G376" s="9">
        <v>31</v>
      </c>
      <c r="H376" s="9"/>
      <c r="I376" s="8">
        <f t="shared" si="27"/>
        <v>17.668393782383422</v>
      </c>
      <c r="J376" t="s">
        <v>260</v>
      </c>
      <c r="K376" t="s">
        <v>261</v>
      </c>
      <c r="L376" t="s">
        <v>22</v>
      </c>
      <c r="M376" t="s">
        <v>47</v>
      </c>
      <c r="N376" s="11">
        <v>69.5</v>
      </c>
      <c r="O376" s="11">
        <v>13.253214290000001</v>
      </c>
      <c r="P376" t="s">
        <v>48</v>
      </c>
      <c r="Q376" t="s">
        <v>25</v>
      </c>
      <c r="R376" t="s">
        <v>26</v>
      </c>
      <c r="S376" t="s">
        <v>31</v>
      </c>
      <c r="T376" t="str">
        <f>VLOOKUP(B376,'[1]Plant data'!$A$1:$AB$315,2,0)</f>
        <v>Primulaceae</v>
      </c>
      <c r="U376" t="str">
        <f>VLOOKUP($B376,'[1]Plant data'!$A$1:$AB$315,3,0)</f>
        <v>Rapanea ferruginea, Myrsine ferruginea</v>
      </c>
      <c r="V376" t="str">
        <f>VLOOKUP($B376,'[1]Plant data'!$A$1:$AB$315,4,0)</f>
        <v>black</v>
      </c>
      <c r="W376" t="str">
        <f>VLOOKUP($B376,'[1]Plant data'!$A$1:$AB$315,5,0)</f>
        <v>YES</v>
      </c>
      <c r="X376">
        <f>VLOOKUP($B376,'[1]Plant data'!$A$1:$AB$315,6,0)</f>
        <v>3.5175000000000001</v>
      </c>
      <c r="Y376">
        <f>VLOOKUP($B376,'[1]Plant data'!$A$1:$AB$315,7,0)</f>
        <v>3.7733333333333334</v>
      </c>
      <c r="Z376">
        <f>VLOOKUP($B376,'[1]Plant data'!$A$1:$AB$315,8,0)</f>
        <v>2.96</v>
      </c>
      <c r="AA376">
        <f>VLOOKUP($B376,'[1]Plant data'!$A$1:$AB$315,9,0)</f>
        <v>2.9909999999999997</v>
      </c>
      <c r="AB376">
        <f>VLOOKUP($B376,'[1]Plant data'!$A$1:$AB$315,10,0)</f>
        <v>2.53E-2</v>
      </c>
      <c r="AC376" t="str">
        <f>VLOOKUP($B376,'[1]Plant data'!$A$1:$AB$315,11,0)</f>
        <v>NA</v>
      </c>
      <c r="AD376">
        <f>VLOOKUP($B376,'[1]Plant data'!$A$1:$AB$315,12,0)</f>
        <v>1.3000000000000001E-2</v>
      </c>
      <c r="AE376">
        <f>VLOOKUP($B376,'[1]Plant data'!$A$1:$AB$315,13,0)</f>
        <v>1.3000000000000001E-2</v>
      </c>
      <c r="AF376">
        <f>VLOOKUP($B376,'[1]Plant data'!$A$1:$AB$315,14,0)</f>
        <v>1.2299999999999997E-2</v>
      </c>
      <c r="AG376">
        <f>VLOOKUP($B376,'[1]Plant data'!$A$1:$AB$315,15,0)</f>
        <v>1</v>
      </c>
      <c r="AH376" t="str">
        <f>VLOOKUP($B376,'[1]Plant data'!$A$1:$AB$315,16,0)</f>
        <v>NA</v>
      </c>
      <c r="AI376">
        <f>VLOOKUP($B376,'[1]Plant data'!$A$1:$AB$315,17,0)</f>
        <v>1.0569105691056915</v>
      </c>
      <c r="AJ376" t="str">
        <f>VLOOKUP($B376,'[1]Plant data'!$A$1:$AB$315,18,0)</f>
        <v>Erica&amp;Wesley, Kindel 1996, Alves 2008, Correia 1997</v>
      </c>
      <c r="AK376" t="str">
        <f>VLOOKUP($B376,'[1]Plant data'!$A$1:$AB$315,19,0)</f>
        <v>NA</v>
      </c>
      <c r="AL376">
        <f>VLOOKUP($B376,'[1]Plant data'!$A$1:$AB$315,20,0)</f>
        <v>0.50800000000000001</v>
      </c>
      <c r="AM376" t="str">
        <f>VLOOKUP($B376,'[1]Plant data'!$A$1:$AB$315,21,0)</f>
        <v>NA</v>
      </c>
      <c r="AN376">
        <f>VLOOKUP($B376,'[1]Plant data'!$A$1:$AB$315,22,0)</f>
        <v>1.2E-2</v>
      </c>
      <c r="AO376">
        <f>VLOOKUP($B376,'[1]Plant data'!$A$1:$AB$315,23,0)</f>
        <v>4.2000000000000003E-2</v>
      </c>
      <c r="AP376" t="str">
        <f>VLOOKUP($B376,'[1]Plant data'!$A$1:$AB$315,24,0)</f>
        <v>NA</v>
      </c>
      <c r="AQ376" t="str">
        <f>VLOOKUP($B376,'[1]Plant data'!$A$1:$AB$315,25,0)</f>
        <v>NA</v>
      </c>
      <c r="AR376" t="str">
        <f>VLOOKUP($B376,'[1]Plant data'!$A$1:$AB$315,26,0)</f>
        <v>NA</v>
      </c>
      <c r="AS376" t="str">
        <f>VLOOKUP($B376,'[1]Plant data'!$A$1:$AB$315,27,0)</f>
        <v>NA</v>
      </c>
      <c r="AT376" t="str">
        <f>VLOOKUP($B376,'[1]Plant data'!$A$1:$AB$315,28,0)</f>
        <v>Erica &amp; Wesley, unpubl.</v>
      </c>
    </row>
    <row r="377" spans="1:46">
      <c r="A377" s="5" t="s">
        <v>62</v>
      </c>
      <c r="B377" s="33" t="s">
        <v>39</v>
      </c>
      <c r="C377">
        <v>3</v>
      </c>
      <c r="D377">
        <v>21</v>
      </c>
      <c r="E377" s="8">
        <f>C377/21</f>
        <v>0.14285714285714285</v>
      </c>
      <c r="F377">
        <v>14</v>
      </c>
      <c r="G377" s="9">
        <f t="shared" ref="G377:G384" si="28">F377/C377</f>
        <v>4.666666666666667</v>
      </c>
      <c r="H377" s="9"/>
      <c r="I377" s="8">
        <f t="shared" si="27"/>
        <v>0.66666666666666663</v>
      </c>
      <c r="J377" t="s">
        <v>262</v>
      </c>
      <c r="K377" t="s">
        <v>263</v>
      </c>
      <c r="L377" t="s">
        <v>22</v>
      </c>
      <c r="M377" t="s">
        <v>30</v>
      </c>
      <c r="N377" s="11">
        <v>18.7</v>
      </c>
      <c r="O377" s="11">
        <v>6.1185714290000002</v>
      </c>
      <c r="P377" t="s">
        <v>24</v>
      </c>
      <c r="Q377" t="s">
        <v>25</v>
      </c>
      <c r="R377" t="s">
        <v>26</v>
      </c>
      <c r="S377" t="s">
        <v>31</v>
      </c>
      <c r="T377" t="str">
        <f>VLOOKUP(B377,'[1]Plant data'!$A$1:$AB$315,2,0)</f>
        <v>Primulaceae</v>
      </c>
      <c r="U377" t="str">
        <f>VLOOKUP($B377,'[1]Plant data'!$A$1:$AB$315,3,0)</f>
        <v>Rapanea ferruginea, Myrsine ferruginea</v>
      </c>
      <c r="V377" t="str">
        <f>VLOOKUP($B377,'[1]Plant data'!$A$1:$AB$315,4,0)</f>
        <v>black</v>
      </c>
      <c r="W377" t="str">
        <f>VLOOKUP($B377,'[1]Plant data'!$A$1:$AB$315,5,0)</f>
        <v>YES</v>
      </c>
      <c r="X377">
        <f>VLOOKUP($B377,'[1]Plant data'!$A$1:$AB$315,6,0)</f>
        <v>3.5175000000000001</v>
      </c>
      <c r="Y377">
        <f>VLOOKUP($B377,'[1]Plant data'!$A$1:$AB$315,7,0)</f>
        <v>3.7733333333333334</v>
      </c>
      <c r="Z377">
        <f>VLOOKUP($B377,'[1]Plant data'!$A$1:$AB$315,8,0)</f>
        <v>2.96</v>
      </c>
      <c r="AA377">
        <f>VLOOKUP($B377,'[1]Plant data'!$A$1:$AB$315,9,0)</f>
        <v>2.9909999999999997</v>
      </c>
      <c r="AB377">
        <f>VLOOKUP($B377,'[1]Plant data'!$A$1:$AB$315,10,0)</f>
        <v>2.53E-2</v>
      </c>
      <c r="AC377" t="str">
        <f>VLOOKUP($B377,'[1]Plant data'!$A$1:$AB$315,11,0)</f>
        <v>NA</v>
      </c>
      <c r="AD377">
        <f>VLOOKUP($B377,'[1]Plant data'!$A$1:$AB$315,12,0)</f>
        <v>1.3000000000000001E-2</v>
      </c>
      <c r="AE377">
        <f>VLOOKUP($B377,'[1]Plant data'!$A$1:$AB$315,13,0)</f>
        <v>1.3000000000000001E-2</v>
      </c>
      <c r="AF377">
        <f>VLOOKUP($B377,'[1]Plant data'!$A$1:$AB$315,14,0)</f>
        <v>1.2299999999999997E-2</v>
      </c>
      <c r="AG377">
        <f>VLOOKUP($B377,'[1]Plant data'!$A$1:$AB$315,15,0)</f>
        <v>1</v>
      </c>
      <c r="AH377" t="str">
        <f>VLOOKUP($B377,'[1]Plant data'!$A$1:$AB$315,16,0)</f>
        <v>NA</v>
      </c>
      <c r="AI377">
        <f>VLOOKUP($B377,'[1]Plant data'!$A$1:$AB$315,17,0)</f>
        <v>1.0569105691056915</v>
      </c>
      <c r="AJ377" t="str">
        <f>VLOOKUP($B377,'[1]Plant data'!$A$1:$AB$315,18,0)</f>
        <v>Erica&amp;Wesley, Kindel 1996, Alves 2008, Correia 1997</v>
      </c>
      <c r="AK377" t="str">
        <f>VLOOKUP($B377,'[1]Plant data'!$A$1:$AB$315,19,0)</f>
        <v>NA</v>
      </c>
      <c r="AL377">
        <f>VLOOKUP($B377,'[1]Plant data'!$A$1:$AB$315,20,0)</f>
        <v>0.50800000000000001</v>
      </c>
      <c r="AM377" t="str">
        <f>VLOOKUP($B377,'[1]Plant data'!$A$1:$AB$315,21,0)</f>
        <v>NA</v>
      </c>
      <c r="AN377">
        <f>VLOOKUP($B377,'[1]Plant data'!$A$1:$AB$315,22,0)</f>
        <v>1.2E-2</v>
      </c>
      <c r="AO377">
        <f>VLOOKUP($B377,'[1]Plant data'!$A$1:$AB$315,23,0)</f>
        <v>4.2000000000000003E-2</v>
      </c>
      <c r="AP377" t="str">
        <f>VLOOKUP($B377,'[1]Plant data'!$A$1:$AB$315,24,0)</f>
        <v>NA</v>
      </c>
      <c r="AQ377" t="str">
        <f>VLOOKUP($B377,'[1]Plant data'!$A$1:$AB$315,25,0)</f>
        <v>NA</v>
      </c>
      <c r="AR377" t="str">
        <f>VLOOKUP($B377,'[1]Plant data'!$A$1:$AB$315,26,0)</f>
        <v>NA</v>
      </c>
      <c r="AS377" t="str">
        <f>VLOOKUP($B377,'[1]Plant data'!$A$1:$AB$315,27,0)</f>
        <v>NA</v>
      </c>
      <c r="AT377" t="str">
        <f>VLOOKUP($B377,'[1]Plant data'!$A$1:$AB$315,28,0)</f>
        <v>Erica &amp; Wesley, unpubl.</v>
      </c>
    </row>
    <row r="378" spans="1:46">
      <c r="A378" s="5" t="s">
        <v>90</v>
      </c>
      <c r="B378" s="32" t="s">
        <v>39</v>
      </c>
      <c r="C378">
        <v>2</v>
      </c>
      <c r="D378">
        <v>21</v>
      </c>
      <c r="E378" s="8">
        <f t="shared" ref="E378:E387" si="29">C378/D378</f>
        <v>9.5238095238095233E-2</v>
      </c>
      <c r="F378">
        <v>23</v>
      </c>
      <c r="G378" s="9">
        <f t="shared" si="28"/>
        <v>11.5</v>
      </c>
      <c r="H378" s="9"/>
      <c r="I378" s="8">
        <f t="shared" si="27"/>
        <v>1.0952380952380951</v>
      </c>
      <c r="J378" t="s">
        <v>284</v>
      </c>
      <c r="K378" t="s">
        <v>263</v>
      </c>
      <c r="L378" t="s">
        <v>93</v>
      </c>
      <c r="M378" t="s">
        <v>94</v>
      </c>
      <c r="N378" s="11">
        <v>331</v>
      </c>
      <c r="O378" s="11">
        <v>30.7</v>
      </c>
      <c r="P378" t="s">
        <v>48</v>
      </c>
      <c r="Q378" t="s">
        <v>95</v>
      </c>
      <c r="R378" t="s">
        <v>26</v>
      </c>
      <c r="S378" t="s">
        <v>27</v>
      </c>
      <c r="T378" t="str">
        <f>VLOOKUP(B378,'[1]Plant data'!$A$1:$AB$315,2,0)</f>
        <v>Primulaceae</v>
      </c>
      <c r="U378" t="str">
        <f>VLOOKUP($B378,'[1]Plant data'!$A$1:$AB$315,3,0)</f>
        <v>Rapanea ferruginea, Myrsine ferruginea</v>
      </c>
      <c r="V378" t="str">
        <f>VLOOKUP($B378,'[1]Plant data'!$A$1:$AB$315,4,0)</f>
        <v>black</v>
      </c>
      <c r="W378" t="str">
        <f>VLOOKUP($B378,'[1]Plant data'!$A$1:$AB$315,5,0)</f>
        <v>YES</v>
      </c>
      <c r="X378">
        <f>VLOOKUP($B378,'[1]Plant data'!$A$1:$AB$315,6,0)</f>
        <v>3.5175000000000001</v>
      </c>
      <c r="Y378">
        <f>VLOOKUP($B378,'[1]Plant data'!$A$1:$AB$315,7,0)</f>
        <v>3.7733333333333334</v>
      </c>
      <c r="Z378">
        <f>VLOOKUP($B378,'[1]Plant data'!$A$1:$AB$315,8,0)</f>
        <v>2.96</v>
      </c>
      <c r="AA378">
        <f>VLOOKUP($B378,'[1]Plant data'!$A$1:$AB$315,9,0)</f>
        <v>2.9909999999999997</v>
      </c>
      <c r="AB378">
        <f>VLOOKUP($B378,'[1]Plant data'!$A$1:$AB$315,10,0)</f>
        <v>2.53E-2</v>
      </c>
      <c r="AC378" t="str">
        <f>VLOOKUP($B378,'[1]Plant data'!$A$1:$AB$315,11,0)</f>
        <v>NA</v>
      </c>
      <c r="AD378">
        <f>VLOOKUP($B378,'[1]Plant data'!$A$1:$AB$315,12,0)</f>
        <v>1.3000000000000001E-2</v>
      </c>
      <c r="AE378">
        <f>VLOOKUP($B378,'[1]Plant data'!$A$1:$AB$315,13,0)</f>
        <v>1.3000000000000001E-2</v>
      </c>
      <c r="AF378">
        <f>VLOOKUP($B378,'[1]Plant data'!$A$1:$AB$315,14,0)</f>
        <v>1.2299999999999997E-2</v>
      </c>
      <c r="AG378">
        <f>VLOOKUP($B378,'[1]Plant data'!$A$1:$AB$315,15,0)</f>
        <v>1</v>
      </c>
      <c r="AH378" t="str">
        <f>VLOOKUP($B378,'[1]Plant data'!$A$1:$AB$315,16,0)</f>
        <v>NA</v>
      </c>
      <c r="AI378">
        <f>VLOOKUP($B378,'[1]Plant data'!$A$1:$AB$315,17,0)</f>
        <v>1.0569105691056915</v>
      </c>
      <c r="AJ378" t="str">
        <f>VLOOKUP($B378,'[1]Plant data'!$A$1:$AB$315,18,0)</f>
        <v>Erica&amp;Wesley, Kindel 1996, Alves 2008, Correia 1997</v>
      </c>
      <c r="AK378" t="str">
        <f>VLOOKUP($B378,'[1]Plant data'!$A$1:$AB$315,19,0)</f>
        <v>NA</v>
      </c>
      <c r="AL378">
        <f>VLOOKUP($B378,'[1]Plant data'!$A$1:$AB$315,20,0)</f>
        <v>0.50800000000000001</v>
      </c>
      <c r="AM378" t="str">
        <f>VLOOKUP($B378,'[1]Plant data'!$A$1:$AB$315,21,0)</f>
        <v>NA</v>
      </c>
      <c r="AN378">
        <f>VLOOKUP($B378,'[1]Plant data'!$A$1:$AB$315,22,0)</f>
        <v>1.2E-2</v>
      </c>
      <c r="AO378">
        <f>VLOOKUP($B378,'[1]Plant data'!$A$1:$AB$315,23,0)</f>
        <v>4.2000000000000003E-2</v>
      </c>
      <c r="AP378" t="str">
        <f>VLOOKUP($B378,'[1]Plant data'!$A$1:$AB$315,24,0)</f>
        <v>NA</v>
      </c>
      <c r="AQ378" t="str">
        <f>VLOOKUP($B378,'[1]Plant data'!$A$1:$AB$315,25,0)</f>
        <v>NA</v>
      </c>
      <c r="AR378" t="str">
        <f>VLOOKUP($B378,'[1]Plant data'!$A$1:$AB$315,26,0)</f>
        <v>NA</v>
      </c>
      <c r="AS378" t="str">
        <f>VLOOKUP($B378,'[1]Plant data'!$A$1:$AB$315,27,0)</f>
        <v>NA</v>
      </c>
      <c r="AT378" t="str">
        <f>VLOOKUP($B378,'[1]Plant data'!$A$1:$AB$315,28,0)</f>
        <v>Erica &amp; Wesley, unpubl.</v>
      </c>
    </row>
    <row r="379" spans="1:46">
      <c r="A379" s="5" t="s">
        <v>32</v>
      </c>
      <c r="B379" s="32" t="s">
        <v>39</v>
      </c>
      <c r="C379">
        <v>10</v>
      </c>
      <c r="D379">
        <v>21</v>
      </c>
      <c r="E379" s="8">
        <f t="shared" si="29"/>
        <v>0.47619047619047616</v>
      </c>
      <c r="F379">
        <v>35</v>
      </c>
      <c r="G379" s="9">
        <f t="shared" si="28"/>
        <v>3.5</v>
      </c>
      <c r="H379" s="9"/>
      <c r="I379" s="8">
        <f t="shared" si="27"/>
        <v>1.6666666666666665</v>
      </c>
      <c r="J379" t="s">
        <v>284</v>
      </c>
      <c r="K379" t="s">
        <v>263</v>
      </c>
      <c r="L379" t="s">
        <v>22</v>
      </c>
      <c r="M379" t="s">
        <v>30</v>
      </c>
      <c r="N379" s="11">
        <v>18</v>
      </c>
      <c r="O379" s="11">
        <v>5.1684999999999999</v>
      </c>
      <c r="P379" t="s">
        <v>24</v>
      </c>
      <c r="Q379" s="13" t="s">
        <v>25</v>
      </c>
      <c r="R379" s="13" t="s">
        <v>26</v>
      </c>
      <c r="S379" s="13" t="s">
        <v>31</v>
      </c>
      <c r="T379" t="str">
        <f>VLOOKUP(B379,'[1]Plant data'!$A$1:$AB$315,2,0)</f>
        <v>Primulaceae</v>
      </c>
      <c r="U379" t="str">
        <f>VLOOKUP($B379,'[1]Plant data'!$A$1:$AB$315,3,0)</f>
        <v>Rapanea ferruginea, Myrsine ferruginea</v>
      </c>
      <c r="V379" t="str">
        <f>VLOOKUP($B379,'[1]Plant data'!$A$1:$AB$315,4,0)</f>
        <v>black</v>
      </c>
      <c r="W379" t="str">
        <f>VLOOKUP($B379,'[1]Plant data'!$A$1:$AB$315,5,0)</f>
        <v>YES</v>
      </c>
      <c r="X379">
        <f>VLOOKUP($B379,'[1]Plant data'!$A$1:$AB$315,6,0)</f>
        <v>3.5175000000000001</v>
      </c>
      <c r="Y379">
        <f>VLOOKUP($B379,'[1]Plant data'!$A$1:$AB$315,7,0)</f>
        <v>3.7733333333333334</v>
      </c>
      <c r="Z379">
        <f>VLOOKUP($B379,'[1]Plant data'!$A$1:$AB$315,8,0)</f>
        <v>2.96</v>
      </c>
      <c r="AA379">
        <f>VLOOKUP($B379,'[1]Plant data'!$A$1:$AB$315,9,0)</f>
        <v>2.9909999999999997</v>
      </c>
      <c r="AB379">
        <f>VLOOKUP($B379,'[1]Plant data'!$A$1:$AB$315,10,0)</f>
        <v>2.53E-2</v>
      </c>
      <c r="AC379" t="str">
        <f>VLOOKUP($B379,'[1]Plant data'!$A$1:$AB$315,11,0)</f>
        <v>NA</v>
      </c>
      <c r="AD379">
        <f>VLOOKUP($B379,'[1]Plant data'!$A$1:$AB$315,12,0)</f>
        <v>1.3000000000000001E-2</v>
      </c>
      <c r="AE379">
        <f>VLOOKUP($B379,'[1]Plant data'!$A$1:$AB$315,13,0)</f>
        <v>1.3000000000000001E-2</v>
      </c>
      <c r="AF379">
        <f>VLOOKUP($B379,'[1]Plant data'!$A$1:$AB$315,14,0)</f>
        <v>1.2299999999999997E-2</v>
      </c>
      <c r="AG379">
        <f>VLOOKUP($B379,'[1]Plant data'!$A$1:$AB$315,15,0)</f>
        <v>1</v>
      </c>
      <c r="AH379" t="str">
        <f>VLOOKUP($B379,'[1]Plant data'!$A$1:$AB$315,16,0)</f>
        <v>NA</v>
      </c>
      <c r="AI379">
        <f>VLOOKUP($B379,'[1]Plant data'!$A$1:$AB$315,17,0)</f>
        <v>1.0569105691056915</v>
      </c>
      <c r="AJ379" t="str">
        <f>VLOOKUP($B379,'[1]Plant data'!$A$1:$AB$315,18,0)</f>
        <v>Erica&amp;Wesley, Kindel 1996, Alves 2008, Correia 1997</v>
      </c>
      <c r="AK379" t="str">
        <f>VLOOKUP($B379,'[1]Plant data'!$A$1:$AB$315,19,0)</f>
        <v>NA</v>
      </c>
      <c r="AL379">
        <f>VLOOKUP($B379,'[1]Plant data'!$A$1:$AB$315,20,0)</f>
        <v>0.50800000000000001</v>
      </c>
      <c r="AM379" t="str">
        <f>VLOOKUP($B379,'[1]Plant data'!$A$1:$AB$315,21,0)</f>
        <v>NA</v>
      </c>
      <c r="AN379">
        <f>VLOOKUP($B379,'[1]Plant data'!$A$1:$AB$315,22,0)</f>
        <v>1.2E-2</v>
      </c>
      <c r="AO379">
        <f>VLOOKUP($B379,'[1]Plant data'!$A$1:$AB$315,23,0)</f>
        <v>4.2000000000000003E-2</v>
      </c>
      <c r="AP379" t="str">
        <f>VLOOKUP($B379,'[1]Plant data'!$A$1:$AB$315,24,0)</f>
        <v>NA</v>
      </c>
      <c r="AQ379" t="str">
        <f>VLOOKUP($B379,'[1]Plant data'!$A$1:$AB$315,25,0)</f>
        <v>NA</v>
      </c>
      <c r="AR379" t="str">
        <f>VLOOKUP($B379,'[1]Plant data'!$A$1:$AB$315,26,0)</f>
        <v>NA</v>
      </c>
      <c r="AS379" t="str">
        <f>VLOOKUP($B379,'[1]Plant data'!$A$1:$AB$315,27,0)</f>
        <v>NA</v>
      </c>
      <c r="AT379" t="str">
        <f>VLOOKUP($B379,'[1]Plant data'!$A$1:$AB$315,28,0)</f>
        <v>Erica &amp; Wesley, unpubl.</v>
      </c>
    </row>
    <row r="380" spans="1:46">
      <c r="A380" s="5" t="s">
        <v>62</v>
      </c>
      <c r="B380" s="32" t="s">
        <v>39</v>
      </c>
      <c r="C380">
        <v>3</v>
      </c>
      <c r="D380">
        <v>21</v>
      </c>
      <c r="E380" s="8">
        <f t="shared" si="29"/>
        <v>0.14285714285714285</v>
      </c>
      <c r="F380">
        <v>14</v>
      </c>
      <c r="G380" s="9">
        <f t="shared" si="28"/>
        <v>4.666666666666667</v>
      </c>
      <c r="H380" s="9"/>
      <c r="I380" s="8">
        <f t="shared" si="27"/>
        <v>0.66666666666666663</v>
      </c>
      <c r="J380" s="25" t="s">
        <v>284</v>
      </c>
      <c r="K380" s="25" t="s">
        <v>263</v>
      </c>
      <c r="L380" t="s">
        <v>22</v>
      </c>
      <c r="M380" t="s">
        <v>30</v>
      </c>
      <c r="N380" s="11">
        <v>18.7</v>
      </c>
      <c r="O380" s="11">
        <v>6.1185714290000002</v>
      </c>
      <c r="P380" t="s">
        <v>24</v>
      </c>
      <c r="Q380" t="s">
        <v>25</v>
      </c>
      <c r="R380" t="s">
        <v>26</v>
      </c>
      <c r="S380" t="s">
        <v>31</v>
      </c>
      <c r="T380" t="str">
        <f>VLOOKUP(B380,'[1]Plant data'!$A$1:$AB$315,2,0)</f>
        <v>Primulaceae</v>
      </c>
      <c r="U380" t="str">
        <f>VLOOKUP($B380,'[1]Plant data'!$A$1:$AB$315,3,0)</f>
        <v>Rapanea ferruginea, Myrsine ferruginea</v>
      </c>
      <c r="V380" t="str">
        <f>VLOOKUP($B380,'[1]Plant data'!$A$1:$AB$315,4,0)</f>
        <v>black</v>
      </c>
      <c r="W380" t="str">
        <f>VLOOKUP($B380,'[1]Plant data'!$A$1:$AB$315,5,0)</f>
        <v>YES</v>
      </c>
      <c r="X380">
        <f>VLOOKUP($B380,'[1]Plant data'!$A$1:$AB$315,6,0)</f>
        <v>3.5175000000000001</v>
      </c>
      <c r="Y380">
        <f>VLOOKUP($B380,'[1]Plant data'!$A$1:$AB$315,7,0)</f>
        <v>3.7733333333333334</v>
      </c>
      <c r="Z380">
        <f>VLOOKUP($B380,'[1]Plant data'!$A$1:$AB$315,8,0)</f>
        <v>2.96</v>
      </c>
      <c r="AA380">
        <f>VLOOKUP($B380,'[1]Plant data'!$A$1:$AB$315,9,0)</f>
        <v>2.9909999999999997</v>
      </c>
      <c r="AB380">
        <f>VLOOKUP($B380,'[1]Plant data'!$A$1:$AB$315,10,0)</f>
        <v>2.53E-2</v>
      </c>
      <c r="AC380" t="str">
        <f>VLOOKUP($B380,'[1]Plant data'!$A$1:$AB$315,11,0)</f>
        <v>NA</v>
      </c>
      <c r="AD380">
        <f>VLOOKUP($B380,'[1]Plant data'!$A$1:$AB$315,12,0)</f>
        <v>1.3000000000000001E-2</v>
      </c>
      <c r="AE380">
        <f>VLOOKUP($B380,'[1]Plant data'!$A$1:$AB$315,13,0)</f>
        <v>1.3000000000000001E-2</v>
      </c>
      <c r="AF380">
        <f>VLOOKUP($B380,'[1]Plant data'!$A$1:$AB$315,14,0)</f>
        <v>1.2299999999999997E-2</v>
      </c>
      <c r="AG380">
        <f>VLOOKUP($B380,'[1]Plant data'!$A$1:$AB$315,15,0)</f>
        <v>1</v>
      </c>
      <c r="AH380" t="str">
        <f>VLOOKUP($B380,'[1]Plant data'!$A$1:$AB$315,16,0)</f>
        <v>NA</v>
      </c>
      <c r="AI380">
        <f>VLOOKUP($B380,'[1]Plant data'!$A$1:$AB$315,17,0)</f>
        <v>1.0569105691056915</v>
      </c>
      <c r="AJ380" t="str">
        <f>VLOOKUP($B380,'[1]Plant data'!$A$1:$AB$315,18,0)</f>
        <v>Erica&amp;Wesley, Kindel 1996, Alves 2008, Correia 1997</v>
      </c>
      <c r="AK380" t="str">
        <f>VLOOKUP($B380,'[1]Plant data'!$A$1:$AB$315,19,0)</f>
        <v>NA</v>
      </c>
      <c r="AL380">
        <f>VLOOKUP($B380,'[1]Plant data'!$A$1:$AB$315,20,0)</f>
        <v>0.50800000000000001</v>
      </c>
      <c r="AM380" t="str">
        <f>VLOOKUP($B380,'[1]Plant data'!$A$1:$AB$315,21,0)</f>
        <v>NA</v>
      </c>
      <c r="AN380">
        <f>VLOOKUP($B380,'[1]Plant data'!$A$1:$AB$315,22,0)</f>
        <v>1.2E-2</v>
      </c>
      <c r="AO380">
        <f>VLOOKUP($B380,'[1]Plant data'!$A$1:$AB$315,23,0)</f>
        <v>4.2000000000000003E-2</v>
      </c>
      <c r="AP380" t="str">
        <f>VLOOKUP($B380,'[1]Plant data'!$A$1:$AB$315,24,0)</f>
        <v>NA</v>
      </c>
      <c r="AQ380" t="str">
        <f>VLOOKUP($B380,'[1]Plant data'!$A$1:$AB$315,25,0)</f>
        <v>NA</v>
      </c>
      <c r="AR380" t="str">
        <f>VLOOKUP($B380,'[1]Plant data'!$A$1:$AB$315,26,0)</f>
        <v>NA</v>
      </c>
      <c r="AS380" t="str">
        <f>VLOOKUP($B380,'[1]Plant data'!$A$1:$AB$315,27,0)</f>
        <v>NA</v>
      </c>
      <c r="AT380" t="str">
        <f>VLOOKUP($B380,'[1]Plant data'!$A$1:$AB$315,28,0)</f>
        <v>Erica &amp; Wesley, unpubl.</v>
      </c>
    </row>
    <row r="381" spans="1:46">
      <c r="A381" s="5" t="s">
        <v>41</v>
      </c>
      <c r="B381" s="32" t="s">
        <v>39</v>
      </c>
      <c r="C381">
        <v>1</v>
      </c>
      <c r="D381">
        <v>21</v>
      </c>
      <c r="E381" s="8">
        <f t="shared" si="29"/>
        <v>4.7619047619047616E-2</v>
      </c>
      <c r="F381">
        <v>1</v>
      </c>
      <c r="G381" s="9">
        <f t="shared" si="28"/>
        <v>1</v>
      </c>
      <c r="H381" s="9"/>
      <c r="I381" s="8">
        <f t="shared" si="27"/>
        <v>4.7619047619047616E-2</v>
      </c>
      <c r="J381" t="s">
        <v>284</v>
      </c>
      <c r="K381" t="s">
        <v>263</v>
      </c>
      <c r="L381" t="s">
        <v>22</v>
      </c>
      <c r="M381" t="s">
        <v>30</v>
      </c>
      <c r="N381" s="11">
        <v>39</v>
      </c>
      <c r="O381" s="11">
        <v>8.2839869279999991</v>
      </c>
      <c r="P381" t="s">
        <v>24</v>
      </c>
      <c r="Q381" t="s">
        <v>25</v>
      </c>
      <c r="R381" t="s">
        <v>26</v>
      </c>
      <c r="S381" t="s">
        <v>31</v>
      </c>
      <c r="T381" t="str">
        <f>VLOOKUP(B381,'[1]Plant data'!$A$1:$AB$315,2,0)</f>
        <v>Primulaceae</v>
      </c>
      <c r="U381" t="str">
        <f>VLOOKUP($B381,'[1]Plant data'!$A$1:$AB$315,3,0)</f>
        <v>Rapanea ferruginea, Myrsine ferruginea</v>
      </c>
      <c r="V381" t="str">
        <f>VLOOKUP($B381,'[1]Plant data'!$A$1:$AB$315,4,0)</f>
        <v>black</v>
      </c>
      <c r="W381" t="str">
        <f>VLOOKUP($B381,'[1]Plant data'!$A$1:$AB$315,5,0)</f>
        <v>YES</v>
      </c>
      <c r="X381">
        <f>VLOOKUP($B381,'[1]Plant data'!$A$1:$AB$315,6,0)</f>
        <v>3.5175000000000001</v>
      </c>
      <c r="Y381">
        <f>VLOOKUP($B381,'[1]Plant data'!$A$1:$AB$315,7,0)</f>
        <v>3.7733333333333334</v>
      </c>
      <c r="Z381">
        <f>VLOOKUP($B381,'[1]Plant data'!$A$1:$AB$315,8,0)</f>
        <v>2.96</v>
      </c>
      <c r="AA381">
        <f>VLOOKUP($B381,'[1]Plant data'!$A$1:$AB$315,9,0)</f>
        <v>2.9909999999999997</v>
      </c>
      <c r="AB381">
        <f>VLOOKUP($B381,'[1]Plant data'!$A$1:$AB$315,10,0)</f>
        <v>2.53E-2</v>
      </c>
      <c r="AC381" t="str">
        <f>VLOOKUP($B381,'[1]Plant data'!$A$1:$AB$315,11,0)</f>
        <v>NA</v>
      </c>
      <c r="AD381">
        <f>VLOOKUP($B381,'[1]Plant data'!$A$1:$AB$315,12,0)</f>
        <v>1.3000000000000001E-2</v>
      </c>
      <c r="AE381">
        <f>VLOOKUP($B381,'[1]Plant data'!$A$1:$AB$315,13,0)</f>
        <v>1.3000000000000001E-2</v>
      </c>
      <c r="AF381">
        <f>VLOOKUP($B381,'[1]Plant data'!$A$1:$AB$315,14,0)</f>
        <v>1.2299999999999997E-2</v>
      </c>
      <c r="AG381">
        <f>VLOOKUP($B381,'[1]Plant data'!$A$1:$AB$315,15,0)</f>
        <v>1</v>
      </c>
      <c r="AH381" t="str">
        <f>VLOOKUP($B381,'[1]Plant data'!$A$1:$AB$315,16,0)</f>
        <v>NA</v>
      </c>
      <c r="AI381">
        <f>VLOOKUP($B381,'[1]Plant data'!$A$1:$AB$315,17,0)</f>
        <v>1.0569105691056915</v>
      </c>
      <c r="AJ381" t="str">
        <f>VLOOKUP($B381,'[1]Plant data'!$A$1:$AB$315,18,0)</f>
        <v>Erica&amp;Wesley, Kindel 1996, Alves 2008, Correia 1997</v>
      </c>
      <c r="AK381" t="str">
        <f>VLOOKUP($B381,'[1]Plant data'!$A$1:$AB$315,19,0)</f>
        <v>NA</v>
      </c>
      <c r="AL381">
        <f>VLOOKUP($B381,'[1]Plant data'!$A$1:$AB$315,20,0)</f>
        <v>0.50800000000000001</v>
      </c>
      <c r="AM381" t="str">
        <f>VLOOKUP($B381,'[1]Plant data'!$A$1:$AB$315,21,0)</f>
        <v>NA</v>
      </c>
      <c r="AN381">
        <f>VLOOKUP($B381,'[1]Plant data'!$A$1:$AB$315,22,0)</f>
        <v>1.2E-2</v>
      </c>
      <c r="AO381">
        <f>VLOOKUP($B381,'[1]Plant data'!$A$1:$AB$315,23,0)</f>
        <v>4.2000000000000003E-2</v>
      </c>
      <c r="AP381" t="str">
        <f>VLOOKUP($B381,'[1]Plant data'!$A$1:$AB$315,24,0)</f>
        <v>NA</v>
      </c>
      <c r="AQ381" t="str">
        <f>VLOOKUP($B381,'[1]Plant data'!$A$1:$AB$315,25,0)</f>
        <v>NA</v>
      </c>
      <c r="AR381" t="str">
        <f>VLOOKUP($B381,'[1]Plant data'!$A$1:$AB$315,26,0)</f>
        <v>NA</v>
      </c>
      <c r="AS381" t="str">
        <f>VLOOKUP($B381,'[1]Plant data'!$A$1:$AB$315,27,0)</f>
        <v>NA</v>
      </c>
      <c r="AT381" t="str">
        <f>VLOOKUP($B381,'[1]Plant data'!$A$1:$AB$315,28,0)</f>
        <v>Erica &amp; Wesley, unpubl.</v>
      </c>
    </row>
    <row r="382" spans="1:46">
      <c r="A382" s="5" t="s">
        <v>43</v>
      </c>
      <c r="B382" s="32" t="s">
        <v>39</v>
      </c>
      <c r="C382">
        <v>7</v>
      </c>
      <c r="D382">
        <v>21</v>
      </c>
      <c r="E382" s="8">
        <f t="shared" si="29"/>
        <v>0.33333333333333331</v>
      </c>
      <c r="F382">
        <v>22</v>
      </c>
      <c r="G382" s="9">
        <f t="shared" si="28"/>
        <v>3.1428571428571428</v>
      </c>
      <c r="H382" s="9"/>
      <c r="I382" s="8">
        <f t="shared" si="27"/>
        <v>1.0476190476190474</v>
      </c>
      <c r="J382" s="25" t="s">
        <v>284</v>
      </c>
      <c r="K382" s="25" t="s">
        <v>263</v>
      </c>
      <c r="L382" t="s">
        <v>22</v>
      </c>
      <c r="M382" t="s">
        <v>30</v>
      </c>
      <c r="N382" s="11">
        <v>32.5</v>
      </c>
      <c r="O382" s="11">
        <v>8.9205555560000001</v>
      </c>
      <c r="P382" t="s">
        <v>24</v>
      </c>
      <c r="Q382" t="s">
        <v>25</v>
      </c>
      <c r="R382" t="s">
        <v>26</v>
      </c>
      <c r="S382" t="s">
        <v>31</v>
      </c>
      <c r="T382" t="str">
        <f>VLOOKUP(B382,'[1]Plant data'!$A$1:$AB$315,2,0)</f>
        <v>Primulaceae</v>
      </c>
      <c r="U382" t="str">
        <f>VLOOKUP($B382,'[1]Plant data'!$A$1:$AB$315,3,0)</f>
        <v>Rapanea ferruginea, Myrsine ferruginea</v>
      </c>
      <c r="V382" t="str">
        <f>VLOOKUP($B382,'[1]Plant data'!$A$1:$AB$315,4,0)</f>
        <v>black</v>
      </c>
      <c r="W382" t="str">
        <f>VLOOKUP($B382,'[1]Plant data'!$A$1:$AB$315,5,0)</f>
        <v>YES</v>
      </c>
      <c r="X382">
        <f>VLOOKUP($B382,'[1]Plant data'!$A$1:$AB$315,6,0)</f>
        <v>3.5175000000000001</v>
      </c>
      <c r="Y382">
        <f>VLOOKUP($B382,'[1]Plant data'!$A$1:$AB$315,7,0)</f>
        <v>3.7733333333333334</v>
      </c>
      <c r="Z382">
        <f>VLOOKUP($B382,'[1]Plant data'!$A$1:$AB$315,8,0)</f>
        <v>2.96</v>
      </c>
      <c r="AA382">
        <f>VLOOKUP($B382,'[1]Plant data'!$A$1:$AB$315,9,0)</f>
        <v>2.9909999999999997</v>
      </c>
      <c r="AB382">
        <f>VLOOKUP($B382,'[1]Plant data'!$A$1:$AB$315,10,0)</f>
        <v>2.53E-2</v>
      </c>
      <c r="AC382" t="str">
        <f>VLOOKUP($B382,'[1]Plant data'!$A$1:$AB$315,11,0)</f>
        <v>NA</v>
      </c>
      <c r="AD382">
        <f>VLOOKUP($B382,'[1]Plant data'!$A$1:$AB$315,12,0)</f>
        <v>1.3000000000000001E-2</v>
      </c>
      <c r="AE382">
        <f>VLOOKUP($B382,'[1]Plant data'!$A$1:$AB$315,13,0)</f>
        <v>1.3000000000000001E-2</v>
      </c>
      <c r="AF382">
        <f>VLOOKUP($B382,'[1]Plant data'!$A$1:$AB$315,14,0)</f>
        <v>1.2299999999999997E-2</v>
      </c>
      <c r="AG382">
        <f>VLOOKUP($B382,'[1]Plant data'!$A$1:$AB$315,15,0)</f>
        <v>1</v>
      </c>
      <c r="AH382" t="str">
        <f>VLOOKUP($B382,'[1]Plant data'!$A$1:$AB$315,16,0)</f>
        <v>NA</v>
      </c>
      <c r="AI382">
        <f>VLOOKUP($B382,'[1]Plant data'!$A$1:$AB$315,17,0)</f>
        <v>1.0569105691056915</v>
      </c>
      <c r="AJ382" t="str">
        <f>VLOOKUP($B382,'[1]Plant data'!$A$1:$AB$315,18,0)</f>
        <v>Erica&amp;Wesley, Kindel 1996, Alves 2008, Correia 1997</v>
      </c>
      <c r="AK382" t="str">
        <f>VLOOKUP($B382,'[1]Plant data'!$A$1:$AB$315,19,0)</f>
        <v>NA</v>
      </c>
      <c r="AL382">
        <f>VLOOKUP($B382,'[1]Plant data'!$A$1:$AB$315,20,0)</f>
        <v>0.50800000000000001</v>
      </c>
      <c r="AM382" t="str">
        <f>VLOOKUP($B382,'[1]Plant data'!$A$1:$AB$315,21,0)</f>
        <v>NA</v>
      </c>
      <c r="AN382">
        <f>VLOOKUP($B382,'[1]Plant data'!$A$1:$AB$315,22,0)</f>
        <v>1.2E-2</v>
      </c>
      <c r="AO382">
        <f>VLOOKUP($B382,'[1]Plant data'!$A$1:$AB$315,23,0)</f>
        <v>4.2000000000000003E-2</v>
      </c>
      <c r="AP382" t="str">
        <f>VLOOKUP($B382,'[1]Plant data'!$A$1:$AB$315,24,0)</f>
        <v>NA</v>
      </c>
      <c r="AQ382" t="str">
        <f>VLOOKUP($B382,'[1]Plant data'!$A$1:$AB$315,25,0)</f>
        <v>NA</v>
      </c>
      <c r="AR382" t="str">
        <f>VLOOKUP($B382,'[1]Plant data'!$A$1:$AB$315,26,0)</f>
        <v>NA</v>
      </c>
      <c r="AS382" t="str">
        <f>VLOOKUP($B382,'[1]Plant data'!$A$1:$AB$315,27,0)</f>
        <v>NA</v>
      </c>
      <c r="AT382" t="str">
        <f>VLOOKUP($B382,'[1]Plant data'!$A$1:$AB$315,28,0)</f>
        <v>Erica &amp; Wesley, unpubl.</v>
      </c>
    </row>
    <row r="383" spans="1:46">
      <c r="A383" s="5" t="s">
        <v>46</v>
      </c>
      <c r="B383" s="32" t="s">
        <v>39</v>
      </c>
      <c r="C383">
        <v>6</v>
      </c>
      <c r="D383">
        <v>21</v>
      </c>
      <c r="E383" s="8">
        <f t="shared" si="29"/>
        <v>0.2857142857142857</v>
      </c>
      <c r="F383">
        <v>90</v>
      </c>
      <c r="G383" s="9">
        <f t="shared" si="28"/>
        <v>15</v>
      </c>
      <c r="H383" s="9"/>
      <c r="I383" s="8">
        <f t="shared" si="27"/>
        <v>4.2857142857142856</v>
      </c>
      <c r="J383" s="25" t="s">
        <v>284</v>
      </c>
      <c r="K383" s="25" t="s">
        <v>263</v>
      </c>
      <c r="L383" t="s">
        <v>22</v>
      </c>
      <c r="M383" t="s">
        <v>47</v>
      </c>
      <c r="N383" s="11">
        <v>54</v>
      </c>
      <c r="O383" s="11">
        <v>11.14875</v>
      </c>
      <c r="P383" t="s">
        <v>48</v>
      </c>
      <c r="Q383" t="s">
        <v>49</v>
      </c>
      <c r="R383" t="s">
        <v>26</v>
      </c>
      <c r="S383" t="s">
        <v>31</v>
      </c>
      <c r="T383" t="str">
        <f>VLOOKUP(B383,'[1]Plant data'!$A$1:$AB$315,2,0)</f>
        <v>Primulaceae</v>
      </c>
      <c r="U383" t="str">
        <f>VLOOKUP($B383,'[1]Plant data'!$A$1:$AB$315,3,0)</f>
        <v>Rapanea ferruginea, Myrsine ferruginea</v>
      </c>
      <c r="V383" t="str">
        <f>VLOOKUP($B383,'[1]Plant data'!$A$1:$AB$315,4,0)</f>
        <v>black</v>
      </c>
      <c r="W383" t="str">
        <f>VLOOKUP($B383,'[1]Plant data'!$A$1:$AB$315,5,0)</f>
        <v>YES</v>
      </c>
      <c r="X383">
        <f>VLOOKUP($B383,'[1]Plant data'!$A$1:$AB$315,6,0)</f>
        <v>3.5175000000000001</v>
      </c>
      <c r="Y383">
        <f>VLOOKUP($B383,'[1]Plant data'!$A$1:$AB$315,7,0)</f>
        <v>3.7733333333333334</v>
      </c>
      <c r="Z383">
        <f>VLOOKUP($B383,'[1]Plant data'!$A$1:$AB$315,8,0)</f>
        <v>2.96</v>
      </c>
      <c r="AA383">
        <f>VLOOKUP($B383,'[1]Plant data'!$A$1:$AB$315,9,0)</f>
        <v>2.9909999999999997</v>
      </c>
      <c r="AB383">
        <f>VLOOKUP($B383,'[1]Plant data'!$A$1:$AB$315,10,0)</f>
        <v>2.53E-2</v>
      </c>
      <c r="AC383" t="str">
        <f>VLOOKUP($B383,'[1]Plant data'!$A$1:$AB$315,11,0)</f>
        <v>NA</v>
      </c>
      <c r="AD383">
        <f>VLOOKUP($B383,'[1]Plant data'!$A$1:$AB$315,12,0)</f>
        <v>1.3000000000000001E-2</v>
      </c>
      <c r="AE383">
        <f>VLOOKUP($B383,'[1]Plant data'!$A$1:$AB$315,13,0)</f>
        <v>1.3000000000000001E-2</v>
      </c>
      <c r="AF383">
        <f>VLOOKUP($B383,'[1]Plant data'!$A$1:$AB$315,14,0)</f>
        <v>1.2299999999999997E-2</v>
      </c>
      <c r="AG383">
        <f>VLOOKUP($B383,'[1]Plant data'!$A$1:$AB$315,15,0)</f>
        <v>1</v>
      </c>
      <c r="AH383" t="str">
        <f>VLOOKUP($B383,'[1]Plant data'!$A$1:$AB$315,16,0)</f>
        <v>NA</v>
      </c>
      <c r="AI383">
        <f>VLOOKUP($B383,'[1]Plant data'!$A$1:$AB$315,17,0)</f>
        <v>1.0569105691056915</v>
      </c>
      <c r="AJ383" t="str">
        <f>VLOOKUP($B383,'[1]Plant data'!$A$1:$AB$315,18,0)</f>
        <v>Erica&amp;Wesley, Kindel 1996, Alves 2008, Correia 1997</v>
      </c>
      <c r="AK383" t="str">
        <f>VLOOKUP($B383,'[1]Plant data'!$A$1:$AB$315,19,0)</f>
        <v>NA</v>
      </c>
      <c r="AL383">
        <f>VLOOKUP($B383,'[1]Plant data'!$A$1:$AB$315,20,0)</f>
        <v>0.50800000000000001</v>
      </c>
      <c r="AM383" t="str">
        <f>VLOOKUP($B383,'[1]Plant data'!$A$1:$AB$315,21,0)</f>
        <v>NA</v>
      </c>
      <c r="AN383">
        <f>VLOOKUP($B383,'[1]Plant data'!$A$1:$AB$315,22,0)</f>
        <v>1.2E-2</v>
      </c>
      <c r="AO383">
        <f>VLOOKUP($B383,'[1]Plant data'!$A$1:$AB$315,23,0)</f>
        <v>4.2000000000000003E-2</v>
      </c>
      <c r="AP383" t="str">
        <f>VLOOKUP($B383,'[1]Plant data'!$A$1:$AB$315,24,0)</f>
        <v>NA</v>
      </c>
      <c r="AQ383" t="str">
        <f>VLOOKUP($B383,'[1]Plant data'!$A$1:$AB$315,25,0)</f>
        <v>NA</v>
      </c>
      <c r="AR383" t="str">
        <f>VLOOKUP($B383,'[1]Plant data'!$A$1:$AB$315,26,0)</f>
        <v>NA</v>
      </c>
      <c r="AS383" t="str">
        <f>VLOOKUP($B383,'[1]Plant data'!$A$1:$AB$315,27,0)</f>
        <v>NA</v>
      </c>
      <c r="AT383" t="str">
        <f>VLOOKUP($B383,'[1]Plant data'!$A$1:$AB$315,28,0)</f>
        <v>Erica &amp; Wesley, unpubl.</v>
      </c>
    </row>
    <row r="384" spans="1:46">
      <c r="A384" s="5" t="s">
        <v>50</v>
      </c>
      <c r="B384" s="32" t="s">
        <v>39</v>
      </c>
      <c r="C384">
        <v>16</v>
      </c>
      <c r="D384">
        <v>21</v>
      </c>
      <c r="E384" s="8">
        <f t="shared" si="29"/>
        <v>0.76190476190476186</v>
      </c>
      <c r="F384">
        <v>368</v>
      </c>
      <c r="G384" s="9">
        <f t="shared" si="28"/>
        <v>23</v>
      </c>
      <c r="H384" s="9"/>
      <c r="I384" s="8">
        <f t="shared" si="27"/>
        <v>17.523809523809522</v>
      </c>
      <c r="J384" t="s">
        <v>284</v>
      </c>
      <c r="K384" t="s">
        <v>263</v>
      </c>
      <c r="L384" t="s">
        <v>22</v>
      </c>
      <c r="M384" t="s">
        <v>47</v>
      </c>
      <c r="N384" s="11">
        <v>69.5</v>
      </c>
      <c r="O384" s="11">
        <v>13.253214290000001</v>
      </c>
      <c r="P384" t="s">
        <v>48</v>
      </c>
      <c r="Q384" t="s">
        <v>25</v>
      </c>
      <c r="R384" t="s">
        <v>26</v>
      </c>
      <c r="S384" t="s">
        <v>31</v>
      </c>
      <c r="T384" t="str">
        <f>VLOOKUP(B384,'[1]Plant data'!$A$1:$AB$315,2,0)</f>
        <v>Primulaceae</v>
      </c>
      <c r="U384" t="str">
        <f>VLOOKUP($B384,'[1]Plant data'!$A$1:$AB$315,3,0)</f>
        <v>Rapanea ferruginea, Myrsine ferruginea</v>
      </c>
      <c r="V384" t="str">
        <f>VLOOKUP($B384,'[1]Plant data'!$A$1:$AB$315,4,0)</f>
        <v>black</v>
      </c>
      <c r="W384" t="str">
        <f>VLOOKUP($B384,'[1]Plant data'!$A$1:$AB$315,5,0)</f>
        <v>YES</v>
      </c>
      <c r="X384">
        <f>VLOOKUP($B384,'[1]Plant data'!$A$1:$AB$315,6,0)</f>
        <v>3.5175000000000001</v>
      </c>
      <c r="Y384">
        <f>VLOOKUP($B384,'[1]Plant data'!$A$1:$AB$315,7,0)</f>
        <v>3.7733333333333334</v>
      </c>
      <c r="Z384">
        <f>VLOOKUP($B384,'[1]Plant data'!$A$1:$AB$315,8,0)</f>
        <v>2.96</v>
      </c>
      <c r="AA384">
        <f>VLOOKUP($B384,'[1]Plant data'!$A$1:$AB$315,9,0)</f>
        <v>2.9909999999999997</v>
      </c>
      <c r="AB384">
        <f>VLOOKUP($B384,'[1]Plant data'!$A$1:$AB$315,10,0)</f>
        <v>2.53E-2</v>
      </c>
      <c r="AC384" t="str">
        <f>VLOOKUP($B384,'[1]Plant data'!$A$1:$AB$315,11,0)</f>
        <v>NA</v>
      </c>
      <c r="AD384">
        <f>VLOOKUP($B384,'[1]Plant data'!$A$1:$AB$315,12,0)</f>
        <v>1.3000000000000001E-2</v>
      </c>
      <c r="AE384">
        <f>VLOOKUP($B384,'[1]Plant data'!$A$1:$AB$315,13,0)</f>
        <v>1.3000000000000001E-2</v>
      </c>
      <c r="AF384">
        <f>VLOOKUP($B384,'[1]Plant data'!$A$1:$AB$315,14,0)</f>
        <v>1.2299999999999997E-2</v>
      </c>
      <c r="AG384">
        <f>VLOOKUP($B384,'[1]Plant data'!$A$1:$AB$315,15,0)</f>
        <v>1</v>
      </c>
      <c r="AH384" t="str">
        <f>VLOOKUP($B384,'[1]Plant data'!$A$1:$AB$315,16,0)</f>
        <v>NA</v>
      </c>
      <c r="AI384">
        <f>VLOOKUP($B384,'[1]Plant data'!$A$1:$AB$315,17,0)</f>
        <v>1.0569105691056915</v>
      </c>
      <c r="AJ384" t="str">
        <f>VLOOKUP($B384,'[1]Plant data'!$A$1:$AB$315,18,0)</f>
        <v>Erica&amp;Wesley, Kindel 1996, Alves 2008, Correia 1997</v>
      </c>
      <c r="AK384" t="str">
        <f>VLOOKUP($B384,'[1]Plant data'!$A$1:$AB$315,19,0)</f>
        <v>NA</v>
      </c>
      <c r="AL384">
        <f>VLOOKUP($B384,'[1]Plant data'!$A$1:$AB$315,20,0)</f>
        <v>0.50800000000000001</v>
      </c>
      <c r="AM384" t="str">
        <f>VLOOKUP($B384,'[1]Plant data'!$A$1:$AB$315,21,0)</f>
        <v>NA</v>
      </c>
      <c r="AN384">
        <f>VLOOKUP($B384,'[1]Plant data'!$A$1:$AB$315,22,0)</f>
        <v>1.2E-2</v>
      </c>
      <c r="AO384">
        <f>VLOOKUP($B384,'[1]Plant data'!$A$1:$AB$315,23,0)</f>
        <v>4.2000000000000003E-2</v>
      </c>
      <c r="AP384" t="str">
        <f>VLOOKUP($B384,'[1]Plant data'!$A$1:$AB$315,24,0)</f>
        <v>NA</v>
      </c>
      <c r="AQ384" t="str">
        <f>VLOOKUP($B384,'[1]Plant data'!$A$1:$AB$315,25,0)</f>
        <v>NA</v>
      </c>
      <c r="AR384" t="str">
        <f>VLOOKUP($B384,'[1]Plant data'!$A$1:$AB$315,26,0)</f>
        <v>NA</v>
      </c>
      <c r="AS384" t="str">
        <f>VLOOKUP($B384,'[1]Plant data'!$A$1:$AB$315,27,0)</f>
        <v>NA</v>
      </c>
      <c r="AT384" t="str">
        <f>VLOOKUP($B384,'[1]Plant data'!$A$1:$AB$315,28,0)</f>
        <v>Erica &amp; Wesley, unpubl.</v>
      </c>
    </row>
    <row r="385" spans="1:46">
      <c r="A385" s="18" t="s">
        <v>28</v>
      </c>
      <c r="B385" s="32" t="s">
        <v>58</v>
      </c>
      <c r="C385">
        <v>1</v>
      </c>
      <c r="D385">
        <v>254</v>
      </c>
      <c r="E385" s="8">
        <f t="shared" si="29"/>
        <v>3.937007874015748E-3</v>
      </c>
      <c r="F385" t="s">
        <v>19</v>
      </c>
      <c r="G385" s="41">
        <v>3.7083333333333339</v>
      </c>
      <c r="H385" s="41"/>
      <c r="I385" s="8">
        <f t="shared" si="27"/>
        <v>1.4599737532808401E-2</v>
      </c>
      <c r="J385" t="s">
        <v>52</v>
      </c>
      <c r="K385" t="s">
        <v>53</v>
      </c>
      <c r="L385" t="s">
        <v>22</v>
      </c>
      <c r="M385" t="s">
        <v>30</v>
      </c>
      <c r="N385" s="11">
        <v>18</v>
      </c>
      <c r="O385" s="11">
        <v>7.4188405800000004</v>
      </c>
      <c r="P385" t="s">
        <v>24</v>
      </c>
      <c r="Q385" s="13" t="s">
        <v>25</v>
      </c>
      <c r="R385" s="13" t="s">
        <v>26</v>
      </c>
      <c r="S385" s="13" t="s">
        <v>31</v>
      </c>
      <c r="T385" t="str">
        <f>VLOOKUP(B385,'[1]Plant data'!$A$1:$AB$315,2,0)</f>
        <v>Primulaceae</v>
      </c>
      <c r="U385" t="str">
        <f>VLOOKUP($B385,'[1]Plant data'!$A$1:$AB$315,3,0)</f>
        <v>Rapanea gadneriana</v>
      </c>
      <c r="V385" t="str">
        <f>VLOOKUP($B385,'[1]Plant data'!$A$1:$AB$315,4,0)</f>
        <v>black</v>
      </c>
      <c r="W385" t="str">
        <f>VLOOKUP($B385,'[1]Plant data'!$A$1:$AB$315,5,0)</f>
        <v>YES</v>
      </c>
      <c r="X385">
        <f>VLOOKUP($B385,'[1]Plant data'!$A$1:$AB$315,6,0)</f>
        <v>4.2050000000000001</v>
      </c>
      <c r="Y385">
        <f>VLOOKUP($B385,'[1]Plant data'!$A$1:$AB$315,7,0)</f>
        <v>4.33</v>
      </c>
      <c r="Z385">
        <f>VLOOKUP($B385,'[1]Plant data'!$A$1:$AB$315,8,0)</f>
        <v>4.47</v>
      </c>
      <c r="AA385">
        <f>VLOOKUP($B385,'[1]Plant data'!$A$1:$AB$315,9,0)</f>
        <v>4.5999999999999996</v>
      </c>
      <c r="AB385">
        <f>VLOOKUP($B385,'[1]Plant data'!$A$1:$AB$315,10,0)</f>
        <v>6.4799999999999996E-2</v>
      </c>
      <c r="AC385" t="str">
        <f>VLOOKUP($B385,'[1]Plant data'!$A$1:$AB$315,11,0)</f>
        <v>NA</v>
      </c>
      <c r="AD385">
        <f>VLOOKUP($B385,'[1]Plant data'!$A$1:$AB$315,12,0)</f>
        <v>4.2599999999999985E-2</v>
      </c>
      <c r="AE385">
        <f>VLOOKUP($B385,'[1]Plant data'!$A$1:$AB$315,13,0)</f>
        <v>2.2200000000000001E-2</v>
      </c>
      <c r="AF385">
        <f>VLOOKUP($B385,'[1]Plant data'!$A$1:$AB$315,14,0)</f>
        <v>4.2599999999999985E-2</v>
      </c>
      <c r="AG385">
        <f>VLOOKUP($B385,'[1]Plant data'!$A$1:$AB$315,15,0)</f>
        <v>1</v>
      </c>
      <c r="AH385" t="str">
        <f>VLOOKUP($B385,'[1]Plant data'!$A$1:$AB$315,16,0)</f>
        <v>NA</v>
      </c>
      <c r="AI385">
        <f>VLOOKUP($B385,'[1]Plant data'!$A$1:$AB$315,17,0)</f>
        <v>0.52112676056338048</v>
      </c>
      <c r="AJ385" t="str">
        <f>VLOOKUP($B385,'[1]Plant data'!$A$1:$AB$315,18,0)</f>
        <v>ATLANTIC, Erica&amp;Wesley</v>
      </c>
      <c r="AK385" t="str">
        <f>VLOOKUP($B385,'[1]Plant data'!$A$1:$AB$315,19,0)</f>
        <v>NA</v>
      </c>
      <c r="AL385">
        <f>VLOOKUP($B385,'[1]Plant data'!$A$1:$AB$315,20,0)</f>
        <v>0.11875589066917111</v>
      </c>
      <c r="AM385">
        <f>VLOOKUP($B385,'[1]Plant data'!$A$1:$AB$315,21,0)</f>
        <v>8.9795E-2</v>
      </c>
      <c r="AN385">
        <f>VLOOKUP($B385,'[1]Plant data'!$A$1:$AB$315,22,0)</f>
        <v>3.1460235951769638E-2</v>
      </c>
      <c r="AO385">
        <f>VLOOKUP($B385,'[1]Plant data'!$A$1:$AB$315,23,0)</f>
        <v>0.11772310514551083</v>
      </c>
      <c r="AP385" t="str">
        <f>VLOOKUP($B385,'[1]Plant data'!$A$1:$AB$315,24,0)</f>
        <v>NA</v>
      </c>
      <c r="AQ385" t="str">
        <f>VLOOKUP($B385,'[1]Plant data'!$A$1:$AB$315,25,0)</f>
        <v>NA</v>
      </c>
      <c r="AR385" t="str">
        <f>VLOOKUP($B385,'[1]Plant data'!$A$1:$AB$315,26,0)</f>
        <v>NA</v>
      </c>
      <c r="AS385" t="str">
        <f>VLOOKUP($B385,'[1]Plant data'!$A$1:$AB$315,27,0)</f>
        <v>NA</v>
      </c>
      <c r="AT385" t="str">
        <f>VLOOKUP($B385,'[1]Plant data'!$A$1:$AB$315,28,0)</f>
        <v>Erica &amp; Wesley, unpubl.</v>
      </c>
    </row>
    <row r="386" spans="1:46">
      <c r="A386" s="5" t="s">
        <v>41</v>
      </c>
      <c r="B386" s="32" t="s">
        <v>58</v>
      </c>
      <c r="C386">
        <v>11</v>
      </c>
      <c r="D386">
        <v>254</v>
      </c>
      <c r="E386" s="8">
        <f t="shared" si="29"/>
        <v>4.3307086614173228E-2</v>
      </c>
      <c r="F386" t="s">
        <v>19</v>
      </c>
      <c r="G386" s="41">
        <v>3.1632653061224487</v>
      </c>
      <c r="H386" s="41"/>
      <c r="I386" s="8">
        <f t="shared" si="27"/>
        <v>0.13699180459585408</v>
      </c>
      <c r="J386" t="s">
        <v>52</v>
      </c>
      <c r="K386" t="s">
        <v>53</v>
      </c>
      <c r="L386" t="s">
        <v>22</v>
      </c>
      <c r="M386" t="s">
        <v>30</v>
      </c>
      <c r="N386" s="11">
        <v>39</v>
      </c>
      <c r="O386" s="11">
        <v>8.2839869279999991</v>
      </c>
      <c r="P386" t="s">
        <v>24</v>
      </c>
      <c r="Q386" t="s">
        <v>25</v>
      </c>
      <c r="R386" t="s">
        <v>26</v>
      </c>
      <c r="S386" t="s">
        <v>31</v>
      </c>
      <c r="T386" t="str">
        <f>VLOOKUP(B386,'[1]Plant data'!$A$1:$AB$315,2,0)</f>
        <v>Primulaceae</v>
      </c>
      <c r="U386" t="str">
        <f>VLOOKUP($B386,'[1]Plant data'!$A$1:$AB$315,3,0)</f>
        <v>Rapanea gadneriana</v>
      </c>
      <c r="V386" t="str">
        <f>VLOOKUP($B386,'[1]Plant data'!$A$1:$AB$315,4,0)</f>
        <v>black</v>
      </c>
      <c r="W386" t="str">
        <f>VLOOKUP($B386,'[1]Plant data'!$A$1:$AB$315,5,0)</f>
        <v>YES</v>
      </c>
      <c r="X386">
        <f>VLOOKUP($B386,'[1]Plant data'!$A$1:$AB$315,6,0)</f>
        <v>4.2050000000000001</v>
      </c>
      <c r="Y386">
        <f>VLOOKUP($B386,'[1]Plant data'!$A$1:$AB$315,7,0)</f>
        <v>4.33</v>
      </c>
      <c r="Z386">
        <f>VLOOKUP($B386,'[1]Plant data'!$A$1:$AB$315,8,0)</f>
        <v>4.47</v>
      </c>
      <c r="AA386">
        <f>VLOOKUP($B386,'[1]Plant data'!$A$1:$AB$315,9,0)</f>
        <v>4.5999999999999996</v>
      </c>
      <c r="AB386">
        <f>VLOOKUP($B386,'[1]Plant data'!$A$1:$AB$315,10,0)</f>
        <v>6.4799999999999996E-2</v>
      </c>
      <c r="AC386" t="str">
        <f>VLOOKUP($B386,'[1]Plant data'!$A$1:$AB$315,11,0)</f>
        <v>NA</v>
      </c>
      <c r="AD386">
        <f>VLOOKUP($B386,'[1]Plant data'!$A$1:$AB$315,12,0)</f>
        <v>4.2599999999999985E-2</v>
      </c>
      <c r="AE386">
        <f>VLOOKUP($B386,'[1]Plant data'!$A$1:$AB$315,13,0)</f>
        <v>2.2200000000000001E-2</v>
      </c>
      <c r="AF386">
        <f>VLOOKUP($B386,'[1]Plant data'!$A$1:$AB$315,14,0)</f>
        <v>4.2599999999999985E-2</v>
      </c>
      <c r="AG386">
        <f>VLOOKUP($B386,'[1]Plant data'!$A$1:$AB$315,15,0)</f>
        <v>1</v>
      </c>
      <c r="AH386" t="str">
        <f>VLOOKUP($B386,'[1]Plant data'!$A$1:$AB$315,16,0)</f>
        <v>NA</v>
      </c>
      <c r="AI386">
        <f>VLOOKUP($B386,'[1]Plant data'!$A$1:$AB$315,17,0)</f>
        <v>0.52112676056338048</v>
      </c>
      <c r="AJ386" t="str">
        <f>VLOOKUP($B386,'[1]Plant data'!$A$1:$AB$315,18,0)</f>
        <v>ATLANTIC, Erica&amp;Wesley</v>
      </c>
      <c r="AK386" t="str">
        <f>VLOOKUP($B386,'[1]Plant data'!$A$1:$AB$315,19,0)</f>
        <v>NA</v>
      </c>
      <c r="AL386">
        <f>VLOOKUP($B386,'[1]Plant data'!$A$1:$AB$315,20,0)</f>
        <v>0.11875589066917111</v>
      </c>
      <c r="AM386">
        <f>VLOOKUP($B386,'[1]Plant data'!$A$1:$AB$315,21,0)</f>
        <v>8.9795E-2</v>
      </c>
      <c r="AN386">
        <f>VLOOKUP($B386,'[1]Plant data'!$A$1:$AB$315,22,0)</f>
        <v>3.1460235951769638E-2</v>
      </c>
      <c r="AO386">
        <f>VLOOKUP($B386,'[1]Plant data'!$A$1:$AB$315,23,0)</f>
        <v>0.11772310514551083</v>
      </c>
      <c r="AP386" t="str">
        <f>VLOOKUP($B386,'[1]Plant data'!$A$1:$AB$315,24,0)</f>
        <v>NA</v>
      </c>
      <c r="AQ386" t="str">
        <f>VLOOKUP($B386,'[1]Plant data'!$A$1:$AB$315,25,0)</f>
        <v>NA</v>
      </c>
      <c r="AR386" t="str">
        <f>VLOOKUP($B386,'[1]Plant data'!$A$1:$AB$315,26,0)</f>
        <v>NA</v>
      </c>
      <c r="AS386" t="str">
        <f>VLOOKUP($B386,'[1]Plant data'!$A$1:$AB$315,27,0)</f>
        <v>NA</v>
      </c>
      <c r="AT386" t="str">
        <f>VLOOKUP($B386,'[1]Plant data'!$A$1:$AB$315,28,0)</f>
        <v>Erica &amp; Wesley, unpubl.</v>
      </c>
    </row>
    <row r="387" spans="1:46">
      <c r="A387" s="5" t="s">
        <v>43</v>
      </c>
      <c r="B387" s="32" t="s">
        <v>58</v>
      </c>
      <c r="C387">
        <v>4</v>
      </c>
      <c r="D387">
        <v>254</v>
      </c>
      <c r="E387" s="8">
        <f t="shared" si="29"/>
        <v>1.5748031496062992E-2</v>
      </c>
      <c r="F387" t="s">
        <v>19</v>
      </c>
      <c r="G387" s="41">
        <v>3.1632653061224487</v>
      </c>
      <c r="H387" s="41"/>
      <c r="I387" s="8">
        <f t="shared" si="27"/>
        <v>4.9815201671219667E-2</v>
      </c>
      <c r="J387" t="s">
        <v>52</v>
      </c>
      <c r="K387" t="s">
        <v>53</v>
      </c>
      <c r="L387" t="s">
        <v>22</v>
      </c>
      <c r="M387" t="s">
        <v>30</v>
      </c>
      <c r="N387" s="11">
        <v>32.5</v>
      </c>
      <c r="O387" s="11">
        <v>8.9205555560000001</v>
      </c>
      <c r="P387" t="s">
        <v>24</v>
      </c>
      <c r="Q387" t="s">
        <v>25</v>
      </c>
      <c r="R387" t="s">
        <v>26</v>
      </c>
      <c r="S387" t="s">
        <v>31</v>
      </c>
      <c r="T387" t="str">
        <f>VLOOKUP(B387,'[1]Plant data'!$A$1:$AB$315,2,0)</f>
        <v>Primulaceae</v>
      </c>
      <c r="U387" t="str">
        <f>VLOOKUP($B387,'[1]Plant data'!$A$1:$AB$315,3,0)</f>
        <v>Rapanea gadneriana</v>
      </c>
      <c r="V387" t="str">
        <f>VLOOKUP($B387,'[1]Plant data'!$A$1:$AB$315,4,0)</f>
        <v>black</v>
      </c>
      <c r="W387" t="str">
        <f>VLOOKUP($B387,'[1]Plant data'!$A$1:$AB$315,5,0)</f>
        <v>YES</v>
      </c>
      <c r="X387">
        <f>VLOOKUP($B387,'[1]Plant data'!$A$1:$AB$315,6,0)</f>
        <v>4.2050000000000001</v>
      </c>
      <c r="Y387">
        <f>VLOOKUP($B387,'[1]Plant data'!$A$1:$AB$315,7,0)</f>
        <v>4.33</v>
      </c>
      <c r="Z387">
        <f>VLOOKUP($B387,'[1]Plant data'!$A$1:$AB$315,8,0)</f>
        <v>4.47</v>
      </c>
      <c r="AA387">
        <f>VLOOKUP($B387,'[1]Plant data'!$A$1:$AB$315,9,0)</f>
        <v>4.5999999999999996</v>
      </c>
      <c r="AB387">
        <f>VLOOKUP($B387,'[1]Plant data'!$A$1:$AB$315,10,0)</f>
        <v>6.4799999999999996E-2</v>
      </c>
      <c r="AC387" t="str">
        <f>VLOOKUP($B387,'[1]Plant data'!$A$1:$AB$315,11,0)</f>
        <v>NA</v>
      </c>
      <c r="AD387">
        <f>VLOOKUP($B387,'[1]Plant data'!$A$1:$AB$315,12,0)</f>
        <v>4.2599999999999985E-2</v>
      </c>
      <c r="AE387">
        <f>VLOOKUP($B387,'[1]Plant data'!$A$1:$AB$315,13,0)</f>
        <v>2.2200000000000001E-2</v>
      </c>
      <c r="AF387">
        <f>VLOOKUP($B387,'[1]Plant data'!$A$1:$AB$315,14,0)</f>
        <v>4.2599999999999985E-2</v>
      </c>
      <c r="AG387">
        <f>VLOOKUP($B387,'[1]Plant data'!$A$1:$AB$315,15,0)</f>
        <v>1</v>
      </c>
      <c r="AH387" t="str">
        <f>VLOOKUP($B387,'[1]Plant data'!$A$1:$AB$315,16,0)</f>
        <v>NA</v>
      </c>
      <c r="AI387">
        <f>VLOOKUP($B387,'[1]Plant data'!$A$1:$AB$315,17,0)</f>
        <v>0.52112676056338048</v>
      </c>
      <c r="AJ387" t="str">
        <f>VLOOKUP($B387,'[1]Plant data'!$A$1:$AB$315,18,0)</f>
        <v>ATLANTIC, Erica&amp;Wesley</v>
      </c>
      <c r="AK387" t="str">
        <f>VLOOKUP($B387,'[1]Plant data'!$A$1:$AB$315,19,0)</f>
        <v>NA</v>
      </c>
      <c r="AL387">
        <f>VLOOKUP($B387,'[1]Plant data'!$A$1:$AB$315,20,0)</f>
        <v>0.11875589066917111</v>
      </c>
      <c r="AM387">
        <f>VLOOKUP($B387,'[1]Plant data'!$A$1:$AB$315,21,0)</f>
        <v>8.9795E-2</v>
      </c>
      <c r="AN387">
        <f>VLOOKUP($B387,'[1]Plant data'!$A$1:$AB$315,22,0)</f>
        <v>3.1460235951769638E-2</v>
      </c>
      <c r="AO387">
        <f>VLOOKUP($B387,'[1]Plant data'!$A$1:$AB$315,23,0)</f>
        <v>0.11772310514551083</v>
      </c>
      <c r="AP387" t="str">
        <f>VLOOKUP($B387,'[1]Plant data'!$A$1:$AB$315,24,0)</f>
        <v>NA</v>
      </c>
      <c r="AQ387" t="str">
        <f>VLOOKUP($B387,'[1]Plant data'!$A$1:$AB$315,25,0)</f>
        <v>NA</v>
      </c>
      <c r="AR387" t="str">
        <f>VLOOKUP($B387,'[1]Plant data'!$A$1:$AB$315,26,0)</f>
        <v>NA</v>
      </c>
      <c r="AS387" t="str">
        <f>VLOOKUP($B387,'[1]Plant data'!$A$1:$AB$315,27,0)</f>
        <v>NA</v>
      </c>
      <c r="AT387" t="str">
        <f>VLOOKUP($B387,'[1]Plant data'!$A$1:$AB$315,28,0)</f>
        <v>Erica &amp; Wesley, unpubl.</v>
      </c>
    </row>
    <row r="388" spans="1:46">
      <c r="A388" s="5" t="s">
        <v>17</v>
      </c>
      <c r="B388" s="33" t="s">
        <v>18</v>
      </c>
      <c r="C388" s="7">
        <v>1</v>
      </c>
      <c r="D388" s="7">
        <v>20.8</v>
      </c>
      <c r="E388" s="8">
        <f>C388/20.8</f>
        <v>4.8076923076923073E-2</v>
      </c>
      <c r="F388" t="s">
        <v>19</v>
      </c>
      <c r="G388" s="9" t="s">
        <v>19</v>
      </c>
      <c r="H388" s="9"/>
      <c r="I388" s="8" t="s">
        <v>19</v>
      </c>
      <c r="J388" s="10" t="s">
        <v>20</v>
      </c>
      <c r="K388" t="s">
        <v>21</v>
      </c>
      <c r="L388" t="s">
        <v>22</v>
      </c>
      <c r="M388" t="s">
        <v>23</v>
      </c>
      <c r="N388" s="11">
        <v>14.4</v>
      </c>
      <c r="O388" s="11">
        <v>7.69</v>
      </c>
      <c r="P388" t="s">
        <v>24</v>
      </c>
      <c r="Q388" t="s">
        <v>25</v>
      </c>
      <c r="R388" t="s">
        <v>26</v>
      </c>
      <c r="S388" t="s">
        <v>27</v>
      </c>
      <c r="T388" t="str">
        <f>VLOOKUP($B388,'[1]Plant data'!$A$1:$AB$315,2,0)</f>
        <v>Primulaceae</v>
      </c>
      <c r="U388" t="str">
        <f>VLOOKUP($B388,'[1]Plant data'!$A$1:$AB$315,3,0)</f>
        <v>NA</v>
      </c>
      <c r="V388" t="str">
        <f>VLOOKUP($B388,'[1]Plant data'!$A$1:$AB$315,4,0)</f>
        <v>black</v>
      </c>
      <c r="W388" t="str">
        <f>VLOOKUP($B388,'[1]Plant data'!$A$1:$AB$315,5,0)</f>
        <v>YES</v>
      </c>
      <c r="X388">
        <f>VLOOKUP($B388,'[1]Plant data'!$A$1:$AB$315,6,0)</f>
        <v>5.2616666666666667</v>
      </c>
      <c r="Y388">
        <f>VLOOKUP($B388,'[1]Plant data'!$A$1:$AB$315,7,0)</f>
        <v>5.2283333333333335</v>
      </c>
      <c r="Z388">
        <f>VLOOKUP($B388,'[1]Plant data'!$A$1:$AB$315,8,0)</f>
        <v>4.0860000000000003</v>
      </c>
      <c r="AA388">
        <f>VLOOKUP($B388,'[1]Plant data'!$A$1:$AB$315,9,0)</f>
        <v>4.5239999999999991</v>
      </c>
      <c r="AB388">
        <f>VLOOKUP($B388,'[1]Plant data'!$A$1:$AB$315,10,0)</f>
        <v>0.16140000000000002</v>
      </c>
      <c r="AC388">
        <f>VLOOKUP($B388,'[1]Plant data'!$A$1:$AB$315,11,0)</f>
        <v>0.1</v>
      </c>
      <c r="AD388">
        <f>VLOOKUP($B388,'[1]Plant data'!$A$1:$AB$315,12,0)</f>
        <v>8.5199999999999998E-2</v>
      </c>
      <c r="AE388">
        <f>VLOOKUP($B388,'[1]Plant data'!$A$1:$AB$315,13,0)</f>
        <v>8.0000000000000002E-3</v>
      </c>
      <c r="AF388">
        <f>VLOOKUP($B388,'[1]Plant data'!$A$1:$AB$315,14,0)</f>
        <v>2.2800000000000001E-2</v>
      </c>
      <c r="AG388">
        <f>VLOOKUP($B388,'[1]Plant data'!$A$1:$AB$315,15,0)</f>
        <v>1</v>
      </c>
      <c r="AH388" t="str">
        <f>VLOOKUP($B388,'[1]Plant data'!$A$1:$AB$315,16,0)</f>
        <v>NA</v>
      </c>
      <c r="AI388">
        <f>VLOOKUP($B388,'[1]Plant data'!$A$1:$AB$315,17,0)</f>
        <v>0.35897435897435898</v>
      </c>
      <c r="AJ388" t="str">
        <f>VLOOKUP($B388,'[1]Plant data'!$A$1:$AB$315,18,0)</f>
        <v>ATLANTIC, Cazetta 2007, Erica&amp;Wesley, Intervales_morfo, Alves 2008, Argel-de-Oliveira 1999</v>
      </c>
      <c r="AK388">
        <f>VLOOKUP($B388,'[1]Plant data'!$A$1:$AB$315,19,0)</f>
        <v>0.86180000000000012</v>
      </c>
      <c r="AL388">
        <f>VLOOKUP($B388,'[1]Plant data'!$A$1:$AB$315,20,0)</f>
        <v>7.980000000000001E-2</v>
      </c>
      <c r="AM388">
        <f>VLOOKUP($B388,'[1]Plant data'!$A$1:$AB$315,21,0)</f>
        <v>2.86E-2</v>
      </c>
      <c r="AN388">
        <f>VLOOKUP($B388,'[1]Plant data'!$A$1:$AB$315,22,0)</f>
        <v>1E-3</v>
      </c>
      <c r="AO388" t="str">
        <f>VLOOKUP($B388,'[1]Plant data'!$A$1:$AB$315,23,0)</f>
        <v>NA</v>
      </c>
      <c r="AP388" t="str">
        <f>VLOOKUP($B388,'[1]Plant data'!$A$1:$AB$315,24,0)</f>
        <v>NA</v>
      </c>
      <c r="AQ388" t="str">
        <f>VLOOKUP($B388,'[1]Plant data'!$A$1:$AB$315,25,0)</f>
        <v>NA</v>
      </c>
      <c r="AR388" t="str">
        <f>VLOOKUP($B388,'[1]Plant data'!$A$1:$AB$315,26,0)</f>
        <v>NA</v>
      </c>
      <c r="AS388" t="str">
        <f>VLOOKUP($B388,'[1]Plant data'!$A$1:$AB$315,27,0)</f>
        <v>NA</v>
      </c>
      <c r="AT388" t="str">
        <f>VLOOKUP($B388,'[1]Plant data'!$A$1:$AB$315,28,0)</f>
        <v>Cazetta 2007</v>
      </c>
    </row>
    <row r="389" spans="1:46">
      <c r="A389" s="5" t="s">
        <v>32</v>
      </c>
      <c r="B389" s="33" t="s">
        <v>18</v>
      </c>
      <c r="C389" s="7">
        <v>9</v>
      </c>
      <c r="D389" s="7">
        <v>20.8</v>
      </c>
      <c r="E389" s="8">
        <f>C389/D389</f>
        <v>0.43269230769230765</v>
      </c>
      <c r="F389" t="s">
        <v>19</v>
      </c>
      <c r="G389" s="41">
        <v>3.7083333333333339</v>
      </c>
      <c r="H389" s="41"/>
      <c r="I389" s="8">
        <f>E389*G389</f>
        <v>1.6045673076923077</v>
      </c>
      <c r="J389" s="10" t="s">
        <v>20</v>
      </c>
      <c r="K389" t="s">
        <v>21</v>
      </c>
      <c r="L389" t="s">
        <v>22</v>
      </c>
      <c r="M389" t="s">
        <v>30</v>
      </c>
      <c r="N389" s="11">
        <v>18</v>
      </c>
      <c r="O389" s="11">
        <v>5.1684999999999999</v>
      </c>
      <c r="P389" t="s">
        <v>24</v>
      </c>
      <c r="Q389" s="13" t="s">
        <v>25</v>
      </c>
      <c r="R389" s="13" t="s">
        <v>26</v>
      </c>
      <c r="S389" s="13" t="s">
        <v>31</v>
      </c>
      <c r="T389" t="str">
        <f>VLOOKUP(B389,'[1]Plant data'!$A$1:$AB$315,2,0)</f>
        <v>Primulaceae</v>
      </c>
      <c r="U389" t="str">
        <f>VLOOKUP($B389,'[1]Plant data'!$A$1:$AB$315,3,0)</f>
        <v>NA</v>
      </c>
      <c r="V389" t="str">
        <f>VLOOKUP($B389,'[1]Plant data'!$A$1:$AB$315,4,0)</f>
        <v>black</v>
      </c>
      <c r="W389" t="str">
        <f>VLOOKUP($B389,'[1]Plant data'!$A$1:$AB$315,5,0)</f>
        <v>YES</v>
      </c>
      <c r="X389">
        <f>VLOOKUP($B389,'[1]Plant data'!$A$1:$AB$315,6,0)</f>
        <v>5.2616666666666667</v>
      </c>
      <c r="Y389">
        <f>VLOOKUP($B389,'[1]Plant data'!$A$1:$AB$315,7,0)</f>
        <v>5.2283333333333335</v>
      </c>
      <c r="Z389">
        <f>VLOOKUP($B389,'[1]Plant data'!$A$1:$AB$315,8,0)</f>
        <v>4.0860000000000003</v>
      </c>
      <c r="AA389">
        <f>VLOOKUP($B389,'[1]Plant data'!$A$1:$AB$315,9,0)</f>
        <v>4.5239999999999991</v>
      </c>
      <c r="AB389">
        <f>VLOOKUP($B389,'[1]Plant data'!$A$1:$AB$315,10,0)</f>
        <v>0.16140000000000002</v>
      </c>
      <c r="AC389">
        <f>VLOOKUP($B389,'[1]Plant data'!$A$1:$AB$315,11,0)</f>
        <v>0.1</v>
      </c>
      <c r="AD389">
        <f>VLOOKUP($B389,'[1]Plant data'!$A$1:$AB$315,12,0)</f>
        <v>8.5199999999999998E-2</v>
      </c>
      <c r="AE389">
        <f>VLOOKUP($B389,'[1]Plant data'!$A$1:$AB$315,13,0)</f>
        <v>8.0000000000000002E-3</v>
      </c>
      <c r="AF389">
        <f>VLOOKUP($B389,'[1]Plant data'!$A$1:$AB$315,14,0)</f>
        <v>2.2800000000000001E-2</v>
      </c>
      <c r="AG389">
        <f>VLOOKUP($B389,'[1]Plant data'!$A$1:$AB$315,15,0)</f>
        <v>1</v>
      </c>
      <c r="AH389" t="str">
        <f>VLOOKUP($B389,'[1]Plant data'!$A$1:$AB$315,16,0)</f>
        <v>NA</v>
      </c>
      <c r="AI389">
        <f>VLOOKUP($B389,'[1]Plant data'!$A$1:$AB$315,17,0)</f>
        <v>0.35897435897435898</v>
      </c>
      <c r="AJ389" t="str">
        <f>VLOOKUP($B389,'[1]Plant data'!$A$1:$AB$315,18,0)</f>
        <v>ATLANTIC, Cazetta 2007, Erica&amp;Wesley, Intervales_morfo, Alves 2008, Argel-de-Oliveira 1999</v>
      </c>
      <c r="AK389">
        <f>VLOOKUP($B389,'[1]Plant data'!$A$1:$AB$315,19,0)</f>
        <v>0.86180000000000012</v>
      </c>
      <c r="AL389">
        <f>VLOOKUP($B389,'[1]Plant data'!$A$1:$AB$315,20,0)</f>
        <v>7.980000000000001E-2</v>
      </c>
      <c r="AM389">
        <f>VLOOKUP($B389,'[1]Plant data'!$A$1:$AB$315,21,0)</f>
        <v>2.86E-2</v>
      </c>
      <c r="AN389">
        <f>VLOOKUP($B389,'[1]Plant data'!$A$1:$AB$315,22,0)</f>
        <v>1E-3</v>
      </c>
      <c r="AO389" t="str">
        <f>VLOOKUP($B389,'[1]Plant data'!$A$1:$AB$315,23,0)</f>
        <v>NA</v>
      </c>
      <c r="AP389" t="str">
        <f>VLOOKUP($B389,'[1]Plant data'!$A$1:$AB$315,24,0)</f>
        <v>NA</v>
      </c>
      <c r="AQ389" t="str">
        <f>VLOOKUP($B389,'[1]Plant data'!$A$1:$AB$315,25,0)</f>
        <v>NA</v>
      </c>
      <c r="AR389" t="str">
        <f>VLOOKUP($B389,'[1]Plant data'!$A$1:$AB$315,26,0)</f>
        <v>NA</v>
      </c>
      <c r="AS389" t="str">
        <f>VLOOKUP($B389,'[1]Plant data'!$A$1:$AB$315,27,0)</f>
        <v>NA</v>
      </c>
      <c r="AT389" t="str">
        <f>VLOOKUP($B389,'[1]Plant data'!$A$1:$AB$315,28,0)</f>
        <v>Cazetta 2007</v>
      </c>
    </row>
    <row r="390" spans="1:46">
      <c r="A390" s="5" t="s">
        <v>43</v>
      </c>
      <c r="B390" s="33" t="s">
        <v>18</v>
      </c>
      <c r="C390" s="7">
        <v>1</v>
      </c>
      <c r="D390" s="7">
        <v>20.8</v>
      </c>
      <c r="E390" s="8">
        <f>C390/D390</f>
        <v>4.8076923076923073E-2</v>
      </c>
      <c r="F390" t="s">
        <v>19</v>
      </c>
      <c r="G390" s="41">
        <v>3.1632653061224487</v>
      </c>
      <c r="H390" s="41"/>
      <c r="I390" s="8">
        <f>E390*G390</f>
        <v>0.15208006279434849</v>
      </c>
      <c r="J390" s="10" t="s">
        <v>20</v>
      </c>
      <c r="K390" t="s">
        <v>21</v>
      </c>
      <c r="L390" t="s">
        <v>22</v>
      </c>
      <c r="M390" t="s">
        <v>30</v>
      </c>
      <c r="N390" s="11">
        <v>32.5</v>
      </c>
      <c r="O390" s="11">
        <v>8.9205555560000001</v>
      </c>
      <c r="P390" t="s">
        <v>24</v>
      </c>
      <c r="Q390" t="s">
        <v>25</v>
      </c>
      <c r="R390" t="s">
        <v>26</v>
      </c>
      <c r="S390" t="s">
        <v>31</v>
      </c>
      <c r="T390" t="str">
        <f>VLOOKUP(B390,'[1]Plant data'!$A$1:$AB$315,2,0)</f>
        <v>Primulaceae</v>
      </c>
      <c r="U390" t="str">
        <f>VLOOKUP($B390,'[1]Plant data'!$A$1:$AB$315,3,0)</f>
        <v>NA</v>
      </c>
      <c r="V390" t="str">
        <f>VLOOKUP($B390,'[1]Plant data'!$A$1:$AB$315,4,0)</f>
        <v>black</v>
      </c>
      <c r="W390" t="str">
        <f>VLOOKUP($B390,'[1]Plant data'!$A$1:$AB$315,5,0)</f>
        <v>YES</v>
      </c>
      <c r="X390">
        <f>VLOOKUP($B390,'[1]Plant data'!$A$1:$AB$315,6,0)</f>
        <v>5.2616666666666667</v>
      </c>
      <c r="Y390">
        <f>VLOOKUP($B390,'[1]Plant data'!$A$1:$AB$315,7,0)</f>
        <v>5.2283333333333335</v>
      </c>
      <c r="Z390">
        <f>VLOOKUP($B390,'[1]Plant data'!$A$1:$AB$315,8,0)</f>
        <v>4.0860000000000003</v>
      </c>
      <c r="AA390">
        <f>VLOOKUP($B390,'[1]Plant data'!$A$1:$AB$315,9,0)</f>
        <v>4.5239999999999991</v>
      </c>
      <c r="AB390">
        <f>VLOOKUP($B390,'[1]Plant data'!$A$1:$AB$315,10,0)</f>
        <v>0.16140000000000002</v>
      </c>
      <c r="AC390">
        <f>VLOOKUP($B390,'[1]Plant data'!$A$1:$AB$315,11,0)</f>
        <v>0.1</v>
      </c>
      <c r="AD390">
        <f>VLOOKUP($B390,'[1]Plant data'!$A$1:$AB$315,12,0)</f>
        <v>8.5199999999999998E-2</v>
      </c>
      <c r="AE390">
        <f>VLOOKUP($B390,'[1]Plant data'!$A$1:$AB$315,13,0)</f>
        <v>8.0000000000000002E-3</v>
      </c>
      <c r="AF390">
        <f>VLOOKUP($B390,'[1]Plant data'!$A$1:$AB$315,14,0)</f>
        <v>2.2800000000000001E-2</v>
      </c>
      <c r="AG390">
        <f>VLOOKUP($B390,'[1]Plant data'!$A$1:$AB$315,15,0)</f>
        <v>1</v>
      </c>
      <c r="AH390" t="str">
        <f>VLOOKUP($B390,'[1]Plant data'!$A$1:$AB$315,16,0)</f>
        <v>NA</v>
      </c>
      <c r="AI390">
        <f>VLOOKUP($B390,'[1]Plant data'!$A$1:$AB$315,17,0)</f>
        <v>0.35897435897435898</v>
      </c>
      <c r="AJ390" t="str">
        <f>VLOOKUP($B390,'[1]Plant data'!$A$1:$AB$315,18,0)</f>
        <v>ATLANTIC, Cazetta 2007, Erica&amp;Wesley, Intervales_morfo, Alves 2008, Argel-de-Oliveira 1999</v>
      </c>
      <c r="AK390">
        <f>VLOOKUP($B390,'[1]Plant data'!$A$1:$AB$315,19,0)</f>
        <v>0.86180000000000012</v>
      </c>
      <c r="AL390">
        <f>VLOOKUP($B390,'[1]Plant data'!$A$1:$AB$315,20,0)</f>
        <v>7.980000000000001E-2</v>
      </c>
      <c r="AM390">
        <f>VLOOKUP($B390,'[1]Plant data'!$A$1:$AB$315,21,0)</f>
        <v>2.86E-2</v>
      </c>
      <c r="AN390">
        <f>VLOOKUP($B390,'[1]Plant data'!$A$1:$AB$315,22,0)</f>
        <v>1E-3</v>
      </c>
      <c r="AO390" t="str">
        <f>VLOOKUP($B390,'[1]Plant data'!$A$1:$AB$315,23,0)</f>
        <v>NA</v>
      </c>
      <c r="AP390" t="str">
        <f>VLOOKUP($B390,'[1]Plant data'!$A$1:$AB$315,24,0)</f>
        <v>NA</v>
      </c>
      <c r="AQ390" t="str">
        <f>VLOOKUP($B390,'[1]Plant data'!$A$1:$AB$315,25,0)</f>
        <v>NA</v>
      </c>
      <c r="AR390" t="str">
        <f>VLOOKUP($B390,'[1]Plant data'!$A$1:$AB$315,26,0)</f>
        <v>NA</v>
      </c>
      <c r="AS390" t="str">
        <f>VLOOKUP($B390,'[1]Plant data'!$A$1:$AB$315,27,0)</f>
        <v>NA</v>
      </c>
      <c r="AT390" t="str">
        <f>VLOOKUP($B390,'[1]Plant data'!$A$1:$AB$315,28,0)</f>
        <v>Cazetta 2007</v>
      </c>
    </row>
    <row r="391" spans="1:46">
      <c r="A391" s="5" t="s">
        <v>46</v>
      </c>
      <c r="B391" s="33" t="s">
        <v>18</v>
      </c>
      <c r="C391" s="7">
        <v>26</v>
      </c>
      <c r="D391" s="7">
        <v>20.8</v>
      </c>
      <c r="E391" s="8">
        <f>C391/D391</f>
        <v>1.25</v>
      </c>
      <c r="F391" t="s">
        <v>19</v>
      </c>
      <c r="G391" s="41">
        <v>19.044512987012986</v>
      </c>
      <c r="H391" s="41"/>
      <c r="I391" s="8">
        <f>E391*G391</f>
        <v>23.805641233766231</v>
      </c>
      <c r="J391" s="10" t="s">
        <v>20</v>
      </c>
      <c r="K391" t="s">
        <v>21</v>
      </c>
      <c r="L391" t="s">
        <v>22</v>
      </c>
      <c r="M391" t="s">
        <v>47</v>
      </c>
      <c r="N391" s="11">
        <v>54</v>
      </c>
      <c r="O391" s="11">
        <v>11.14875</v>
      </c>
      <c r="P391" t="s">
        <v>48</v>
      </c>
      <c r="Q391" t="s">
        <v>49</v>
      </c>
      <c r="R391" t="s">
        <v>26</v>
      </c>
      <c r="S391" t="s">
        <v>31</v>
      </c>
      <c r="T391" t="str">
        <f>VLOOKUP(B391,'[1]Plant data'!$A$1:$AB$315,2,0)</f>
        <v>Primulaceae</v>
      </c>
      <c r="U391" t="str">
        <f>VLOOKUP($B391,'[1]Plant data'!$A$1:$AB$315,3,0)</f>
        <v>NA</v>
      </c>
      <c r="V391" t="str">
        <f>VLOOKUP($B391,'[1]Plant data'!$A$1:$AB$315,4,0)</f>
        <v>black</v>
      </c>
      <c r="W391" t="str">
        <f>VLOOKUP($B391,'[1]Plant data'!$A$1:$AB$315,5,0)</f>
        <v>YES</v>
      </c>
      <c r="X391">
        <f>VLOOKUP($B391,'[1]Plant data'!$A$1:$AB$315,6,0)</f>
        <v>5.2616666666666667</v>
      </c>
      <c r="Y391">
        <f>VLOOKUP($B391,'[1]Plant data'!$A$1:$AB$315,7,0)</f>
        <v>5.2283333333333335</v>
      </c>
      <c r="Z391">
        <f>VLOOKUP($B391,'[1]Plant data'!$A$1:$AB$315,8,0)</f>
        <v>4.0860000000000003</v>
      </c>
      <c r="AA391">
        <f>VLOOKUP($B391,'[1]Plant data'!$A$1:$AB$315,9,0)</f>
        <v>4.5239999999999991</v>
      </c>
      <c r="AB391">
        <f>VLOOKUP($B391,'[1]Plant data'!$A$1:$AB$315,10,0)</f>
        <v>0.16140000000000002</v>
      </c>
      <c r="AC391">
        <f>VLOOKUP($B391,'[1]Plant data'!$A$1:$AB$315,11,0)</f>
        <v>0.1</v>
      </c>
      <c r="AD391">
        <f>VLOOKUP($B391,'[1]Plant data'!$A$1:$AB$315,12,0)</f>
        <v>8.5199999999999998E-2</v>
      </c>
      <c r="AE391">
        <f>VLOOKUP($B391,'[1]Plant data'!$A$1:$AB$315,13,0)</f>
        <v>8.0000000000000002E-3</v>
      </c>
      <c r="AF391">
        <f>VLOOKUP($B391,'[1]Plant data'!$A$1:$AB$315,14,0)</f>
        <v>2.2800000000000001E-2</v>
      </c>
      <c r="AG391">
        <f>VLOOKUP($B391,'[1]Plant data'!$A$1:$AB$315,15,0)</f>
        <v>1</v>
      </c>
      <c r="AH391" t="str">
        <f>VLOOKUP($B391,'[1]Plant data'!$A$1:$AB$315,16,0)</f>
        <v>NA</v>
      </c>
      <c r="AI391">
        <f>VLOOKUP($B391,'[1]Plant data'!$A$1:$AB$315,17,0)</f>
        <v>0.35897435897435898</v>
      </c>
      <c r="AJ391" t="str">
        <f>VLOOKUP($B391,'[1]Plant data'!$A$1:$AB$315,18,0)</f>
        <v>ATLANTIC, Cazetta 2007, Erica&amp;Wesley, Intervales_morfo, Alves 2008, Argel-de-Oliveira 1999</v>
      </c>
      <c r="AK391">
        <f>VLOOKUP($B391,'[1]Plant data'!$A$1:$AB$315,19,0)</f>
        <v>0.86180000000000012</v>
      </c>
      <c r="AL391">
        <f>VLOOKUP($B391,'[1]Plant data'!$A$1:$AB$315,20,0)</f>
        <v>7.980000000000001E-2</v>
      </c>
      <c r="AM391">
        <f>VLOOKUP($B391,'[1]Plant data'!$A$1:$AB$315,21,0)</f>
        <v>2.86E-2</v>
      </c>
      <c r="AN391">
        <f>VLOOKUP($B391,'[1]Plant data'!$A$1:$AB$315,22,0)</f>
        <v>1E-3</v>
      </c>
      <c r="AO391" t="str">
        <f>VLOOKUP($B391,'[1]Plant data'!$A$1:$AB$315,23,0)</f>
        <v>NA</v>
      </c>
      <c r="AP391" t="str">
        <f>VLOOKUP($B391,'[1]Plant data'!$A$1:$AB$315,24,0)</f>
        <v>NA</v>
      </c>
      <c r="AQ391" t="str">
        <f>VLOOKUP($B391,'[1]Plant data'!$A$1:$AB$315,25,0)</f>
        <v>NA</v>
      </c>
      <c r="AR391" t="str">
        <f>VLOOKUP($B391,'[1]Plant data'!$A$1:$AB$315,26,0)</f>
        <v>NA</v>
      </c>
      <c r="AS391" t="str">
        <f>VLOOKUP($B391,'[1]Plant data'!$A$1:$AB$315,27,0)</f>
        <v>NA</v>
      </c>
      <c r="AT391" t="str">
        <f>VLOOKUP($B391,'[1]Plant data'!$A$1:$AB$315,28,0)</f>
        <v>Cazetta 2007</v>
      </c>
    </row>
    <row r="392" spans="1:46">
      <c r="A392" s="5" t="s">
        <v>50</v>
      </c>
      <c r="B392" s="33" t="s">
        <v>18</v>
      </c>
      <c r="C392" s="7">
        <v>3</v>
      </c>
      <c r="D392" s="7">
        <v>20.8</v>
      </c>
      <c r="E392" s="8">
        <f>C392/D392</f>
        <v>0.14423076923076922</v>
      </c>
      <c r="F392" t="s">
        <v>19</v>
      </c>
      <c r="G392" s="41">
        <v>19.044512987012986</v>
      </c>
      <c r="H392" s="41"/>
      <c r="I392" s="8">
        <f>E392*G392</f>
        <v>2.7468047577422574</v>
      </c>
      <c r="J392" s="10" t="s">
        <v>20</v>
      </c>
      <c r="K392" t="s">
        <v>21</v>
      </c>
      <c r="L392" s="16" t="s">
        <v>22</v>
      </c>
      <c r="M392" s="16" t="s">
        <v>47</v>
      </c>
      <c r="N392" s="17">
        <v>69.5</v>
      </c>
      <c r="O392" s="17">
        <v>13.253214290000001</v>
      </c>
      <c r="P392" s="16" t="s">
        <v>48</v>
      </c>
      <c r="Q392" s="16" t="s">
        <v>25</v>
      </c>
      <c r="R392" s="16" t="s">
        <v>26</v>
      </c>
      <c r="S392" s="16" t="s">
        <v>31</v>
      </c>
      <c r="T392" t="str">
        <f>VLOOKUP(B392,'[1]Plant data'!$A$1:$AB$315,2,0)</f>
        <v>Primulaceae</v>
      </c>
      <c r="U392" t="str">
        <f>VLOOKUP($B392,'[1]Plant data'!$A$1:$AB$315,3,0)</f>
        <v>NA</v>
      </c>
      <c r="V392" t="str">
        <f>VLOOKUP($B392,'[1]Plant data'!$A$1:$AB$315,4,0)</f>
        <v>black</v>
      </c>
      <c r="W392" t="str">
        <f>VLOOKUP($B392,'[1]Plant data'!$A$1:$AB$315,5,0)</f>
        <v>YES</v>
      </c>
      <c r="X392">
        <f>VLOOKUP($B392,'[1]Plant data'!$A$1:$AB$315,6,0)</f>
        <v>5.2616666666666667</v>
      </c>
      <c r="Y392">
        <f>VLOOKUP($B392,'[1]Plant data'!$A$1:$AB$315,7,0)</f>
        <v>5.2283333333333335</v>
      </c>
      <c r="Z392">
        <f>VLOOKUP($B392,'[1]Plant data'!$A$1:$AB$315,8,0)</f>
        <v>4.0860000000000003</v>
      </c>
      <c r="AA392">
        <f>VLOOKUP($B392,'[1]Plant data'!$A$1:$AB$315,9,0)</f>
        <v>4.5239999999999991</v>
      </c>
      <c r="AB392">
        <f>VLOOKUP($B392,'[1]Plant data'!$A$1:$AB$315,10,0)</f>
        <v>0.16140000000000002</v>
      </c>
      <c r="AC392">
        <f>VLOOKUP($B392,'[1]Plant data'!$A$1:$AB$315,11,0)</f>
        <v>0.1</v>
      </c>
      <c r="AD392">
        <f>VLOOKUP($B392,'[1]Plant data'!$A$1:$AB$315,12,0)</f>
        <v>8.5199999999999998E-2</v>
      </c>
      <c r="AE392">
        <f>VLOOKUP($B392,'[1]Plant data'!$A$1:$AB$315,13,0)</f>
        <v>8.0000000000000002E-3</v>
      </c>
      <c r="AF392">
        <f>VLOOKUP($B392,'[1]Plant data'!$A$1:$AB$315,14,0)</f>
        <v>2.2800000000000001E-2</v>
      </c>
      <c r="AG392">
        <f>VLOOKUP($B392,'[1]Plant data'!$A$1:$AB$315,15,0)</f>
        <v>1</v>
      </c>
      <c r="AH392" t="str">
        <f>VLOOKUP($B392,'[1]Plant data'!$A$1:$AB$315,16,0)</f>
        <v>NA</v>
      </c>
      <c r="AI392">
        <f>VLOOKUP($B392,'[1]Plant data'!$A$1:$AB$315,17,0)</f>
        <v>0.35897435897435898</v>
      </c>
      <c r="AJ392" t="str">
        <f>VLOOKUP($B392,'[1]Plant data'!$A$1:$AB$315,18,0)</f>
        <v>ATLANTIC, Cazetta 2007, Erica&amp;Wesley, Intervales_morfo, Alves 2008, Argel-de-Oliveira 1999</v>
      </c>
      <c r="AK392">
        <f>VLOOKUP($B392,'[1]Plant data'!$A$1:$AB$315,19,0)</f>
        <v>0.86180000000000012</v>
      </c>
      <c r="AL392">
        <f>VLOOKUP($B392,'[1]Plant data'!$A$1:$AB$315,20,0)</f>
        <v>7.980000000000001E-2</v>
      </c>
      <c r="AM392">
        <f>VLOOKUP($B392,'[1]Plant data'!$A$1:$AB$315,21,0)</f>
        <v>2.86E-2</v>
      </c>
      <c r="AN392">
        <f>VLOOKUP($B392,'[1]Plant data'!$A$1:$AB$315,22,0)</f>
        <v>1E-3</v>
      </c>
      <c r="AO392" t="str">
        <f>VLOOKUP($B392,'[1]Plant data'!$A$1:$AB$315,23,0)</f>
        <v>NA</v>
      </c>
      <c r="AP392" t="str">
        <f>VLOOKUP($B392,'[1]Plant data'!$A$1:$AB$315,24,0)</f>
        <v>NA</v>
      </c>
      <c r="AQ392" t="str">
        <f>VLOOKUP($B392,'[1]Plant data'!$A$1:$AB$315,25,0)</f>
        <v>NA</v>
      </c>
      <c r="AR392" t="str">
        <f>VLOOKUP($B392,'[1]Plant data'!$A$1:$AB$315,26,0)</f>
        <v>NA</v>
      </c>
      <c r="AS392" t="str">
        <f>VLOOKUP($B392,'[1]Plant data'!$A$1:$AB$315,27,0)</f>
        <v>NA</v>
      </c>
      <c r="AT392" t="str">
        <f>VLOOKUP($B392,'[1]Plant data'!$A$1:$AB$315,28,0)</f>
        <v>Cazetta 2007</v>
      </c>
    </row>
    <row r="393" spans="1:46">
      <c r="A393" s="5" t="s">
        <v>70</v>
      </c>
      <c r="B393" s="34" t="s">
        <v>18</v>
      </c>
      <c r="C393" s="7">
        <v>1</v>
      </c>
      <c r="D393" s="7">
        <v>139.69999999999999</v>
      </c>
      <c r="E393" s="8">
        <f>(C393/139.7)/10</f>
        <v>7.1581961345740881E-4</v>
      </c>
      <c r="F393" t="s">
        <v>19</v>
      </c>
      <c r="G393" s="9" t="s">
        <v>19</v>
      </c>
      <c r="H393" s="9"/>
      <c r="I393" s="8" t="s">
        <v>19</v>
      </c>
      <c r="J393" s="25" t="s">
        <v>67</v>
      </c>
      <c r="K393" s="25" t="s">
        <v>68</v>
      </c>
      <c r="L393" t="s">
        <v>22</v>
      </c>
      <c r="M393" t="s">
        <v>23</v>
      </c>
      <c r="N393" s="11">
        <v>15</v>
      </c>
      <c r="O393" s="11">
        <v>6.9235714289999999</v>
      </c>
      <c r="P393" t="s">
        <v>24</v>
      </c>
      <c r="Q393" t="s">
        <v>25</v>
      </c>
      <c r="R393" t="s">
        <v>26</v>
      </c>
      <c r="S393" t="s">
        <v>27</v>
      </c>
      <c r="T393" t="str">
        <f>VLOOKUP(B393,'[1]Plant data'!$A$1:$AB$315,2,0)</f>
        <v>Primulaceae</v>
      </c>
      <c r="U393" t="str">
        <f>VLOOKUP($B393,'[1]Plant data'!$A$1:$AB$315,3,0)</f>
        <v>NA</v>
      </c>
      <c r="V393" t="str">
        <f>VLOOKUP($B393,'[1]Plant data'!$A$1:$AB$315,4,0)</f>
        <v>black</v>
      </c>
      <c r="W393" t="str">
        <f>VLOOKUP($B393,'[1]Plant data'!$A$1:$AB$315,5,0)</f>
        <v>YES</v>
      </c>
      <c r="X393">
        <f>VLOOKUP($B393,'[1]Plant data'!$A$1:$AB$315,6,0)</f>
        <v>5.2616666666666667</v>
      </c>
      <c r="Y393">
        <f>VLOOKUP($B393,'[1]Plant data'!$A$1:$AB$315,7,0)</f>
        <v>5.2283333333333335</v>
      </c>
      <c r="Z393">
        <f>VLOOKUP($B393,'[1]Plant data'!$A$1:$AB$315,8,0)</f>
        <v>4.0860000000000003</v>
      </c>
      <c r="AA393">
        <f>VLOOKUP($B393,'[1]Plant data'!$A$1:$AB$315,9,0)</f>
        <v>4.5239999999999991</v>
      </c>
      <c r="AB393">
        <f>VLOOKUP($B393,'[1]Plant data'!$A$1:$AB$315,10,0)</f>
        <v>0.16140000000000002</v>
      </c>
      <c r="AC393">
        <f>VLOOKUP($B393,'[1]Plant data'!$A$1:$AB$315,11,0)</f>
        <v>0.1</v>
      </c>
      <c r="AD393">
        <f>VLOOKUP($B393,'[1]Plant data'!$A$1:$AB$315,12,0)</f>
        <v>8.5199999999999998E-2</v>
      </c>
      <c r="AE393">
        <f>VLOOKUP($B393,'[1]Plant data'!$A$1:$AB$315,13,0)</f>
        <v>8.0000000000000002E-3</v>
      </c>
      <c r="AF393">
        <f>VLOOKUP($B393,'[1]Plant data'!$A$1:$AB$315,14,0)</f>
        <v>2.2800000000000001E-2</v>
      </c>
      <c r="AG393">
        <f>VLOOKUP($B393,'[1]Plant data'!$A$1:$AB$315,15,0)</f>
        <v>1</v>
      </c>
      <c r="AH393" t="str">
        <f>VLOOKUP($B393,'[1]Plant data'!$A$1:$AB$315,16,0)</f>
        <v>NA</v>
      </c>
      <c r="AI393">
        <f>VLOOKUP($B393,'[1]Plant data'!$A$1:$AB$315,17,0)</f>
        <v>0.35897435897435898</v>
      </c>
      <c r="AJ393" t="str">
        <f>VLOOKUP($B393,'[1]Plant data'!$A$1:$AB$315,18,0)</f>
        <v>ATLANTIC, Cazetta 2007, Erica&amp;Wesley, Intervales_morfo, Alves 2008, Argel-de-Oliveira 1999</v>
      </c>
      <c r="AK393">
        <f>VLOOKUP($B393,'[1]Plant data'!$A$1:$AB$315,19,0)</f>
        <v>0.86180000000000012</v>
      </c>
      <c r="AL393">
        <f>VLOOKUP($B393,'[1]Plant data'!$A$1:$AB$315,20,0)</f>
        <v>7.980000000000001E-2</v>
      </c>
      <c r="AM393">
        <f>VLOOKUP($B393,'[1]Plant data'!$A$1:$AB$315,21,0)</f>
        <v>2.86E-2</v>
      </c>
      <c r="AN393">
        <f>VLOOKUP($B393,'[1]Plant data'!$A$1:$AB$315,22,0)</f>
        <v>1E-3</v>
      </c>
      <c r="AO393" t="str">
        <f>VLOOKUP($B393,'[1]Plant data'!$A$1:$AB$315,23,0)</f>
        <v>NA</v>
      </c>
      <c r="AP393" t="str">
        <f>VLOOKUP($B393,'[1]Plant data'!$A$1:$AB$315,24,0)</f>
        <v>NA</v>
      </c>
      <c r="AQ393" t="str">
        <f>VLOOKUP($B393,'[1]Plant data'!$A$1:$AB$315,25,0)</f>
        <v>NA</v>
      </c>
      <c r="AR393" t="str">
        <f>VLOOKUP($B393,'[1]Plant data'!$A$1:$AB$315,26,0)</f>
        <v>NA</v>
      </c>
      <c r="AS393" t="str">
        <f>VLOOKUP($B393,'[1]Plant data'!$A$1:$AB$315,27,0)</f>
        <v>NA</v>
      </c>
      <c r="AT393" t="str">
        <f>VLOOKUP($B393,'[1]Plant data'!$A$1:$AB$315,28,0)</f>
        <v>Cazetta 2007</v>
      </c>
    </row>
    <row r="394" spans="1:46">
      <c r="A394" s="18" t="s">
        <v>28</v>
      </c>
      <c r="B394" s="34" t="s">
        <v>18</v>
      </c>
      <c r="C394">
        <v>1</v>
      </c>
      <c r="D394" s="7">
        <v>139.69999999999999</v>
      </c>
      <c r="E394" s="8">
        <f>C394/D394</f>
        <v>7.1581961345740883E-3</v>
      </c>
      <c r="F394" t="s">
        <v>19</v>
      </c>
      <c r="G394" s="41">
        <v>3.7083333333333339</v>
      </c>
      <c r="H394" s="41"/>
      <c r="I394" s="8">
        <f>E394*G394</f>
        <v>2.6544977332378913E-2</v>
      </c>
      <c r="J394" s="24" t="s">
        <v>67</v>
      </c>
      <c r="K394" s="25" t="s">
        <v>68</v>
      </c>
      <c r="L394" t="s">
        <v>22</v>
      </c>
      <c r="M394" t="s">
        <v>30</v>
      </c>
      <c r="N394" s="11">
        <v>18</v>
      </c>
      <c r="O394" s="11">
        <v>7.4188405800000004</v>
      </c>
      <c r="P394" t="s">
        <v>24</v>
      </c>
      <c r="Q394" s="13" t="s">
        <v>25</v>
      </c>
      <c r="R394" s="13" t="s">
        <v>26</v>
      </c>
      <c r="S394" s="13" t="s">
        <v>31</v>
      </c>
      <c r="T394" t="str">
        <f>VLOOKUP(B394,'[1]Plant data'!$A$1:$AB$315,2,0)</f>
        <v>Primulaceae</v>
      </c>
      <c r="U394" t="str">
        <f>VLOOKUP($B394,'[1]Plant data'!$A$1:$AB$315,3,0)</f>
        <v>NA</v>
      </c>
      <c r="V394" t="str">
        <f>VLOOKUP($B394,'[1]Plant data'!$A$1:$AB$315,4,0)</f>
        <v>black</v>
      </c>
      <c r="W394" t="str">
        <f>VLOOKUP($B394,'[1]Plant data'!$A$1:$AB$315,5,0)</f>
        <v>YES</v>
      </c>
      <c r="X394">
        <f>VLOOKUP($B394,'[1]Plant data'!$A$1:$AB$315,6,0)</f>
        <v>5.2616666666666667</v>
      </c>
      <c r="Y394">
        <f>VLOOKUP($B394,'[1]Plant data'!$A$1:$AB$315,7,0)</f>
        <v>5.2283333333333335</v>
      </c>
      <c r="Z394">
        <f>VLOOKUP($B394,'[1]Plant data'!$A$1:$AB$315,8,0)</f>
        <v>4.0860000000000003</v>
      </c>
      <c r="AA394">
        <f>VLOOKUP($B394,'[1]Plant data'!$A$1:$AB$315,9,0)</f>
        <v>4.5239999999999991</v>
      </c>
      <c r="AB394">
        <f>VLOOKUP($B394,'[1]Plant data'!$A$1:$AB$315,10,0)</f>
        <v>0.16140000000000002</v>
      </c>
      <c r="AC394">
        <f>VLOOKUP($B394,'[1]Plant data'!$A$1:$AB$315,11,0)</f>
        <v>0.1</v>
      </c>
      <c r="AD394">
        <f>VLOOKUP($B394,'[1]Plant data'!$A$1:$AB$315,12,0)</f>
        <v>8.5199999999999998E-2</v>
      </c>
      <c r="AE394">
        <f>VLOOKUP($B394,'[1]Plant data'!$A$1:$AB$315,13,0)</f>
        <v>8.0000000000000002E-3</v>
      </c>
      <c r="AF394">
        <f>VLOOKUP($B394,'[1]Plant data'!$A$1:$AB$315,14,0)</f>
        <v>2.2800000000000001E-2</v>
      </c>
      <c r="AG394">
        <f>VLOOKUP($B394,'[1]Plant data'!$A$1:$AB$315,15,0)</f>
        <v>1</v>
      </c>
      <c r="AH394" t="str">
        <f>VLOOKUP($B394,'[1]Plant data'!$A$1:$AB$315,16,0)</f>
        <v>NA</v>
      </c>
      <c r="AI394">
        <f>VLOOKUP($B394,'[1]Plant data'!$A$1:$AB$315,17,0)</f>
        <v>0.35897435897435898</v>
      </c>
      <c r="AJ394" t="str">
        <f>VLOOKUP($B394,'[1]Plant data'!$A$1:$AB$315,18,0)</f>
        <v>ATLANTIC, Cazetta 2007, Erica&amp;Wesley, Intervales_morfo, Alves 2008, Argel-de-Oliveira 1999</v>
      </c>
      <c r="AK394">
        <f>VLOOKUP($B394,'[1]Plant data'!$A$1:$AB$315,19,0)</f>
        <v>0.86180000000000012</v>
      </c>
      <c r="AL394">
        <f>VLOOKUP($B394,'[1]Plant data'!$A$1:$AB$315,20,0)</f>
        <v>7.980000000000001E-2</v>
      </c>
      <c r="AM394">
        <f>VLOOKUP($B394,'[1]Plant data'!$A$1:$AB$315,21,0)</f>
        <v>2.86E-2</v>
      </c>
      <c r="AN394">
        <f>VLOOKUP($B394,'[1]Plant data'!$A$1:$AB$315,22,0)</f>
        <v>1E-3</v>
      </c>
      <c r="AO394" t="str">
        <f>VLOOKUP($B394,'[1]Plant data'!$A$1:$AB$315,23,0)</f>
        <v>NA</v>
      </c>
      <c r="AP394" t="str">
        <f>VLOOKUP($B394,'[1]Plant data'!$A$1:$AB$315,24,0)</f>
        <v>NA</v>
      </c>
      <c r="AQ394" t="str">
        <f>VLOOKUP($B394,'[1]Plant data'!$A$1:$AB$315,25,0)</f>
        <v>NA</v>
      </c>
      <c r="AR394" t="str">
        <f>VLOOKUP($B394,'[1]Plant data'!$A$1:$AB$315,26,0)</f>
        <v>NA</v>
      </c>
      <c r="AS394" t="str">
        <f>VLOOKUP($B394,'[1]Plant data'!$A$1:$AB$315,27,0)</f>
        <v>NA</v>
      </c>
      <c r="AT394" t="str">
        <f>VLOOKUP($B394,'[1]Plant data'!$A$1:$AB$315,28,0)</f>
        <v>Cazetta 2007</v>
      </c>
    </row>
    <row r="395" spans="1:46">
      <c r="A395" s="5" t="s">
        <v>43</v>
      </c>
      <c r="B395" s="34" t="s">
        <v>18</v>
      </c>
      <c r="C395" s="7">
        <v>33</v>
      </c>
      <c r="D395" s="7">
        <v>139.69999999999999</v>
      </c>
      <c r="E395" s="8">
        <f>(C395/139.7)/10</f>
        <v>2.3622047244094491E-2</v>
      </c>
      <c r="F395" t="s">
        <v>19</v>
      </c>
      <c r="G395" s="41">
        <v>3.1632653061224487</v>
      </c>
      <c r="H395" s="41"/>
      <c r="I395" s="8">
        <f>E395*G395</f>
        <v>7.4722802506829514E-2</v>
      </c>
      <c r="J395" s="25" t="s">
        <v>67</v>
      </c>
      <c r="K395" s="25" t="s">
        <v>68</v>
      </c>
      <c r="L395" t="s">
        <v>22</v>
      </c>
      <c r="M395" t="s">
        <v>30</v>
      </c>
      <c r="N395" s="11">
        <v>32.5</v>
      </c>
      <c r="O395" s="11">
        <v>8.9205555560000001</v>
      </c>
      <c r="P395" t="s">
        <v>24</v>
      </c>
      <c r="Q395" t="s">
        <v>25</v>
      </c>
      <c r="R395" t="s">
        <v>26</v>
      </c>
      <c r="S395" t="s">
        <v>31</v>
      </c>
      <c r="T395" t="str">
        <f>VLOOKUP(B395,'[1]Plant data'!$A$1:$AB$315,2,0)</f>
        <v>Primulaceae</v>
      </c>
      <c r="U395" t="str">
        <f>VLOOKUP($B395,'[1]Plant data'!$A$1:$AB$315,3,0)</f>
        <v>NA</v>
      </c>
      <c r="V395" t="str">
        <f>VLOOKUP($B395,'[1]Plant data'!$A$1:$AB$315,4,0)</f>
        <v>black</v>
      </c>
      <c r="W395" t="str">
        <f>VLOOKUP($B395,'[1]Plant data'!$A$1:$AB$315,5,0)</f>
        <v>YES</v>
      </c>
      <c r="X395">
        <f>VLOOKUP($B395,'[1]Plant data'!$A$1:$AB$315,6,0)</f>
        <v>5.2616666666666667</v>
      </c>
      <c r="Y395">
        <f>VLOOKUP($B395,'[1]Plant data'!$A$1:$AB$315,7,0)</f>
        <v>5.2283333333333335</v>
      </c>
      <c r="Z395">
        <f>VLOOKUP($B395,'[1]Plant data'!$A$1:$AB$315,8,0)</f>
        <v>4.0860000000000003</v>
      </c>
      <c r="AA395">
        <f>VLOOKUP($B395,'[1]Plant data'!$A$1:$AB$315,9,0)</f>
        <v>4.5239999999999991</v>
      </c>
      <c r="AB395">
        <f>VLOOKUP($B395,'[1]Plant data'!$A$1:$AB$315,10,0)</f>
        <v>0.16140000000000002</v>
      </c>
      <c r="AC395">
        <f>VLOOKUP($B395,'[1]Plant data'!$A$1:$AB$315,11,0)</f>
        <v>0.1</v>
      </c>
      <c r="AD395">
        <f>VLOOKUP($B395,'[1]Plant data'!$A$1:$AB$315,12,0)</f>
        <v>8.5199999999999998E-2</v>
      </c>
      <c r="AE395">
        <f>VLOOKUP($B395,'[1]Plant data'!$A$1:$AB$315,13,0)</f>
        <v>8.0000000000000002E-3</v>
      </c>
      <c r="AF395">
        <f>VLOOKUP($B395,'[1]Plant data'!$A$1:$AB$315,14,0)</f>
        <v>2.2800000000000001E-2</v>
      </c>
      <c r="AG395">
        <f>VLOOKUP($B395,'[1]Plant data'!$A$1:$AB$315,15,0)</f>
        <v>1</v>
      </c>
      <c r="AH395" t="str">
        <f>VLOOKUP($B395,'[1]Plant data'!$A$1:$AB$315,16,0)</f>
        <v>NA</v>
      </c>
      <c r="AI395">
        <f>VLOOKUP($B395,'[1]Plant data'!$A$1:$AB$315,17,0)</f>
        <v>0.35897435897435898</v>
      </c>
      <c r="AJ395" t="str">
        <f>VLOOKUP($B395,'[1]Plant data'!$A$1:$AB$315,18,0)</f>
        <v>ATLANTIC, Cazetta 2007, Erica&amp;Wesley, Intervales_morfo, Alves 2008, Argel-de-Oliveira 1999</v>
      </c>
      <c r="AK395">
        <f>VLOOKUP($B395,'[1]Plant data'!$A$1:$AB$315,19,0)</f>
        <v>0.86180000000000012</v>
      </c>
      <c r="AL395">
        <f>VLOOKUP($B395,'[1]Plant data'!$A$1:$AB$315,20,0)</f>
        <v>7.980000000000001E-2</v>
      </c>
      <c r="AM395">
        <f>VLOOKUP($B395,'[1]Plant data'!$A$1:$AB$315,21,0)</f>
        <v>2.86E-2</v>
      </c>
      <c r="AN395">
        <f>VLOOKUP($B395,'[1]Plant data'!$A$1:$AB$315,22,0)</f>
        <v>1E-3</v>
      </c>
      <c r="AO395" t="str">
        <f>VLOOKUP($B395,'[1]Plant data'!$A$1:$AB$315,23,0)</f>
        <v>NA</v>
      </c>
      <c r="AP395" t="str">
        <f>VLOOKUP($B395,'[1]Plant data'!$A$1:$AB$315,24,0)</f>
        <v>NA</v>
      </c>
      <c r="AQ395" t="str">
        <f>VLOOKUP($B395,'[1]Plant data'!$A$1:$AB$315,25,0)</f>
        <v>NA</v>
      </c>
      <c r="AR395" t="str">
        <f>VLOOKUP($B395,'[1]Plant data'!$A$1:$AB$315,26,0)</f>
        <v>NA</v>
      </c>
      <c r="AS395" t="str">
        <f>VLOOKUP($B395,'[1]Plant data'!$A$1:$AB$315,27,0)</f>
        <v>NA</v>
      </c>
      <c r="AT395" t="str">
        <f>VLOOKUP($B395,'[1]Plant data'!$A$1:$AB$315,28,0)</f>
        <v>Cazetta 2007</v>
      </c>
    </row>
    <row r="396" spans="1:46">
      <c r="A396" s="5" t="s">
        <v>96</v>
      </c>
      <c r="B396" s="34" t="s">
        <v>148</v>
      </c>
      <c r="C396" s="7">
        <v>2</v>
      </c>
      <c r="D396" s="7">
        <v>250</v>
      </c>
      <c r="E396" s="8">
        <f>C396/250</f>
        <v>8.0000000000000002E-3</v>
      </c>
      <c r="F396" s="8" t="s">
        <v>19</v>
      </c>
      <c r="G396" s="9" t="s">
        <v>19</v>
      </c>
      <c r="H396" s="9"/>
      <c r="I396" s="8" t="s">
        <v>19</v>
      </c>
      <c r="J396" s="25" t="s">
        <v>146</v>
      </c>
      <c r="K396" s="25" t="s">
        <v>147</v>
      </c>
      <c r="L396" t="s">
        <v>100</v>
      </c>
      <c r="M396" t="s">
        <v>101</v>
      </c>
      <c r="N396" s="11">
        <v>1770</v>
      </c>
      <c r="O396" s="11">
        <v>22.349</v>
      </c>
      <c r="P396" t="s">
        <v>48</v>
      </c>
      <c r="Q396" t="s">
        <v>25</v>
      </c>
      <c r="R396" t="s">
        <v>26</v>
      </c>
      <c r="S396" t="s">
        <v>27</v>
      </c>
      <c r="T396" t="str">
        <f>VLOOKUP(B396,'[1]Plant data'!$A$1:$AB$315,2,0)</f>
        <v>Lauraceae</v>
      </c>
      <c r="U396" t="str">
        <f>VLOOKUP($B396,'[1]Plant data'!$A$1:$AB$315,3,0)</f>
        <v>NA</v>
      </c>
      <c r="V396" t="str">
        <f>VLOOKUP($B396,'[1]Plant data'!$A$1:$AB$315,4,0)</f>
        <v>black</v>
      </c>
      <c r="W396" t="str">
        <f>VLOOKUP($B396,'[1]Plant data'!$A$1:$AB$315,5,0)</f>
        <v>YES</v>
      </c>
      <c r="X396">
        <f>VLOOKUP($B396,'[1]Plant data'!$A$1:$AB$315,6,0)</f>
        <v>18</v>
      </c>
      <c r="Y396">
        <f>VLOOKUP($B396,'[1]Plant data'!$A$1:$AB$315,7,0)</f>
        <v>21</v>
      </c>
      <c r="Z396">
        <f>VLOOKUP($B396,'[1]Plant data'!$A$1:$AB$315,8,0)</f>
        <v>11.4</v>
      </c>
      <c r="AA396">
        <f>VLOOKUP($B396,'[1]Plant data'!$A$1:$AB$315,9,0)</f>
        <v>15.7</v>
      </c>
      <c r="AB396" t="str">
        <f>VLOOKUP($B396,'[1]Plant data'!$A$1:$AB$315,10,0)</f>
        <v>NA</v>
      </c>
      <c r="AC396" t="str">
        <f>VLOOKUP($B396,'[1]Plant data'!$A$1:$AB$315,11,0)</f>
        <v>NA</v>
      </c>
      <c r="AD396" t="str">
        <f>VLOOKUP($B396,'[1]Plant data'!$A$1:$AB$315,12,0)</f>
        <v>NA</v>
      </c>
      <c r="AE396" t="str">
        <f>VLOOKUP($B396,'[1]Plant data'!$A$1:$AB$315,13,0)</f>
        <v>NA</v>
      </c>
      <c r="AF396" t="str">
        <f>VLOOKUP($B396,'[1]Plant data'!$A$1:$AB$315,14,0)</f>
        <v>NA</v>
      </c>
      <c r="AG396" t="str">
        <f>VLOOKUP($B396,'[1]Plant data'!$A$1:$AB$315,15,0)</f>
        <v>NA</v>
      </c>
      <c r="AH396" t="str">
        <f>VLOOKUP($B396,'[1]Plant data'!$A$1:$AB$315,16,0)</f>
        <v>NA</v>
      </c>
      <c r="AI396" t="str">
        <f>VLOOKUP($B396,'[1]Plant data'!$A$1:$AB$315,17,0)</f>
        <v>NA</v>
      </c>
      <c r="AJ396" t="str">
        <f>VLOOKUP($B396,'[1]Plant data'!$A$1:$AB$315,18,0)</f>
        <v>ATLANTIC</v>
      </c>
      <c r="AK396" t="str">
        <f>VLOOKUP($B396,'[1]Plant data'!$A$1:$AB$315,19,0)</f>
        <v>NA</v>
      </c>
      <c r="AL396" t="str">
        <f>VLOOKUP($B396,'[1]Plant data'!$A$1:$AB$315,20,0)</f>
        <v>NA</v>
      </c>
      <c r="AM396" t="str">
        <f>VLOOKUP($B396,'[1]Plant data'!$A$1:$AB$315,21,0)</f>
        <v>NA</v>
      </c>
      <c r="AN396" t="str">
        <f>VLOOKUP($B396,'[1]Plant data'!$A$1:$AB$315,22,0)</f>
        <v>NA</v>
      </c>
      <c r="AO396" t="str">
        <f>VLOOKUP($B396,'[1]Plant data'!$A$1:$AB$315,23,0)</f>
        <v>NA</v>
      </c>
      <c r="AP396" t="str">
        <f>VLOOKUP($B396,'[1]Plant data'!$A$1:$AB$315,24,0)</f>
        <v>NA</v>
      </c>
      <c r="AQ396" t="str">
        <f>VLOOKUP($B396,'[1]Plant data'!$A$1:$AB$315,25,0)</f>
        <v>NA</v>
      </c>
      <c r="AR396" t="str">
        <f>VLOOKUP($B396,'[1]Plant data'!$A$1:$AB$315,26,0)</f>
        <v>NA</v>
      </c>
      <c r="AS396" t="str">
        <f>VLOOKUP($B396,'[1]Plant data'!$A$1:$AB$315,27,0)</f>
        <v>NA</v>
      </c>
      <c r="AT396" t="str">
        <f>VLOOKUP($B396,'[1]Plant data'!$A$1:$AB$315,28,0)</f>
        <v>NA</v>
      </c>
    </row>
    <row r="397" spans="1:46">
      <c r="A397" s="5" t="s">
        <v>46</v>
      </c>
      <c r="B397" s="33" t="s">
        <v>148</v>
      </c>
      <c r="C397">
        <v>2</v>
      </c>
      <c r="D397" s="7">
        <v>250</v>
      </c>
      <c r="E397" s="8">
        <f>C397/250</f>
        <v>8.0000000000000002E-3</v>
      </c>
      <c r="F397" s="8" t="s">
        <v>19</v>
      </c>
      <c r="G397" s="41">
        <v>2.85</v>
      </c>
      <c r="H397" s="41"/>
      <c r="I397" s="8">
        <f>E397*G397</f>
        <v>2.2800000000000001E-2</v>
      </c>
      <c r="J397" s="25" t="s">
        <v>146</v>
      </c>
      <c r="K397" s="25" t="s">
        <v>147</v>
      </c>
      <c r="L397" t="s">
        <v>22</v>
      </c>
      <c r="M397" t="s">
        <v>47</v>
      </c>
      <c r="N397" s="11">
        <v>54</v>
      </c>
      <c r="O397" s="11">
        <v>11.14875</v>
      </c>
      <c r="P397" t="s">
        <v>48</v>
      </c>
      <c r="Q397" t="s">
        <v>49</v>
      </c>
      <c r="R397" t="s">
        <v>26</v>
      </c>
      <c r="S397" t="s">
        <v>31</v>
      </c>
      <c r="T397" t="str">
        <f>VLOOKUP(B397,'[1]Plant data'!$A$1:$AB$315,2,0)</f>
        <v>Lauraceae</v>
      </c>
      <c r="U397" t="str">
        <f>VLOOKUP($B397,'[1]Plant data'!$A$1:$AB$315,3,0)</f>
        <v>NA</v>
      </c>
      <c r="V397" t="str">
        <f>VLOOKUP($B397,'[1]Plant data'!$A$1:$AB$315,4,0)</f>
        <v>black</v>
      </c>
      <c r="W397" t="str">
        <f>VLOOKUP($B397,'[1]Plant data'!$A$1:$AB$315,5,0)</f>
        <v>YES</v>
      </c>
      <c r="X397">
        <f>VLOOKUP($B397,'[1]Plant data'!$A$1:$AB$315,6,0)</f>
        <v>18</v>
      </c>
      <c r="Y397">
        <f>VLOOKUP($B397,'[1]Plant data'!$A$1:$AB$315,7,0)</f>
        <v>21</v>
      </c>
      <c r="Z397">
        <f>VLOOKUP($B397,'[1]Plant data'!$A$1:$AB$315,8,0)</f>
        <v>11.4</v>
      </c>
      <c r="AA397">
        <f>VLOOKUP($B397,'[1]Plant data'!$A$1:$AB$315,9,0)</f>
        <v>15.7</v>
      </c>
      <c r="AB397" t="str">
        <f>VLOOKUP($B397,'[1]Plant data'!$A$1:$AB$315,10,0)</f>
        <v>NA</v>
      </c>
      <c r="AC397" t="str">
        <f>VLOOKUP($B397,'[1]Plant data'!$A$1:$AB$315,11,0)</f>
        <v>NA</v>
      </c>
      <c r="AD397" t="str">
        <f>VLOOKUP($B397,'[1]Plant data'!$A$1:$AB$315,12,0)</f>
        <v>NA</v>
      </c>
      <c r="AE397" t="str">
        <f>VLOOKUP($B397,'[1]Plant data'!$A$1:$AB$315,13,0)</f>
        <v>NA</v>
      </c>
      <c r="AF397" t="str">
        <f>VLOOKUP($B397,'[1]Plant data'!$A$1:$AB$315,14,0)</f>
        <v>NA</v>
      </c>
      <c r="AG397" t="str">
        <f>VLOOKUP($B397,'[1]Plant data'!$A$1:$AB$315,15,0)</f>
        <v>NA</v>
      </c>
      <c r="AH397" t="str">
        <f>VLOOKUP($B397,'[1]Plant data'!$A$1:$AB$315,16,0)</f>
        <v>NA</v>
      </c>
      <c r="AI397" t="str">
        <f>VLOOKUP($B397,'[1]Plant data'!$A$1:$AB$315,17,0)</f>
        <v>NA</v>
      </c>
      <c r="AJ397" t="str">
        <f>VLOOKUP($B397,'[1]Plant data'!$A$1:$AB$315,18,0)</f>
        <v>ATLANTIC</v>
      </c>
      <c r="AK397" t="str">
        <f>VLOOKUP($B397,'[1]Plant data'!$A$1:$AB$315,19,0)</f>
        <v>NA</v>
      </c>
      <c r="AL397" t="str">
        <f>VLOOKUP($B397,'[1]Plant data'!$A$1:$AB$315,20,0)</f>
        <v>NA</v>
      </c>
      <c r="AM397" t="str">
        <f>VLOOKUP($B397,'[1]Plant data'!$A$1:$AB$315,21,0)</f>
        <v>NA</v>
      </c>
      <c r="AN397" t="str">
        <f>VLOOKUP($B397,'[1]Plant data'!$A$1:$AB$315,22,0)</f>
        <v>NA</v>
      </c>
      <c r="AO397" t="str">
        <f>VLOOKUP($B397,'[1]Plant data'!$A$1:$AB$315,23,0)</f>
        <v>NA</v>
      </c>
      <c r="AP397" t="str">
        <f>VLOOKUP($B397,'[1]Plant data'!$A$1:$AB$315,24,0)</f>
        <v>NA</v>
      </c>
      <c r="AQ397" t="str">
        <f>VLOOKUP($B397,'[1]Plant data'!$A$1:$AB$315,25,0)</f>
        <v>NA</v>
      </c>
      <c r="AR397" t="str">
        <f>VLOOKUP($B397,'[1]Plant data'!$A$1:$AB$315,26,0)</f>
        <v>NA</v>
      </c>
      <c r="AS397" t="str">
        <f>VLOOKUP($B397,'[1]Plant data'!$A$1:$AB$315,27,0)</f>
        <v>NA</v>
      </c>
      <c r="AT397" t="str">
        <f>VLOOKUP($B397,'[1]Plant data'!$A$1:$AB$315,28,0)</f>
        <v>NA</v>
      </c>
    </row>
    <row r="398" spans="1:46">
      <c r="A398" s="5" t="s">
        <v>50</v>
      </c>
      <c r="B398" s="32" t="s">
        <v>148</v>
      </c>
      <c r="C398">
        <v>3</v>
      </c>
      <c r="D398" s="7">
        <v>250</v>
      </c>
      <c r="E398" s="8">
        <f>C398/250</f>
        <v>1.2E-2</v>
      </c>
      <c r="F398" s="8" t="s">
        <v>19</v>
      </c>
      <c r="G398" s="41">
        <v>2.85</v>
      </c>
      <c r="H398" s="41"/>
      <c r="I398" s="8">
        <f>E398*G398</f>
        <v>3.4200000000000001E-2</v>
      </c>
      <c r="J398" t="s">
        <v>146</v>
      </c>
      <c r="K398" t="s">
        <v>147</v>
      </c>
      <c r="L398" t="s">
        <v>22</v>
      </c>
      <c r="M398" t="s">
        <v>47</v>
      </c>
      <c r="N398" s="11">
        <v>69.5</v>
      </c>
      <c r="O398" s="11">
        <v>13.253214290000001</v>
      </c>
      <c r="P398" t="s">
        <v>48</v>
      </c>
      <c r="Q398" t="s">
        <v>25</v>
      </c>
      <c r="R398" t="s">
        <v>26</v>
      </c>
      <c r="S398" t="s">
        <v>31</v>
      </c>
      <c r="T398" t="str">
        <f>VLOOKUP(B398,'[1]Plant data'!$A$1:$AB$315,2,0)</f>
        <v>Lauraceae</v>
      </c>
      <c r="U398" t="str">
        <f>VLOOKUP($B398,'[1]Plant data'!$A$1:$AB$315,3,0)</f>
        <v>NA</v>
      </c>
      <c r="V398" t="str">
        <f>VLOOKUP($B398,'[1]Plant data'!$A$1:$AB$315,4,0)</f>
        <v>black</v>
      </c>
      <c r="W398" t="str">
        <f>VLOOKUP($B398,'[1]Plant data'!$A$1:$AB$315,5,0)</f>
        <v>YES</v>
      </c>
      <c r="X398">
        <f>VLOOKUP($B398,'[1]Plant data'!$A$1:$AB$315,6,0)</f>
        <v>18</v>
      </c>
      <c r="Y398">
        <f>VLOOKUP($B398,'[1]Plant data'!$A$1:$AB$315,7,0)</f>
        <v>21</v>
      </c>
      <c r="Z398">
        <f>VLOOKUP($B398,'[1]Plant data'!$A$1:$AB$315,8,0)</f>
        <v>11.4</v>
      </c>
      <c r="AA398">
        <f>VLOOKUP($B398,'[1]Plant data'!$A$1:$AB$315,9,0)</f>
        <v>15.7</v>
      </c>
      <c r="AB398" t="str">
        <f>VLOOKUP($B398,'[1]Plant data'!$A$1:$AB$315,10,0)</f>
        <v>NA</v>
      </c>
      <c r="AC398" t="str">
        <f>VLOOKUP($B398,'[1]Plant data'!$A$1:$AB$315,11,0)</f>
        <v>NA</v>
      </c>
      <c r="AD398" t="str">
        <f>VLOOKUP($B398,'[1]Plant data'!$A$1:$AB$315,12,0)</f>
        <v>NA</v>
      </c>
      <c r="AE398" t="str">
        <f>VLOOKUP($B398,'[1]Plant data'!$A$1:$AB$315,13,0)</f>
        <v>NA</v>
      </c>
      <c r="AF398" t="str">
        <f>VLOOKUP($B398,'[1]Plant data'!$A$1:$AB$315,14,0)</f>
        <v>NA</v>
      </c>
      <c r="AG398" t="str">
        <f>VLOOKUP($B398,'[1]Plant data'!$A$1:$AB$315,15,0)</f>
        <v>NA</v>
      </c>
      <c r="AH398" t="str">
        <f>VLOOKUP($B398,'[1]Plant data'!$A$1:$AB$315,16,0)</f>
        <v>NA</v>
      </c>
      <c r="AI398" t="str">
        <f>VLOOKUP($B398,'[1]Plant data'!$A$1:$AB$315,17,0)</f>
        <v>NA</v>
      </c>
      <c r="AJ398" t="str">
        <f>VLOOKUP($B398,'[1]Plant data'!$A$1:$AB$315,18,0)</f>
        <v>ATLANTIC</v>
      </c>
      <c r="AK398" t="str">
        <f>VLOOKUP($B398,'[1]Plant data'!$A$1:$AB$315,19,0)</f>
        <v>NA</v>
      </c>
      <c r="AL398" t="str">
        <f>VLOOKUP($B398,'[1]Plant data'!$A$1:$AB$315,20,0)</f>
        <v>NA</v>
      </c>
      <c r="AM398" t="str">
        <f>VLOOKUP($B398,'[1]Plant data'!$A$1:$AB$315,21,0)</f>
        <v>NA</v>
      </c>
      <c r="AN398" t="str">
        <f>VLOOKUP($B398,'[1]Plant data'!$A$1:$AB$315,22,0)</f>
        <v>NA</v>
      </c>
      <c r="AO398" t="str">
        <f>VLOOKUP($B398,'[1]Plant data'!$A$1:$AB$315,23,0)</f>
        <v>NA</v>
      </c>
      <c r="AP398" t="str">
        <f>VLOOKUP($B398,'[1]Plant data'!$A$1:$AB$315,24,0)</f>
        <v>NA</v>
      </c>
      <c r="AQ398" t="str">
        <f>VLOOKUP($B398,'[1]Plant data'!$A$1:$AB$315,25,0)</f>
        <v>NA</v>
      </c>
      <c r="AR398" t="str">
        <f>VLOOKUP($B398,'[1]Plant data'!$A$1:$AB$315,26,0)</f>
        <v>NA</v>
      </c>
      <c r="AS398" t="str">
        <f>VLOOKUP($B398,'[1]Plant data'!$A$1:$AB$315,27,0)</f>
        <v>NA</v>
      </c>
      <c r="AT398" t="str">
        <f>VLOOKUP($B398,'[1]Plant data'!$A$1:$AB$315,28,0)</f>
        <v>NA</v>
      </c>
    </row>
    <row r="399" spans="1:46">
      <c r="A399" s="5" t="s">
        <v>110</v>
      </c>
      <c r="B399" s="34" t="s">
        <v>164</v>
      </c>
      <c r="C399">
        <v>1</v>
      </c>
      <c r="D399" t="s">
        <v>19</v>
      </c>
      <c r="E399" s="9" t="s">
        <v>19</v>
      </c>
      <c r="F399" s="9" t="s">
        <v>19</v>
      </c>
      <c r="G399" s="9" t="s">
        <v>19</v>
      </c>
      <c r="H399" s="9"/>
      <c r="I399" s="8" t="s">
        <v>19</v>
      </c>
      <c r="J399" t="s">
        <v>157</v>
      </c>
      <c r="K399" t="s">
        <v>123</v>
      </c>
      <c r="L399" t="s">
        <v>100</v>
      </c>
      <c r="M399" t="s">
        <v>101</v>
      </c>
      <c r="N399" s="11">
        <v>1250</v>
      </c>
      <c r="O399" s="11">
        <v>19.114999999999998</v>
      </c>
      <c r="P399" t="s">
        <v>48</v>
      </c>
      <c r="Q399" t="s">
        <v>95</v>
      </c>
      <c r="R399" t="s">
        <v>114</v>
      </c>
      <c r="S399" t="s">
        <v>27</v>
      </c>
      <c r="T399" t="str">
        <f>VLOOKUP(B399,'[1]Plant data'!$A$1:$AB$315,2,0)</f>
        <v>Lauraceae</v>
      </c>
      <c r="U399" t="str">
        <f>VLOOKUP($B399,'[1]Plant data'!$A$1:$AB$315,3,0)</f>
        <v>NA</v>
      </c>
      <c r="V399" t="str">
        <f>VLOOKUP($B399,'[1]Plant data'!$A$1:$AB$315,4,0)</f>
        <v>black</v>
      </c>
      <c r="W399" t="str">
        <f>VLOOKUP($B399,'[1]Plant data'!$A$1:$AB$315,5,0)</f>
        <v>YES</v>
      </c>
      <c r="X399">
        <f>VLOOKUP($B399,'[1]Plant data'!$A$1:$AB$315,6,0)</f>
        <v>7.8224999999999998</v>
      </c>
      <c r="Y399">
        <f>VLOOKUP($B399,'[1]Plant data'!$A$1:$AB$315,7,0)</f>
        <v>11.41</v>
      </c>
      <c r="Z399">
        <f>VLOOKUP($B399,'[1]Plant data'!$A$1:$AB$315,8,0)</f>
        <v>7.4124999999999996</v>
      </c>
      <c r="AA399">
        <f>VLOOKUP($B399,'[1]Plant data'!$A$1:$AB$315,9,0)</f>
        <v>9.1274999999999995</v>
      </c>
      <c r="AB399">
        <f>VLOOKUP($B399,'[1]Plant data'!$A$1:$AB$315,10,0)</f>
        <v>0.33</v>
      </c>
      <c r="AC399" t="str">
        <f>VLOOKUP($B399,'[1]Plant data'!$A$1:$AB$315,11,0)</f>
        <v>NA</v>
      </c>
      <c r="AD399">
        <f>VLOOKUP($B399,'[1]Plant data'!$A$1:$AB$315,12,0)</f>
        <v>0.15</v>
      </c>
      <c r="AE399" t="str">
        <f>VLOOKUP($B399,'[1]Plant data'!$A$1:$AB$315,13,0)</f>
        <v>NA</v>
      </c>
      <c r="AF399" t="str">
        <f>VLOOKUP($B399,'[1]Plant data'!$A$1:$AB$315,14,0)</f>
        <v>NA</v>
      </c>
      <c r="AG399">
        <f>VLOOKUP($B399,'[1]Plant data'!$A$1:$AB$315,15,0)</f>
        <v>1</v>
      </c>
      <c r="AH399" t="str">
        <f>VLOOKUP($B399,'[1]Plant data'!$A$1:$AB$315,16,0)</f>
        <v>NA</v>
      </c>
      <c r="AI399" t="str">
        <f>VLOOKUP($B399,'[1]Plant data'!$A$1:$AB$315,17,0)</f>
        <v>NA</v>
      </c>
      <c r="AJ399" t="str">
        <f>VLOOKUP($B399,'[1]Plant data'!$A$1:$AB$315,18,0)</f>
        <v>ATLANTIC, Intervales_morfo, Kindel 1996, Mikich 2002, Krügel et al 2006 Iheringia</v>
      </c>
      <c r="AK399">
        <f>VLOOKUP($B399,'[1]Plant data'!$A$1:$AB$315,19,0)</f>
        <v>0.56159999999999999</v>
      </c>
      <c r="AL399">
        <f>VLOOKUP($B399,'[1]Plant data'!$A$1:$AB$315,20,0)</f>
        <v>0.58940000000000003</v>
      </c>
      <c r="AM399">
        <f>VLOOKUP($B399,'[1]Plant data'!$A$1:$AB$315,21,0)</f>
        <v>0.1101</v>
      </c>
      <c r="AN399" t="str">
        <f>VLOOKUP($B399,'[1]Plant data'!$A$1:$AB$315,22,0)</f>
        <v>NA</v>
      </c>
      <c r="AO399" t="str">
        <f>VLOOKUP($B399,'[1]Plant data'!$A$1:$AB$315,23,0)</f>
        <v>NA</v>
      </c>
      <c r="AP399" t="str">
        <f>VLOOKUP($B399,'[1]Plant data'!$A$1:$AB$315,24,0)</f>
        <v>NA</v>
      </c>
      <c r="AQ399" t="str">
        <f>VLOOKUP($B399,'[1]Plant data'!$A$1:$AB$315,25,0)</f>
        <v>NA</v>
      </c>
      <c r="AR399">
        <f>VLOOKUP($B399,'[1]Plant data'!$A$1:$AB$315,26,0)</f>
        <v>0.1278</v>
      </c>
      <c r="AS399">
        <f>VLOOKUP($B399,'[1]Plant data'!$A$1:$AB$315,27,0)</f>
        <v>8.1799999999999998E-2</v>
      </c>
      <c r="AT399" t="str">
        <f>VLOOKUP($B399,'[1]Plant data'!$A$1:$AB$315,28,0)</f>
        <v>Krügel et al 2006 Iheringia</v>
      </c>
    </row>
    <row r="400" spans="1:46">
      <c r="A400" s="5" t="s">
        <v>96</v>
      </c>
      <c r="B400" s="34" t="s">
        <v>164</v>
      </c>
      <c r="C400" s="7">
        <v>5</v>
      </c>
      <c r="D400" s="7">
        <v>70</v>
      </c>
      <c r="E400" s="8">
        <f>C400/70</f>
        <v>7.1428571428571425E-2</v>
      </c>
      <c r="F400" s="27" t="s">
        <v>19</v>
      </c>
      <c r="G400" s="9" t="s">
        <v>19</v>
      </c>
      <c r="H400" s="9"/>
      <c r="I400" s="8" t="s">
        <v>19</v>
      </c>
      <c r="J400" t="s">
        <v>205</v>
      </c>
      <c r="K400" t="s">
        <v>127</v>
      </c>
      <c r="L400" t="s">
        <v>100</v>
      </c>
      <c r="M400" t="s">
        <v>101</v>
      </c>
      <c r="N400" s="11">
        <v>1770</v>
      </c>
      <c r="O400" s="11">
        <v>22.349</v>
      </c>
      <c r="P400" t="s">
        <v>48</v>
      </c>
      <c r="Q400" t="s">
        <v>25</v>
      </c>
      <c r="R400" t="s">
        <v>26</v>
      </c>
      <c r="S400" t="s">
        <v>27</v>
      </c>
      <c r="T400" t="str">
        <f>VLOOKUP(B400,'[1]Plant data'!$A$1:$AB$315,2,0)</f>
        <v>Lauraceae</v>
      </c>
      <c r="U400" t="str">
        <f>VLOOKUP($B400,'[1]Plant data'!$A$1:$AB$315,3,0)</f>
        <v>NA</v>
      </c>
      <c r="V400" t="str">
        <f>VLOOKUP($B400,'[1]Plant data'!$A$1:$AB$315,4,0)</f>
        <v>black</v>
      </c>
      <c r="W400" t="str">
        <f>VLOOKUP($B400,'[1]Plant data'!$A$1:$AB$315,5,0)</f>
        <v>YES</v>
      </c>
      <c r="X400">
        <f>VLOOKUP($B400,'[1]Plant data'!$A$1:$AB$315,6,0)</f>
        <v>7.8224999999999998</v>
      </c>
      <c r="Y400">
        <f>VLOOKUP($B400,'[1]Plant data'!$A$1:$AB$315,7,0)</f>
        <v>11.41</v>
      </c>
      <c r="Z400">
        <f>VLOOKUP($B400,'[1]Plant data'!$A$1:$AB$315,8,0)</f>
        <v>7.4124999999999996</v>
      </c>
      <c r="AA400">
        <f>VLOOKUP($B400,'[1]Plant data'!$A$1:$AB$315,9,0)</f>
        <v>9.1274999999999995</v>
      </c>
      <c r="AB400">
        <f>VLOOKUP($B400,'[1]Plant data'!$A$1:$AB$315,10,0)</f>
        <v>0.33</v>
      </c>
      <c r="AC400" t="str">
        <f>VLOOKUP($B400,'[1]Plant data'!$A$1:$AB$315,11,0)</f>
        <v>NA</v>
      </c>
      <c r="AD400">
        <f>VLOOKUP($B400,'[1]Plant data'!$A$1:$AB$315,12,0)</f>
        <v>0.15</v>
      </c>
      <c r="AE400" t="str">
        <f>VLOOKUP($B400,'[1]Plant data'!$A$1:$AB$315,13,0)</f>
        <v>NA</v>
      </c>
      <c r="AF400" t="str">
        <f>VLOOKUP($B400,'[1]Plant data'!$A$1:$AB$315,14,0)</f>
        <v>NA</v>
      </c>
      <c r="AG400">
        <f>VLOOKUP($B400,'[1]Plant data'!$A$1:$AB$315,15,0)</f>
        <v>1</v>
      </c>
      <c r="AH400" t="str">
        <f>VLOOKUP($B400,'[1]Plant data'!$A$1:$AB$315,16,0)</f>
        <v>NA</v>
      </c>
      <c r="AI400" t="str">
        <f>VLOOKUP($B400,'[1]Plant data'!$A$1:$AB$315,17,0)</f>
        <v>NA</v>
      </c>
      <c r="AJ400" t="str">
        <f>VLOOKUP($B400,'[1]Plant data'!$A$1:$AB$315,18,0)</f>
        <v>ATLANTIC, Intervales_morfo, Kindel 1996, Mikich 2002, Krügel et al 2006 Iheringia</v>
      </c>
      <c r="AK400">
        <f>VLOOKUP($B400,'[1]Plant data'!$A$1:$AB$315,19,0)</f>
        <v>0.56159999999999999</v>
      </c>
      <c r="AL400">
        <f>VLOOKUP($B400,'[1]Plant data'!$A$1:$AB$315,20,0)</f>
        <v>0.58940000000000003</v>
      </c>
      <c r="AM400">
        <f>VLOOKUP($B400,'[1]Plant data'!$A$1:$AB$315,21,0)</f>
        <v>0.1101</v>
      </c>
      <c r="AN400" t="str">
        <f>VLOOKUP($B400,'[1]Plant data'!$A$1:$AB$315,22,0)</f>
        <v>NA</v>
      </c>
      <c r="AO400" t="str">
        <f>VLOOKUP($B400,'[1]Plant data'!$A$1:$AB$315,23,0)</f>
        <v>NA</v>
      </c>
      <c r="AP400" t="str">
        <f>VLOOKUP($B400,'[1]Plant data'!$A$1:$AB$315,24,0)</f>
        <v>NA</v>
      </c>
      <c r="AQ400" t="str">
        <f>VLOOKUP($B400,'[1]Plant data'!$A$1:$AB$315,25,0)</f>
        <v>NA</v>
      </c>
      <c r="AR400">
        <f>VLOOKUP($B400,'[1]Plant data'!$A$1:$AB$315,26,0)</f>
        <v>0.1278</v>
      </c>
      <c r="AS400">
        <f>VLOOKUP($B400,'[1]Plant data'!$A$1:$AB$315,27,0)</f>
        <v>8.1799999999999998E-2</v>
      </c>
      <c r="AT400" t="str">
        <f>VLOOKUP($B400,'[1]Plant data'!$A$1:$AB$315,28,0)</f>
        <v>Krügel et al 2006 Iheringia</v>
      </c>
    </row>
    <row r="401" spans="1:46">
      <c r="A401" s="5" t="s">
        <v>106</v>
      </c>
      <c r="B401" s="32" t="s">
        <v>164</v>
      </c>
      <c r="C401">
        <v>3</v>
      </c>
      <c r="D401" s="7">
        <v>70</v>
      </c>
      <c r="E401" s="8">
        <f>C401/70</f>
        <v>4.2857142857142858E-2</v>
      </c>
      <c r="F401" s="27" t="s">
        <v>19</v>
      </c>
      <c r="G401" s="9">
        <v>2</v>
      </c>
      <c r="H401" s="9"/>
      <c r="I401" s="8">
        <f t="shared" ref="I401:I408" si="30">E401*G401</f>
        <v>8.5714285714285715E-2</v>
      </c>
      <c r="J401" s="10" t="s">
        <v>205</v>
      </c>
      <c r="K401" t="s">
        <v>127</v>
      </c>
      <c r="L401" t="s">
        <v>22</v>
      </c>
      <c r="M401" t="s">
        <v>75</v>
      </c>
      <c r="N401" s="11">
        <v>68.099999999999994</v>
      </c>
      <c r="O401" s="11">
        <v>16.570370369999999</v>
      </c>
      <c r="P401" t="s">
        <v>48</v>
      </c>
      <c r="Q401" t="s">
        <v>49</v>
      </c>
      <c r="R401" t="s">
        <v>26</v>
      </c>
      <c r="S401" t="s">
        <v>27</v>
      </c>
      <c r="T401" t="str">
        <f>VLOOKUP(B401,'[1]Plant data'!$A$1:$AB$315,2,0)</f>
        <v>Lauraceae</v>
      </c>
      <c r="U401" t="str">
        <f>VLOOKUP($B401,'[1]Plant data'!$A$1:$AB$315,3,0)</f>
        <v>NA</v>
      </c>
      <c r="V401" t="str">
        <f>VLOOKUP($B401,'[1]Plant data'!$A$1:$AB$315,4,0)</f>
        <v>black</v>
      </c>
      <c r="W401" t="str">
        <f>VLOOKUP($B401,'[1]Plant data'!$A$1:$AB$315,5,0)</f>
        <v>YES</v>
      </c>
      <c r="X401">
        <f>VLOOKUP($B401,'[1]Plant data'!$A$1:$AB$315,6,0)</f>
        <v>7.8224999999999998</v>
      </c>
      <c r="Y401">
        <f>VLOOKUP($B401,'[1]Plant data'!$A$1:$AB$315,7,0)</f>
        <v>11.41</v>
      </c>
      <c r="Z401">
        <f>VLOOKUP($B401,'[1]Plant data'!$A$1:$AB$315,8,0)</f>
        <v>7.4124999999999996</v>
      </c>
      <c r="AA401">
        <f>VLOOKUP($B401,'[1]Plant data'!$A$1:$AB$315,9,0)</f>
        <v>9.1274999999999995</v>
      </c>
      <c r="AB401">
        <f>VLOOKUP($B401,'[1]Plant data'!$A$1:$AB$315,10,0)</f>
        <v>0.33</v>
      </c>
      <c r="AC401" t="str">
        <f>VLOOKUP($B401,'[1]Plant data'!$A$1:$AB$315,11,0)</f>
        <v>NA</v>
      </c>
      <c r="AD401">
        <f>VLOOKUP($B401,'[1]Plant data'!$A$1:$AB$315,12,0)</f>
        <v>0.15</v>
      </c>
      <c r="AE401" t="str">
        <f>VLOOKUP($B401,'[1]Plant data'!$A$1:$AB$315,13,0)</f>
        <v>NA</v>
      </c>
      <c r="AF401" t="str">
        <f>VLOOKUP($B401,'[1]Plant data'!$A$1:$AB$315,14,0)</f>
        <v>NA</v>
      </c>
      <c r="AG401">
        <f>VLOOKUP($B401,'[1]Plant data'!$A$1:$AB$315,15,0)</f>
        <v>1</v>
      </c>
      <c r="AH401" t="str">
        <f>VLOOKUP($B401,'[1]Plant data'!$A$1:$AB$315,16,0)</f>
        <v>NA</v>
      </c>
      <c r="AI401" t="str">
        <f>VLOOKUP($B401,'[1]Plant data'!$A$1:$AB$315,17,0)</f>
        <v>NA</v>
      </c>
      <c r="AJ401" t="str">
        <f>VLOOKUP($B401,'[1]Plant data'!$A$1:$AB$315,18,0)</f>
        <v>ATLANTIC, Intervales_morfo, Kindel 1996, Mikich 2002, Krügel et al 2006 Iheringia</v>
      </c>
      <c r="AK401">
        <f>VLOOKUP($B401,'[1]Plant data'!$A$1:$AB$315,19,0)</f>
        <v>0.56159999999999999</v>
      </c>
      <c r="AL401">
        <f>VLOOKUP($B401,'[1]Plant data'!$A$1:$AB$315,20,0)</f>
        <v>0.58940000000000003</v>
      </c>
      <c r="AM401">
        <f>VLOOKUP($B401,'[1]Plant data'!$A$1:$AB$315,21,0)</f>
        <v>0.1101</v>
      </c>
      <c r="AN401" t="str">
        <f>VLOOKUP($B401,'[1]Plant data'!$A$1:$AB$315,22,0)</f>
        <v>NA</v>
      </c>
      <c r="AO401" t="str">
        <f>VLOOKUP($B401,'[1]Plant data'!$A$1:$AB$315,23,0)</f>
        <v>NA</v>
      </c>
      <c r="AP401" t="str">
        <f>VLOOKUP($B401,'[1]Plant data'!$A$1:$AB$315,24,0)</f>
        <v>NA</v>
      </c>
      <c r="AQ401" t="str">
        <f>VLOOKUP($B401,'[1]Plant data'!$A$1:$AB$315,25,0)</f>
        <v>NA</v>
      </c>
      <c r="AR401">
        <f>VLOOKUP($B401,'[1]Plant data'!$A$1:$AB$315,26,0)</f>
        <v>0.1278</v>
      </c>
      <c r="AS401">
        <f>VLOOKUP($B401,'[1]Plant data'!$A$1:$AB$315,27,0)</f>
        <v>8.1799999999999998E-2</v>
      </c>
      <c r="AT401" t="str">
        <f>VLOOKUP($B401,'[1]Plant data'!$A$1:$AB$315,28,0)</f>
        <v>Krügel et al 2006 Iheringia</v>
      </c>
    </row>
    <row r="402" spans="1:46">
      <c r="A402" s="5" t="s">
        <v>124</v>
      </c>
      <c r="B402" s="33" t="s">
        <v>164</v>
      </c>
      <c r="C402" s="25">
        <v>4</v>
      </c>
      <c r="D402" s="7">
        <v>70</v>
      </c>
      <c r="E402" s="26">
        <f>C402/70</f>
        <v>5.7142857142857141E-2</v>
      </c>
      <c r="F402" s="27" t="s">
        <v>19</v>
      </c>
      <c r="G402" s="27">
        <v>2</v>
      </c>
      <c r="H402" s="27"/>
      <c r="I402" s="8">
        <f t="shared" si="30"/>
        <v>0.11428571428571428</v>
      </c>
      <c r="J402" t="s">
        <v>205</v>
      </c>
      <c r="K402" t="s">
        <v>127</v>
      </c>
      <c r="L402" t="s">
        <v>108</v>
      </c>
      <c r="M402" t="s">
        <v>109</v>
      </c>
      <c r="N402" s="11">
        <v>73.3</v>
      </c>
      <c r="O402" s="11">
        <v>17.52380952</v>
      </c>
      <c r="P402" t="s">
        <v>48</v>
      </c>
      <c r="Q402" t="s">
        <v>49</v>
      </c>
      <c r="R402" t="s">
        <v>26</v>
      </c>
      <c r="S402" t="s">
        <v>27</v>
      </c>
      <c r="T402" t="str">
        <f>VLOOKUP(B402,'[1]Plant data'!$A$1:$AB$315,2,0)</f>
        <v>Lauraceae</v>
      </c>
      <c r="U402" t="str">
        <f>VLOOKUP($B402,'[1]Plant data'!$A$1:$AB$315,3,0)</f>
        <v>NA</v>
      </c>
      <c r="V402" t="str">
        <f>VLOOKUP($B402,'[1]Plant data'!$A$1:$AB$315,4,0)</f>
        <v>black</v>
      </c>
      <c r="W402" t="str">
        <f>VLOOKUP($B402,'[1]Plant data'!$A$1:$AB$315,5,0)</f>
        <v>YES</v>
      </c>
      <c r="X402">
        <f>VLOOKUP($B402,'[1]Plant data'!$A$1:$AB$315,6,0)</f>
        <v>7.8224999999999998</v>
      </c>
      <c r="Y402">
        <f>VLOOKUP($B402,'[1]Plant data'!$A$1:$AB$315,7,0)</f>
        <v>11.41</v>
      </c>
      <c r="Z402">
        <f>VLOOKUP($B402,'[1]Plant data'!$A$1:$AB$315,8,0)</f>
        <v>7.4124999999999996</v>
      </c>
      <c r="AA402">
        <f>VLOOKUP($B402,'[1]Plant data'!$A$1:$AB$315,9,0)</f>
        <v>9.1274999999999995</v>
      </c>
      <c r="AB402">
        <f>VLOOKUP($B402,'[1]Plant data'!$A$1:$AB$315,10,0)</f>
        <v>0.33</v>
      </c>
      <c r="AC402" t="str">
        <f>VLOOKUP($B402,'[1]Plant data'!$A$1:$AB$315,11,0)</f>
        <v>NA</v>
      </c>
      <c r="AD402">
        <f>VLOOKUP($B402,'[1]Plant data'!$A$1:$AB$315,12,0)</f>
        <v>0.15</v>
      </c>
      <c r="AE402" t="str">
        <f>VLOOKUP($B402,'[1]Plant data'!$A$1:$AB$315,13,0)</f>
        <v>NA</v>
      </c>
      <c r="AF402" t="str">
        <f>VLOOKUP($B402,'[1]Plant data'!$A$1:$AB$315,14,0)</f>
        <v>NA</v>
      </c>
      <c r="AG402">
        <f>VLOOKUP($B402,'[1]Plant data'!$A$1:$AB$315,15,0)</f>
        <v>1</v>
      </c>
      <c r="AH402" t="str">
        <f>VLOOKUP($B402,'[1]Plant data'!$A$1:$AB$315,16,0)</f>
        <v>NA</v>
      </c>
      <c r="AI402" t="str">
        <f>VLOOKUP($B402,'[1]Plant data'!$A$1:$AB$315,17,0)</f>
        <v>NA</v>
      </c>
      <c r="AJ402" t="str">
        <f>VLOOKUP($B402,'[1]Plant data'!$A$1:$AB$315,18,0)</f>
        <v>ATLANTIC, Intervales_morfo, Kindel 1996, Mikich 2002, Krügel et al 2006 Iheringia</v>
      </c>
      <c r="AK402">
        <f>VLOOKUP($B402,'[1]Plant data'!$A$1:$AB$315,19,0)</f>
        <v>0.56159999999999999</v>
      </c>
      <c r="AL402">
        <f>VLOOKUP($B402,'[1]Plant data'!$A$1:$AB$315,20,0)</f>
        <v>0.58940000000000003</v>
      </c>
      <c r="AM402">
        <f>VLOOKUP($B402,'[1]Plant data'!$A$1:$AB$315,21,0)</f>
        <v>0.1101</v>
      </c>
      <c r="AN402" t="str">
        <f>VLOOKUP($B402,'[1]Plant data'!$A$1:$AB$315,22,0)</f>
        <v>NA</v>
      </c>
      <c r="AO402" t="str">
        <f>VLOOKUP($B402,'[1]Plant data'!$A$1:$AB$315,23,0)</f>
        <v>NA</v>
      </c>
      <c r="AP402" t="str">
        <f>VLOOKUP($B402,'[1]Plant data'!$A$1:$AB$315,24,0)</f>
        <v>NA</v>
      </c>
      <c r="AQ402" t="str">
        <f>VLOOKUP($B402,'[1]Plant data'!$A$1:$AB$315,25,0)</f>
        <v>NA</v>
      </c>
      <c r="AR402">
        <f>VLOOKUP($B402,'[1]Plant data'!$A$1:$AB$315,26,0)</f>
        <v>0.1278</v>
      </c>
      <c r="AS402">
        <f>VLOOKUP($B402,'[1]Plant data'!$A$1:$AB$315,27,0)</f>
        <v>8.1799999999999998E-2</v>
      </c>
      <c r="AT402" t="str">
        <f>VLOOKUP($B402,'[1]Plant data'!$A$1:$AB$315,28,0)</f>
        <v>Krügel et al 2006 Iheringia</v>
      </c>
    </row>
    <row r="403" spans="1:46">
      <c r="A403" s="5" t="s">
        <v>46</v>
      </c>
      <c r="B403" s="33" t="s">
        <v>164</v>
      </c>
      <c r="C403">
        <v>216</v>
      </c>
      <c r="D403" s="7">
        <v>70</v>
      </c>
      <c r="E403" s="8">
        <f>C403/70</f>
        <v>3.0857142857142859</v>
      </c>
      <c r="F403" s="27" t="s">
        <v>19</v>
      </c>
      <c r="G403" s="9">
        <v>2.7</v>
      </c>
      <c r="H403" s="9"/>
      <c r="I403" s="8">
        <f t="shared" si="30"/>
        <v>8.3314285714285727</v>
      </c>
      <c r="J403" s="25" t="s">
        <v>205</v>
      </c>
      <c r="K403" s="25" t="s">
        <v>127</v>
      </c>
      <c r="L403" t="s">
        <v>22</v>
      </c>
      <c r="M403" t="s">
        <v>47</v>
      </c>
      <c r="N403" s="11">
        <v>54</v>
      </c>
      <c r="O403" s="11">
        <v>11.14875</v>
      </c>
      <c r="P403" t="s">
        <v>48</v>
      </c>
      <c r="Q403" t="s">
        <v>49</v>
      </c>
      <c r="R403" t="s">
        <v>26</v>
      </c>
      <c r="S403" t="s">
        <v>31</v>
      </c>
      <c r="T403" t="str">
        <f>VLOOKUP(B403,'[1]Plant data'!$A$1:$AB$315,2,0)</f>
        <v>Lauraceae</v>
      </c>
      <c r="U403" t="str">
        <f>VLOOKUP($B403,'[1]Plant data'!$A$1:$AB$315,3,0)</f>
        <v>NA</v>
      </c>
      <c r="V403" t="str">
        <f>VLOOKUP($B403,'[1]Plant data'!$A$1:$AB$315,4,0)</f>
        <v>black</v>
      </c>
      <c r="W403" t="str">
        <f>VLOOKUP($B403,'[1]Plant data'!$A$1:$AB$315,5,0)</f>
        <v>YES</v>
      </c>
      <c r="X403">
        <f>VLOOKUP($B403,'[1]Plant data'!$A$1:$AB$315,6,0)</f>
        <v>7.8224999999999998</v>
      </c>
      <c r="Y403">
        <f>VLOOKUP($B403,'[1]Plant data'!$A$1:$AB$315,7,0)</f>
        <v>11.41</v>
      </c>
      <c r="Z403">
        <f>VLOOKUP($B403,'[1]Plant data'!$A$1:$AB$315,8,0)</f>
        <v>7.4124999999999996</v>
      </c>
      <c r="AA403">
        <f>VLOOKUP($B403,'[1]Plant data'!$A$1:$AB$315,9,0)</f>
        <v>9.1274999999999995</v>
      </c>
      <c r="AB403">
        <f>VLOOKUP($B403,'[1]Plant data'!$A$1:$AB$315,10,0)</f>
        <v>0.33</v>
      </c>
      <c r="AC403" t="str">
        <f>VLOOKUP($B403,'[1]Plant data'!$A$1:$AB$315,11,0)</f>
        <v>NA</v>
      </c>
      <c r="AD403">
        <f>VLOOKUP($B403,'[1]Plant data'!$A$1:$AB$315,12,0)</f>
        <v>0.15</v>
      </c>
      <c r="AE403" t="str">
        <f>VLOOKUP($B403,'[1]Plant data'!$A$1:$AB$315,13,0)</f>
        <v>NA</v>
      </c>
      <c r="AF403" t="str">
        <f>VLOOKUP($B403,'[1]Plant data'!$A$1:$AB$315,14,0)</f>
        <v>NA</v>
      </c>
      <c r="AG403">
        <f>VLOOKUP($B403,'[1]Plant data'!$A$1:$AB$315,15,0)</f>
        <v>1</v>
      </c>
      <c r="AH403" t="str">
        <f>VLOOKUP($B403,'[1]Plant data'!$A$1:$AB$315,16,0)</f>
        <v>NA</v>
      </c>
      <c r="AI403" t="str">
        <f>VLOOKUP($B403,'[1]Plant data'!$A$1:$AB$315,17,0)</f>
        <v>NA</v>
      </c>
      <c r="AJ403" t="str">
        <f>VLOOKUP($B403,'[1]Plant data'!$A$1:$AB$315,18,0)</f>
        <v>ATLANTIC, Intervales_morfo, Kindel 1996, Mikich 2002, Krügel et al 2006 Iheringia</v>
      </c>
      <c r="AK403">
        <f>VLOOKUP($B403,'[1]Plant data'!$A$1:$AB$315,19,0)</f>
        <v>0.56159999999999999</v>
      </c>
      <c r="AL403">
        <f>VLOOKUP($B403,'[1]Plant data'!$A$1:$AB$315,20,0)</f>
        <v>0.58940000000000003</v>
      </c>
      <c r="AM403">
        <f>VLOOKUP($B403,'[1]Plant data'!$A$1:$AB$315,21,0)</f>
        <v>0.1101</v>
      </c>
      <c r="AN403" t="str">
        <f>VLOOKUP($B403,'[1]Plant data'!$A$1:$AB$315,22,0)</f>
        <v>NA</v>
      </c>
      <c r="AO403" t="str">
        <f>VLOOKUP($B403,'[1]Plant data'!$A$1:$AB$315,23,0)</f>
        <v>NA</v>
      </c>
      <c r="AP403" t="str">
        <f>VLOOKUP($B403,'[1]Plant data'!$A$1:$AB$315,24,0)</f>
        <v>NA</v>
      </c>
      <c r="AQ403" t="str">
        <f>VLOOKUP($B403,'[1]Plant data'!$A$1:$AB$315,25,0)</f>
        <v>NA</v>
      </c>
      <c r="AR403">
        <f>VLOOKUP($B403,'[1]Plant data'!$A$1:$AB$315,26,0)</f>
        <v>0.1278</v>
      </c>
      <c r="AS403">
        <f>VLOOKUP($B403,'[1]Plant data'!$A$1:$AB$315,27,0)</f>
        <v>8.1799999999999998E-2</v>
      </c>
      <c r="AT403" t="str">
        <f>VLOOKUP($B403,'[1]Plant data'!$A$1:$AB$315,28,0)</f>
        <v>Krügel et al 2006 Iheringia</v>
      </c>
    </row>
    <row r="404" spans="1:46">
      <c r="A404" s="5" t="s">
        <v>50</v>
      </c>
      <c r="B404" s="32" t="s">
        <v>164</v>
      </c>
      <c r="C404">
        <v>98</v>
      </c>
      <c r="D404" s="7">
        <v>70</v>
      </c>
      <c r="E404" s="8">
        <f>C404/70</f>
        <v>1.4</v>
      </c>
      <c r="F404" s="27" t="s">
        <v>19</v>
      </c>
      <c r="G404" s="9">
        <v>3</v>
      </c>
      <c r="H404" s="9"/>
      <c r="I404" s="8">
        <f t="shared" si="30"/>
        <v>4.1999999999999993</v>
      </c>
      <c r="J404" s="24" t="s">
        <v>205</v>
      </c>
      <c r="K404" s="25" t="s">
        <v>127</v>
      </c>
      <c r="L404" t="s">
        <v>22</v>
      </c>
      <c r="M404" t="s">
        <v>47</v>
      </c>
      <c r="N404" s="11">
        <v>69.5</v>
      </c>
      <c r="O404" s="11">
        <v>13.253214290000001</v>
      </c>
      <c r="P404" t="s">
        <v>48</v>
      </c>
      <c r="Q404" t="s">
        <v>25</v>
      </c>
      <c r="R404" t="s">
        <v>26</v>
      </c>
      <c r="S404" t="s">
        <v>31</v>
      </c>
      <c r="T404" t="str">
        <f>VLOOKUP(B404,'[1]Plant data'!$A$1:$AB$315,2,0)</f>
        <v>Lauraceae</v>
      </c>
      <c r="U404" t="str">
        <f>VLOOKUP($B404,'[1]Plant data'!$A$1:$AB$315,3,0)</f>
        <v>NA</v>
      </c>
      <c r="V404" t="str">
        <f>VLOOKUP($B404,'[1]Plant data'!$A$1:$AB$315,4,0)</f>
        <v>black</v>
      </c>
      <c r="W404" t="str">
        <f>VLOOKUP($B404,'[1]Plant data'!$A$1:$AB$315,5,0)</f>
        <v>YES</v>
      </c>
      <c r="X404">
        <f>VLOOKUP($B404,'[1]Plant data'!$A$1:$AB$315,6,0)</f>
        <v>7.8224999999999998</v>
      </c>
      <c r="Y404">
        <f>VLOOKUP($B404,'[1]Plant data'!$A$1:$AB$315,7,0)</f>
        <v>11.41</v>
      </c>
      <c r="Z404">
        <f>VLOOKUP($B404,'[1]Plant data'!$A$1:$AB$315,8,0)</f>
        <v>7.4124999999999996</v>
      </c>
      <c r="AA404">
        <f>VLOOKUP($B404,'[1]Plant data'!$A$1:$AB$315,9,0)</f>
        <v>9.1274999999999995</v>
      </c>
      <c r="AB404">
        <f>VLOOKUP($B404,'[1]Plant data'!$A$1:$AB$315,10,0)</f>
        <v>0.33</v>
      </c>
      <c r="AC404" t="str">
        <f>VLOOKUP($B404,'[1]Plant data'!$A$1:$AB$315,11,0)</f>
        <v>NA</v>
      </c>
      <c r="AD404">
        <f>VLOOKUP($B404,'[1]Plant data'!$A$1:$AB$315,12,0)</f>
        <v>0.15</v>
      </c>
      <c r="AE404" t="str">
        <f>VLOOKUP($B404,'[1]Plant data'!$A$1:$AB$315,13,0)</f>
        <v>NA</v>
      </c>
      <c r="AF404" t="str">
        <f>VLOOKUP($B404,'[1]Plant data'!$A$1:$AB$315,14,0)</f>
        <v>NA</v>
      </c>
      <c r="AG404">
        <f>VLOOKUP($B404,'[1]Plant data'!$A$1:$AB$315,15,0)</f>
        <v>1</v>
      </c>
      <c r="AH404" t="str">
        <f>VLOOKUP($B404,'[1]Plant data'!$A$1:$AB$315,16,0)</f>
        <v>NA</v>
      </c>
      <c r="AI404" t="str">
        <f>VLOOKUP($B404,'[1]Plant data'!$A$1:$AB$315,17,0)</f>
        <v>NA</v>
      </c>
      <c r="AJ404" t="str">
        <f>VLOOKUP($B404,'[1]Plant data'!$A$1:$AB$315,18,0)</f>
        <v>ATLANTIC, Intervales_morfo, Kindel 1996, Mikich 2002, Krügel et al 2006 Iheringia</v>
      </c>
      <c r="AK404">
        <f>VLOOKUP($B404,'[1]Plant data'!$A$1:$AB$315,19,0)</f>
        <v>0.56159999999999999</v>
      </c>
      <c r="AL404">
        <f>VLOOKUP($B404,'[1]Plant data'!$A$1:$AB$315,20,0)</f>
        <v>0.58940000000000003</v>
      </c>
      <c r="AM404">
        <f>VLOOKUP($B404,'[1]Plant data'!$A$1:$AB$315,21,0)</f>
        <v>0.1101</v>
      </c>
      <c r="AN404" t="str">
        <f>VLOOKUP($B404,'[1]Plant data'!$A$1:$AB$315,22,0)</f>
        <v>NA</v>
      </c>
      <c r="AO404" t="str">
        <f>VLOOKUP($B404,'[1]Plant data'!$A$1:$AB$315,23,0)</f>
        <v>NA</v>
      </c>
      <c r="AP404" t="str">
        <f>VLOOKUP($B404,'[1]Plant data'!$A$1:$AB$315,24,0)</f>
        <v>NA</v>
      </c>
      <c r="AQ404" t="str">
        <f>VLOOKUP($B404,'[1]Plant data'!$A$1:$AB$315,25,0)</f>
        <v>NA</v>
      </c>
      <c r="AR404">
        <f>VLOOKUP($B404,'[1]Plant data'!$A$1:$AB$315,26,0)</f>
        <v>0.1278</v>
      </c>
      <c r="AS404">
        <f>VLOOKUP($B404,'[1]Plant data'!$A$1:$AB$315,27,0)</f>
        <v>8.1799999999999998E-2</v>
      </c>
      <c r="AT404" t="str">
        <f>VLOOKUP($B404,'[1]Plant data'!$A$1:$AB$315,28,0)</f>
        <v>Krügel et al 2006 Iheringia</v>
      </c>
    </row>
    <row r="405" spans="1:46">
      <c r="A405" s="21" t="s">
        <v>50</v>
      </c>
      <c r="B405" s="31" t="s">
        <v>154</v>
      </c>
      <c r="C405" s="16">
        <v>16</v>
      </c>
      <c r="D405" s="16">
        <v>72</v>
      </c>
      <c r="E405" s="8">
        <f>C405/72</f>
        <v>0.22222222222222221</v>
      </c>
      <c r="F405" s="16" t="s">
        <v>19</v>
      </c>
      <c r="G405" s="19">
        <v>8.6</v>
      </c>
      <c r="H405" s="19"/>
      <c r="I405" s="8">
        <f t="shared" si="30"/>
        <v>1.911111111111111</v>
      </c>
      <c r="J405" s="16" t="s">
        <v>155</v>
      </c>
      <c r="K405" s="16" t="s">
        <v>156</v>
      </c>
      <c r="L405" s="16" t="s">
        <v>22</v>
      </c>
      <c r="M405" s="16" t="s">
        <v>47</v>
      </c>
      <c r="N405" s="17">
        <v>69.5</v>
      </c>
      <c r="O405" s="17">
        <v>13.253214290000001</v>
      </c>
      <c r="P405" s="16" t="s">
        <v>48</v>
      </c>
      <c r="Q405" s="16" t="s">
        <v>25</v>
      </c>
      <c r="R405" s="16" t="s">
        <v>26</v>
      </c>
      <c r="S405" s="16" t="s">
        <v>31</v>
      </c>
      <c r="T405" t="str">
        <f>VLOOKUP(B405,'[1]Plant data'!$A$1:$AB$315,2,0)</f>
        <v>Lauraceae</v>
      </c>
      <c r="U405" t="str">
        <f>VLOOKUP($B405,'[1]Plant data'!$A$1:$AB$315,3,0)</f>
        <v>NA</v>
      </c>
      <c r="V405" t="str">
        <f>VLOOKUP($B405,'[1]Plant data'!$A$1:$AB$315,4,0)</f>
        <v>black</v>
      </c>
      <c r="W405" t="str">
        <f>VLOOKUP($B405,'[1]Plant data'!$A$1:$AB$315,5,0)</f>
        <v>YES</v>
      </c>
      <c r="X405">
        <f>VLOOKUP($B405,'[1]Plant data'!$A$1:$AB$315,6,0)</f>
        <v>6.0780000000000003</v>
      </c>
      <c r="Y405">
        <f>VLOOKUP($B405,'[1]Plant data'!$A$1:$AB$315,7,0)</f>
        <v>8.9740000000000002</v>
      </c>
      <c r="Z405">
        <f>VLOOKUP($B405,'[1]Plant data'!$A$1:$AB$315,8,0)</f>
        <v>4.8166666666666664</v>
      </c>
      <c r="AA405">
        <f>VLOOKUP($B405,'[1]Plant data'!$A$1:$AB$315,9,0)</f>
        <v>7.61</v>
      </c>
      <c r="AB405">
        <f>VLOOKUP($B405,'[1]Plant data'!$A$1:$AB$315,10,0)</f>
        <v>0.16980000000000001</v>
      </c>
      <c r="AC405">
        <f>VLOOKUP($B405,'[1]Plant data'!$A$1:$AB$315,11,0)</f>
        <v>0.08</v>
      </c>
      <c r="AD405">
        <f>VLOOKUP($B405,'[1]Plant data'!$A$1:$AB$315,12,0)</f>
        <v>0.11025</v>
      </c>
      <c r="AE405">
        <f>VLOOKUP($B405,'[1]Plant data'!$A$1:$AB$315,13,0)</f>
        <v>7.425000000000001E-2</v>
      </c>
      <c r="AF405">
        <f>VLOOKUP($B405,'[1]Plant data'!$A$1:$AB$315,14,0)</f>
        <v>0.10025000000000001</v>
      </c>
      <c r="AG405">
        <f>VLOOKUP($B405,'[1]Plant data'!$A$1:$AB$315,15,0)</f>
        <v>1</v>
      </c>
      <c r="AH405">
        <f>VLOOKUP($B405,'[1]Plant data'!$A$1:$AB$315,16,0)</f>
        <v>0.8</v>
      </c>
      <c r="AI405">
        <f>VLOOKUP($B405,'[1]Plant data'!$A$1:$AB$315,17,0)</f>
        <v>0.67920124481327804</v>
      </c>
      <c r="AJ405" t="str">
        <f>VLOOKUP($B405,'[1]Plant data'!$A$1:$AB$315,18,0)</f>
        <v>Cazetta 2007, Erica&amp;Wesley, Passos &amp; Oliveira 2003, Camargo 2014, Gondim 2002</v>
      </c>
      <c r="AK405">
        <f>VLOOKUP($B405,'[1]Plant data'!$A$1:$AB$315,19,0)</f>
        <v>0.65650000000000008</v>
      </c>
      <c r="AL405">
        <f>VLOOKUP($B405,'[1]Plant data'!$A$1:$AB$315,20,0)</f>
        <v>0.60570000000000002</v>
      </c>
      <c r="AM405">
        <f>VLOOKUP($B405,'[1]Plant data'!$A$1:$AB$315,21,0)</f>
        <v>5.1900000000000002E-2</v>
      </c>
      <c r="AN405">
        <f>VLOOKUP($B405,'[1]Plant data'!$A$1:$AB$315,22,0)</f>
        <v>1.5E-3</v>
      </c>
      <c r="AO405" t="str">
        <f>VLOOKUP($B405,'[1]Plant data'!$A$1:$AB$315,23,0)</f>
        <v>NA</v>
      </c>
      <c r="AP405" t="str">
        <f>VLOOKUP($B405,'[1]Plant data'!$A$1:$AB$315,24,0)</f>
        <v>NA</v>
      </c>
      <c r="AQ405" t="str">
        <f>VLOOKUP($B405,'[1]Plant data'!$A$1:$AB$315,25,0)</f>
        <v>NA</v>
      </c>
      <c r="AR405" t="str">
        <f>VLOOKUP($B405,'[1]Plant data'!$A$1:$AB$315,26,0)</f>
        <v>NA</v>
      </c>
      <c r="AS405" t="str">
        <f>VLOOKUP($B405,'[1]Plant data'!$A$1:$AB$315,27,0)</f>
        <v>NA</v>
      </c>
      <c r="AT405" t="str">
        <f>VLOOKUP($B405,'[1]Plant data'!$A$1:$AB$315,28,0)</f>
        <v>Cazetta 2007</v>
      </c>
    </row>
    <row r="406" spans="1:46">
      <c r="A406" s="21" t="s">
        <v>104</v>
      </c>
      <c r="B406" s="31" t="s">
        <v>228</v>
      </c>
      <c r="C406" s="16">
        <v>6</v>
      </c>
      <c r="D406" s="16">
        <v>32</v>
      </c>
      <c r="E406" s="23">
        <f>C406/32</f>
        <v>0.1875</v>
      </c>
      <c r="F406" s="16">
        <v>16</v>
      </c>
      <c r="G406" s="19">
        <v>4</v>
      </c>
      <c r="H406" s="19"/>
      <c r="I406" s="8">
        <f t="shared" si="30"/>
        <v>0.75</v>
      </c>
      <c r="J406" s="16" t="s">
        <v>224</v>
      </c>
      <c r="K406" s="16" t="s">
        <v>225</v>
      </c>
      <c r="L406" s="16" t="s">
        <v>93</v>
      </c>
      <c r="M406" s="16" t="s">
        <v>94</v>
      </c>
      <c r="N406" s="17">
        <v>343.5</v>
      </c>
      <c r="O406" s="17">
        <v>30.107272729999998</v>
      </c>
      <c r="P406" s="16" t="s">
        <v>48</v>
      </c>
      <c r="Q406" s="16" t="s">
        <v>25</v>
      </c>
      <c r="R406" s="16" t="s">
        <v>76</v>
      </c>
      <c r="S406" s="16" t="s">
        <v>27</v>
      </c>
      <c r="T406" t="str">
        <f>VLOOKUP(B406,'[1]Plant data'!$A$1:$AB$315,2,0)</f>
        <v>Sapindaceae</v>
      </c>
      <c r="U406" t="str">
        <f>VLOOKUP($B406,'[1]Plant data'!$A$1:$AB$315,3,0)</f>
        <v>NA</v>
      </c>
      <c r="V406" t="str">
        <f>VLOOKUP($B406,'[1]Plant data'!$A$1:$AB$315,4,0)</f>
        <v>multicolor</v>
      </c>
      <c r="W406" t="str">
        <f>VLOOKUP($B406,'[1]Plant data'!$A$1:$AB$315,5,0)</f>
        <v>YES</v>
      </c>
      <c r="X406">
        <f>VLOOKUP($B406,'[1]Plant data'!$A$1:$AB$315,6,0)</f>
        <v>14.1</v>
      </c>
      <c r="Y406">
        <f>VLOOKUP($B406,'[1]Plant data'!$A$1:$AB$315,7,0)</f>
        <v>12.8</v>
      </c>
      <c r="Z406">
        <f>VLOOKUP($B406,'[1]Plant data'!$A$1:$AB$315,8,0)</f>
        <v>9.9</v>
      </c>
      <c r="AA406" t="str">
        <f>VLOOKUP($B406,'[1]Plant data'!$A$1:$AB$315,9,0)</f>
        <v>NA</v>
      </c>
      <c r="AB406">
        <f>VLOOKUP($B406,'[1]Plant data'!$A$1:$AB$315,10,0)</f>
        <v>1.6</v>
      </c>
      <c r="AC406" t="str">
        <f>VLOOKUP($B406,'[1]Plant data'!$A$1:$AB$315,11,0)</f>
        <v>NA</v>
      </c>
      <c r="AD406" t="str">
        <f>VLOOKUP($B406,'[1]Plant data'!$A$1:$AB$315,12,0)</f>
        <v>NA</v>
      </c>
      <c r="AE406" t="str">
        <f>VLOOKUP($B406,'[1]Plant data'!$A$1:$AB$315,13,0)</f>
        <v>NA</v>
      </c>
      <c r="AF406" t="str">
        <f>VLOOKUP($B406,'[1]Plant data'!$A$1:$AB$315,14,0)</f>
        <v>NA</v>
      </c>
      <c r="AG406">
        <f>VLOOKUP($B406,'[1]Plant data'!$A$1:$AB$315,15,0)</f>
        <v>1.1000000000000001</v>
      </c>
      <c r="AH406" t="str">
        <f>VLOOKUP($B406,'[1]Plant data'!$A$1:$AB$315,16,0)</f>
        <v>NA</v>
      </c>
      <c r="AI406" t="str">
        <f>VLOOKUP($B406,'[1]Plant data'!$A$1:$AB$315,17,0)</f>
        <v>NA</v>
      </c>
      <c r="AJ406" t="str">
        <f>VLOOKUP($B406,'[1]Plant data'!$A$1:$AB$315,18,0)</f>
        <v>Motta Jr. 1981</v>
      </c>
      <c r="AK406">
        <f>VLOOKUP($B406,'[1]Plant data'!$A$1:$AB$315,19,0)</f>
        <v>0.621</v>
      </c>
      <c r="AL406">
        <f>VLOOKUP($B406,'[1]Plant data'!$A$1:$AB$315,20,0)</f>
        <v>0.01</v>
      </c>
      <c r="AM406" t="str">
        <f>VLOOKUP($B406,'[1]Plant data'!$A$1:$AB$315,21,0)</f>
        <v>NA</v>
      </c>
      <c r="AN406" t="str">
        <f>VLOOKUP($B406,'[1]Plant data'!$A$1:$AB$315,22,0)</f>
        <v>NA</v>
      </c>
      <c r="AO406" t="str">
        <f>VLOOKUP($B406,'[1]Plant data'!$A$1:$AB$315,23,0)</f>
        <v>NA</v>
      </c>
      <c r="AP406" t="str">
        <f>VLOOKUP($B406,'[1]Plant data'!$A$1:$AB$315,24,0)</f>
        <v>NA</v>
      </c>
      <c r="AQ406" t="str">
        <f>VLOOKUP($B406,'[1]Plant data'!$A$1:$AB$315,25,0)</f>
        <v>NA</v>
      </c>
      <c r="AR406" t="str">
        <f>VLOOKUP($B406,'[1]Plant data'!$A$1:$AB$315,26,0)</f>
        <v>NA</v>
      </c>
      <c r="AS406" t="str">
        <f>VLOOKUP($B406,'[1]Plant data'!$A$1:$AB$315,27,0)</f>
        <v>NA</v>
      </c>
      <c r="AT406" t="str">
        <f>VLOOKUP($B406,'[1]Plant data'!$A$1:$AB$315,28,0)</f>
        <v>Motta Jr. 1981</v>
      </c>
    </row>
    <row r="407" spans="1:46">
      <c r="A407" s="21" t="s">
        <v>46</v>
      </c>
      <c r="B407" s="31" t="s">
        <v>228</v>
      </c>
      <c r="C407" s="16">
        <v>4</v>
      </c>
      <c r="D407" s="16">
        <v>32</v>
      </c>
      <c r="E407" s="23">
        <f>C407/32</f>
        <v>0.125</v>
      </c>
      <c r="F407" s="16">
        <v>2</v>
      </c>
      <c r="G407" s="19">
        <v>1</v>
      </c>
      <c r="H407" s="19"/>
      <c r="I407" s="8">
        <f t="shared" si="30"/>
        <v>0.125</v>
      </c>
      <c r="J407" s="16" t="s">
        <v>224</v>
      </c>
      <c r="K407" s="16" t="s">
        <v>225</v>
      </c>
      <c r="L407" s="16" t="s">
        <v>22</v>
      </c>
      <c r="M407" s="16" t="s">
        <v>47</v>
      </c>
      <c r="N407" s="17">
        <v>54</v>
      </c>
      <c r="O407" s="17">
        <v>11.14875</v>
      </c>
      <c r="P407" s="16" t="s">
        <v>48</v>
      </c>
      <c r="Q407" s="16" t="s">
        <v>49</v>
      </c>
      <c r="R407" s="16" t="s">
        <v>26</v>
      </c>
      <c r="S407" s="16" t="s">
        <v>31</v>
      </c>
      <c r="T407" t="str">
        <f>VLOOKUP(B407,'[1]Plant data'!$A$1:$AB$315,2,0)</f>
        <v>Sapindaceae</v>
      </c>
      <c r="U407" t="str">
        <f>VLOOKUP($B407,'[1]Plant data'!$A$1:$AB$315,3,0)</f>
        <v>NA</v>
      </c>
      <c r="V407" t="str">
        <f>VLOOKUP($B407,'[1]Plant data'!$A$1:$AB$315,4,0)</f>
        <v>multicolor</v>
      </c>
      <c r="W407" t="str">
        <f>VLOOKUP($B407,'[1]Plant data'!$A$1:$AB$315,5,0)</f>
        <v>YES</v>
      </c>
      <c r="X407">
        <f>VLOOKUP($B407,'[1]Plant data'!$A$1:$AB$315,6,0)</f>
        <v>14.1</v>
      </c>
      <c r="Y407">
        <f>VLOOKUP($B407,'[1]Plant data'!$A$1:$AB$315,7,0)</f>
        <v>12.8</v>
      </c>
      <c r="Z407">
        <f>VLOOKUP($B407,'[1]Plant data'!$A$1:$AB$315,8,0)</f>
        <v>9.9</v>
      </c>
      <c r="AA407" t="str">
        <f>VLOOKUP($B407,'[1]Plant data'!$A$1:$AB$315,9,0)</f>
        <v>NA</v>
      </c>
      <c r="AB407">
        <f>VLOOKUP($B407,'[1]Plant data'!$A$1:$AB$315,10,0)</f>
        <v>1.6</v>
      </c>
      <c r="AC407" t="str">
        <f>VLOOKUP($B407,'[1]Plant data'!$A$1:$AB$315,11,0)</f>
        <v>NA</v>
      </c>
      <c r="AD407" t="str">
        <f>VLOOKUP($B407,'[1]Plant data'!$A$1:$AB$315,12,0)</f>
        <v>NA</v>
      </c>
      <c r="AE407" t="str">
        <f>VLOOKUP($B407,'[1]Plant data'!$A$1:$AB$315,13,0)</f>
        <v>NA</v>
      </c>
      <c r="AF407" t="str">
        <f>VLOOKUP($B407,'[1]Plant data'!$A$1:$AB$315,14,0)</f>
        <v>NA</v>
      </c>
      <c r="AG407">
        <f>VLOOKUP($B407,'[1]Plant data'!$A$1:$AB$315,15,0)</f>
        <v>1.1000000000000001</v>
      </c>
      <c r="AH407" t="str">
        <f>VLOOKUP($B407,'[1]Plant data'!$A$1:$AB$315,16,0)</f>
        <v>NA</v>
      </c>
      <c r="AI407" t="str">
        <f>VLOOKUP($B407,'[1]Plant data'!$A$1:$AB$315,17,0)</f>
        <v>NA</v>
      </c>
      <c r="AJ407" t="str">
        <f>VLOOKUP($B407,'[1]Plant data'!$A$1:$AB$315,18,0)</f>
        <v>Motta Jr. 1981</v>
      </c>
      <c r="AK407">
        <f>VLOOKUP($B407,'[1]Plant data'!$A$1:$AB$315,19,0)</f>
        <v>0.621</v>
      </c>
      <c r="AL407">
        <f>VLOOKUP($B407,'[1]Plant data'!$A$1:$AB$315,20,0)</f>
        <v>0.01</v>
      </c>
      <c r="AM407" t="str">
        <f>VLOOKUP($B407,'[1]Plant data'!$A$1:$AB$315,21,0)</f>
        <v>NA</v>
      </c>
      <c r="AN407" t="str">
        <f>VLOOKUP($B407,'[1]Plant data'!$A$1:$AB$315,22,0)</f>
        <v>NA</v>
      </c>
      <c r="AO407" t="str">
        <f>VLOOKUP($B407,'[1]Plant data'!$A$1:$AB$315,23,0)</f>
        <v>NA</v>
      </c>
      <c r="AP407" t="str">
        <f>VLOOKUP($B407,'[1]Plant data'!$A$1:$AB$315,24,0)</f>
        <v>NA</v>
      </c>
      <c r="AQ407" t="str">
        <f>VLOOKUP($B407,'[1]Plant data'!$A$1:$AB$315,25,0)</f>
        <v>NA</v>
      </c>
      <c r="AR407" t="str">
        <f>VLOOKUP($B407,'[1]Plant data'!$A$1:$AB$315,26,0)</f>
        <v>NA</v>
      </c>
      <c r="AS407" t="str">
        <f>VLOOKUP($B407,'[1]Plant data'!$A$1:$AB$315,27,0)</f>
        <v>NA</v>
      </c>
      <c r="AT407" t="str">
        <f>VLOOKUP($B407,'[1]Plant data'!$A$1:$AB$315,28,0)</f>
        <v>Motta Jr. 1981</v>
      </c>
    </row>
    <row r="408" spans="1:46">
      <c r="A408" s="21" t="s">
        <v>50</v>
      </c>
      <c r="B408" s="31" t="s">
        <v>228</v>
      </c>
      <c r="C408" s="16">
        <v>52</v>
      </c>
      <c r="D408" s="16">
        <v>32</v>
      </c>
      <c r="E408" s="23">
        <f>C408/32</f>
        <v>1.625</v>
      </c>
      <c r="F408" s="16">
        <v>35</v>
      </c>
      <c r="G408" s="19">
        <v>1.5</v>
      </c>
      <c r="H408" s="19"/>
      <c r="I408" s="8">
        <f t="shared" si="30"/>
        <v>2.4375</v>
      </c>
      <c r="J408" s="16" t="s">
        <v>235</v>
      </c>
      <c r="K408" s="16" t="s">
        <v>225</v>
      </c>
      <c r="L408" s="16" t="s">
        <v>22</v>
      </c>
      <c r="M408" s="16" t="s">
        <v>47</v>
      </c>
      <c r="N408" s="17">
        <v>69.5</v>
      </c>
      <c r="O408" s="17">
        <v>13.253214290000001</v>
      </c>
      <c r="P408" s="16" t="s">
        <v>48</v>
      </c>
      <c r="Q408" s="16" t="s">
        <v>25</v>
      </c>
      <c r="R408" s="16" t="s">
        <v>26</v>
      </c>
      <c r="S408" s="16" t="s">
        <v>31</v>
      </c>
      <c r="T408" t="str">
        <f>VLOOKUP(B408,'[1]Plant data'!$A$1:$AB$315,2,0)</f>
        <v>Sapindaceae</v>
      </c>
      <c r="U408" t="str">
        <f>VLOOKUP($B408,'[1]Plant data'!$A$1:$AB$315,3,0)</f>
        <v>NA</v>
      </c>
      <c r="V408" t="str">
        <f>VLOOKUP($B408,'[1]Plant data'!$A$1:$AB$315,4,0)</f>
        <v>multicolor</v>
      </c>
      <c r="W408" t="str">
        <f>VLOOKUP($B408,'[1]Plant data'!$A$1:$AB$315,5,0)</f>
        <v>YES</v>
      </c>
      <c r="X408">
        <f>VLOOKUP($B408,'[1]Plant data'!$A$1:$AB$315,6,0)</f>
        <v>14.1</v>
      </c>
      <c r="Y408">
        <f>VLOOKUP($B408,'[1]Plant data'!$A$1:$AB$315,7,0)</f>
        <v>12.8</v>
      </c>
      <c r="Z408">
        <f>VLOOKUP($B408,'[1]Plant data'!$A$1:$AB$315,8,0)</f>
        <v>9.9</v>
      </c>
      <c r="AA408" t="str">
        <f>VLOOKUP($B408,'[1]Plant data'!$A$1:$AB$315,9,0)</f>
        <v>NA</v>
      </c>
      <c r="AB408">
        <f>VLOOKUP($B408,'[1]Plant data'!$A$1:$AB$315,10,0)</f>
        <v>1.6</v>
      </c>
      <c r="AC408" t="str">
        <f>VLOOKUP($B408,'[1]Plant data'!$A$1:$AB$315,11,0)</f>
        <v>NA</v>
      </c>
      <c r="AD408" t="str">
        <f>VLOOKUP($B408,'[1]Plant data'!$A$1:$AB$315,12,0)</f>
        <v>NA</v>
      </c>
      <c r="AE408" t="str">
        <f>VLOOKUP($B408,'[1]Plant data'!$A$1:$AB$315,13,0)</f>
        <v>NA</v>
      </c>
      <c r="AF408" t="str">
        <f>VLOOKUP($B408,'[1]Plant data'!$A$1:$AB$315,14,0)</f>
        <v>NA</v>
      </c>
      <c r="AG408">
        <f>VLOOKUP($B408,'[1]Plant data'!$A$1:$AB$315,15,0)</f>
        <v>1.1000000000000001</v>
      </c>
      <c r="AH408" t="str">
        <f>VLOOKUP($B408,'[1]Plant data'!$A$1:$AB$315,16,0)</f>
        <v>NA</v>
      </c>
      <c r="AI408" t="str">
        <f>VLOOKUP($B408,'[1]Plant data'!$A$1:$AB$315,17,0)</f>
        <v>NA</v>
      </c>
      <c r="AJ408" t="str">
        <f>VLOOKUP($B408,'[1]Plant data'!$A$1:$AB$315,18,0)</f>
        <v>Motta Jr. 1981</v>
      </c>
      <c r="AK408">
        <f>VLOOKUP($B408,'[1]Plant data'!$A$1:$AB$315,19,0)</f>
        <v>0.621</v>
      </c>
      <c r="AL408">
        <f>VLOOKUP($B408,'[1]Plant data'!$A$1:$AB$315,20,0)</f>
        <v>0.01</v>
      </c>
      <c r="AM408" t="str">
        <f>VLOOKUP($B408,'[1]Plant data'!$A$1:$AB$315,21,0)</f>
        <v>NA</v>
      </c>
      <c r="AN408" t="str">
        <f>VLOOKUP($B408,'[1]Plant data'!$A$1:$AB$315,22,0)</f>
        <v>NA</v>
      </c>
      <c r="AO408" t="str">
        <f>VLOOKUP($B408,'[1]Plant data'!$A$1:$AB$315,23,0)</f>
        <v>NA</v>
      </c>
      <c r="AP408" t="str">
        <f>VLOOKUP($B408,'[1]Plant data'!$A$1:$AB$315,24,0)</f>
        <v>NA</v>
      </c>
      <c r="AQ408" t="str">
        <f>VLOOKUP($B408,'[1]Plant data'!$A$1:$AB$315,25,0)</f>
        <v>NA</v>
      </c>
      <c r="AR408" t="str">
        <f>VLOOKUP($B408,'[1]Plant data'!$A$1:$AB$315,26,0)</f>
        <v>NA</v>
      </c>
      <c r="AS408" t="str">
        <f>VLOOKUP($B408,'[1]Plant data'!$A$1:$AB$315,27,0)</f>
        <v>NA</v>
      </c>
      <c r="AT408" t="str">
        <f>VLOOKUP($B408,'[1]Plant data'!$A$1:$AB$315,28,0)</f>
        <v>Motta Jr. 1981</v>
      </c>
    </row>
    <row r="409" spans="1:46">
      <c r="A409" s="20" t="s">
        <v>28</v>
      </c>
      <c r="B409" s="32" t="s">
        <v>59</v>
      </c>
      <c r="C409" s="16">
        <v>7</v>
      </c>
      <c r="D409" s="16">
        <v>254</v>
      </c>
      <c r="E409" s="8">
        <f t="shared" ref="E409:E414" si="31">C409/D409</f>
        <v>2.7559055118110236E-2</v>
      </c>
      <c r="F409" t="s">
        <v>19</v>
      </c>
      <c r="G409" s="9" t="s">
        <v>19</v>
      </c>
      <c r="H409" s="9"/>
      <c r="I409" s="8" t="s">
        <v>19</v>
      </c>
      <c r="J409" s="16" t="s">
        <v>52</v>
      </c>
      <c r="K409" s="16" t="s">
        <v>53</v>
      </c>
      <c r="L409" t="s">
        <v>22</v>
      </c>
      <c r="M409" t="s">
        <v>30</v>
      </c>
      <c r="N409" s="11">
        <v>18</v>
      </c>
      <c r="O409" s="11">
        <v>7.4188405800000004</v>
      </c>
      <c r="P409" t="s">
        <v>24</v>
      </c>
      <c r="Q409" s="13" t="s">
        <v>25</v>
      </c>
      <c r="R409" s="13" t="s">
        <v>26</v>
      </c>
      <c r="S409" s="13" t="s">
        <v>31</v>
      </c>
      <c r="T409" t="str">
        <f>VLOOKUP(B409,'[1]Plant data'!$A$1:$AB$315,2,0)</f>
        <v>Sapindaceae</v>
      </c>
      <c r="U409" t="str">
        <f>VLOOKUP($B409,'[1]Plant data'!$A$1:$AB$315,3,0)</f>
        <v>NA</v>
      </c>
      <c r="V409" t="str">
        <f>VLOOKUP($B409,'[1]Plant data'!$A$1:$AB$315,4,0)</f>
        <v>multicolor</v>
      </c>
      <c r="W409" t="str">
        <f>VLOOKUP($B409,'[1]Plant data'!$A$1:$AB$315,5,0)</f>
        <v>YES</v>
      </c>
      <c r="X409" t="str">
        <f>VLOOKUP($B409,'[1]Plant data'!$A$1:$AB$315,6,0)</f>
        <v>NA</v>
      </c>
      <c r="Y409" t="str">
        <f>VLOOKUP($B409,'[1]Plant data'!$A$1:$AB$315,7,0)</f>
        <v>NA</v>
      </c>
      <c r="Z409" t="str">
        <f>VLOOKUP($B409,'[1]Plant data'!$A$1:$AB$315,8,0)</f>
        <v>NA</v>
      </c>
      <c r="AA409" t="str">
        <f>VLOOKUP($B409,'[1]Plant data'!$A$1:$AB$315,9,0)</f>
        <v>NA</v>
      </c>
      <c r="AB409" t="str">
        <f>VLOOKUP($B409,'[1]Plant data'!$A$1:$AB$315,10,0)</f>
        <v>NA</v>
      </c>
      <c r="AC409" t="str">
        <f>VLOOKUP($B409,'[1]Plant data'!$A$1:$AB$315,11,0)</f>
        <v>NA</v>
      </c>
      <c r="AD409" t="str">
        <f>VLOOKUP($B409,'[1]Plant data'!$A$1:$AB$315,12,0)</f>
        <v>NA</v>
      </c>
      <c r="AE409" t="str">
        <f>VLOOKUP($B409,'[1]Plant data'!$A$1:$AB$315,13,0)</f>
        <v>NA</v>
      </c>
      <c r="AF409" t="str">
        <f>VLOOKUP($B409,'[1]Plant data'!$A$1:$AB$315,14,0)</f>
        <v>NA</v>
      </c>
      <c r="AG409" t="str">
        <f>VLOOKUP($B409,'[1]Plant data'!$A$1:$AB$315,15,0)</f>
        <v>NA</v>
      </c>
      <c r="AH409" t="str">
        <f>VLOOKUP($B409,'[1]Plant data'!$A$1:$AB$315,16,0)</f>
        <v>NA</v>
      </c>
      <c r="AI409" t="str">
        <f>VLOOKUP($B409,'[1]Plant data'!$A$1:$AB$315,17,0)</f>
        <v>NA</v>
      </c>
      <c r="AJ409" t="str">
        <f>VLOOKUP($B409,'[1]Plant data'!$A$1:$AB$315,18,0)</f>
        <v>NA</v>
      </c>
      <c r="AK409" t="str">
        <f>VLOOKUP($B409,'[1]Plant data'!$A$1:$AB$315,19,0)</f>
        <v>NA</v>
      </c>
      <c r="AL409" t="str">
        <f>VLOOKUP($B409,'[1]Plant data'!$A$1:$AB$315,20,0)</f>
        <v>NA</v>
      </c>
      <c r="AM409" t="str">
        <f>VLOOKUP($B409,'[1]Plant data'!$A$1:$AB$315,21,0)</f>
        <v>NA</v>
      </c>
      <c r="AN409" t="str">
        <f>VLOOKUP($B409,'[1]Plant data'!$A$1:$AB$315,22,0)</f>
        <v>NA</v>
      </c>
      <c r="AO409" t="str">
        <f>VLOOKUP($B409,'[1]Plant data'!$A$1:$AB$315,23,0)</f>
        <v>NA</v>
      </c>
      <c r="AP409" t="str">
        <f>VLOOKUP($B409,'[1]Plant data'!$A$1:$AB$315,24,0)</f>
        <v>NA</v>
      </c>
      <c r="AQ409" t="str">
        <f>VLOOKUP($B409,'[1]Plant data'!$A$1:$AB$315,25,0)</f>
        <v>NA</v>
      </c>
      <c r="AR409" t="str">
        <f>VLOOKUP($B409,'[1]Plant data'!$A$1:$AB$315,26,0)</f>
        <v>NA</v>
      </c>
      <c r="AS409" t="str">
        <f>VLOOKUP($B409,'[1]Plant data'!$A$1:$AB$315,27,0)</f>
        <v>NA</v>
      </c>
      <c r="AT409" t="str">
        <f>VLOOKUP($B409,'[1]Plant data'!$A$1:$AB$315,28,0)</f>
        <v>NA</v>
      </c>
    </row>
    <row r="410" spans="1:46">
      <c r="A410" s="5" t="s">
        <v>41</v>
      </c>
      <c r="B410" s="32" t="s">
        <v>59</v>
      </c>
      <c r="C410" s="16">
        <v>1</v>
      </c>
      <c r="D410" s="16">
        <v>254</v>
      </c>
      <c r="E410" s="8">
        <f t="shared" si="31"/>
        <v>3.937007874015748E-3</v>
      </c>
      <c r="F410" t="s">
        <v>19</v>
      </c>
      <c r="G410" s="41">
        <v>1.25</v>
      </c>
      <c r="H410" s="41"/>
      <c r="I410" s="8">
        <f>E410*G410</f>
        <v>4.921259842519685E-3</v>
      </c>
      <c r="J410" s="16" t="s">
        <v>52</v>
      </c>
      <c r="K410" s="16" t="s">
        <v>53</v>
      </c>
      <c r="L410" t="s">
        <v>22</v>
      </c>
      <c r="M410" t="s">
        <v>30</v>
      </c>
      <c r="N410" s="11">
        <v>39</v>
      </c>
      <c r="O410" s="11">
        <v>8.2839869279999991</v>
      </c>
      <c r="P410" t="s">
        <v>24</v>
      </c>
      <c r="Q410" t="s">
        <v>25</v>
      </c>
      <c r="R410" t="s">
        <v>26</v>
      </c>
      <c r="S410" t="s">
        <v>31</v>
      </c>
      <c r="T410" t="str">
        <f>VLOOKUP(B410,'[1]Plant data'!$A$1:$AB$315,2,0)</f>
        <v>Sapindaceae</v>
      </c>
      <c r="U410" t="str">
        <f>VLOOKUP($B410,'[1]Plant data'!$A$1:$AB$315,3,0)</f>
        <v>NA</v>
      </c>
      <c r="V410" t="str">
        <f>VLOOKUP($B410,'[1]Plant data'!$A$1:$AB$315,4,0)</f>
        <v>multicolor</v>
      </c>
      <c r="W410" t="str">
        <f>VLOOKUP($B410,'[1]Plant data'!$A$1:$AB$315,5,0)</f>
        <v>YES</v>
      </c>
      <c r="X410" t="str">
        <f>VLOOKUP($B410,'[1]Plant data'!$A$1:$AB$315,6,0)</f>
        <v>NA</v>
      </c>
      <c r="Y410" t="str">
        <f>VLOOKUP($B410,'[1]Plant data'!$A$1:$AB$315,7,0)</f>
        <v>NA</v>
      </c>
      <c r="Z410" t="str">
        <f>VLOOKUP($B410,'[1]Plant data'!$A$1:$AB$315,8,0)</f>
        <v>NA</v>
      </c>
      <c r="AA410" t="str">
        <f>VLOOKUP($B410,'[1]Plant data'!$A$1:$AB$315,9,0)</f>
        <v>NA</v>
      </c>
      <c r="AB410" t="str">
        <f>VLOOKUP($B410,'[1]Plant data'!$A$1:$AB$315,10,0)</f>
        <v>NA</v>
      </c>
      <c r="AC410" t="str">
        <f>VLOOKUP($B410,'[1]Plant data'!$A$1:$AB$315,11,0)</f>
        <v>NA</v>
      </c>
      <c r="AD410" t="str">
        <f>VLOOKUP($B410,'[1]Plant data'!$A$1:$AB$315,12,0)</f>
        <v>NA</v>
      </c>
      <c r="AE410" t="str">
        <f>VLOOKUP($B410,'[1]Plant data'!$A$1:$AB$315,13,0)</f>
        <v>NA</v>
      </c>
      <c r="AF410" t="str">
        <f>VLOOKUP($B410,'[1]Plant data'!$A$1:$AB$315,14,0)</f>
        <v>NA</v>
      </c>
      <c r="AG410" t="str">
        <f>VLOOKUP($B410,'[1]Plant data'!$A$1:$AB$315,15,0)</f>
        <v>NA</v>
      </c>
      <c r="AH410" t="str">
        <f>VLOOKUP($B410,'[1]Plant data'!$A$1:$AB$315,16,0)</f>
        <v>NA</v>
      </c>
      <c r="AI410" t="str">
        <f>VLOOKUP($B410,'[1]Plant data'!$A$1:$AB$315,17,0)</f>
        <v>NA</v>
      </c>
      <c r="AJ410" t="str">
        <f>VLOOKUP($B410,'[1]Plant data'!$A$1:$AB$315,18,0)</f>
        <v>NA</v>
      </c>
      <c r="AK410" t="str">
        <f>VLOOKUP($B410,'[1]Plant data'!$A$1:$AB$315,19,0)</f>
        <v>NA</v>
      </c>
      <c r="AL410" t="str">
        <f>VLOOKUP($B410,'[1]Plant data'!$A$1:$AB$315,20,0)</f>
        <v>NA</v>
      </c>
      <c r="AM410" t="str">
        <f>VLOOKUP($B410,'[1]Plant data'!$A$1:$AB$315,21,0)</f>
        <v>NA</v>
      </c>
      <c r="AN410" t="str">
        <f>VLOOKUP($B410,'[1]Plant data'!$A$1:$AB$315,22,0)</f>
        <v>NA</v>
      </c>
      <c r="AO410" t="str">
        <f>VLOOKUP($B410,'[1]Plant data'!$A$1:$AB$315,23,0)</f>
        <v>NA</v>
      </c>
      <c r="AP410" t="str">
        <f>VLOOKUP($B410,'[1]Plant data'!$A$1:$AB$315,24,0)</f>
        <v>NA</v>
      </c>
      <c r="AQ410" t="str">
        <f>VLOOKUP($B410,'[1]Plant data'!$A$1:$AB$315,25,0)</f>
        <v>NA</v>
      </c>
      <c r="AR410" t="str">
        <f>VLOOKUP($B410,'[1]Plant data'!$A$1:$AB$315,26,0)</f>
        <v>NA</v>
      </c>
      <c r="AS410" t="str">
        <f>VLOOKUP($B410,'[1]Plant data'!$A$1:$AB$315,27,0)</f>
        <v>NA</v>
      </c>
      <c r="AT410" t="str">
        <f>VLOOKUP($B410,'[1]Plant data'!$A$1:$AB$315,28,0)</f>
        <v>NA</v>
      </c>
    </row>
    <row r="411" spans="1:46">
      <c r="A411" s="21" t="s">
        <v>43</v>
      </c>
      <c r="B411" s="32" t="s">
        <v>59</v>
      </c>
      <c r="C411" s="16">
        <v>4</v>
      </c>
      <c r="D411" s="16">
        <v>254</v>
      </c>
      <c r="E411" s="8">
        <f t="shared" si="31"/>
        <v>1.5748031496062992E-2</v>
      </c>
      <c r="F411" t="s">
        <v>19</v>
      </c>
      <c r="G411" s="41">
        <v>1.25</v>
      </c>
      <c r="H411" s="41"/>
      <c r="I411" s="8">
        <f>E411*G411</f>
        <v>1.968503937007874E-2</v>
      </c>
      <c r="J411" s="16" t="s">
        <v>52</v>
      </c>
      <c r="K411" s="16" t="s">
        <v>53</v>
      </c>
      <c r="L411" t="s">
        <v>22</v>
      </c>
      <c r="M411" t="s">
        <v>30</v>
      </c>
      <c r="N411" s="11">
        <v>32.5</v>
      </c>
      <c r="O411" s="11">
        <v>8.9205555560000001</v>
      </c>
      <c r="P411" t="s">
        <v>24</v>
      </c>
      <c r="Q411" t="s">
        <v>25</v>
      </c>
      <c r="R411" t="s">
        <v>26</v>
      </c>
      <c r="S411" t="s">
        <v>31</v>
      </c>
      <c r="T411" t="str">
        <f>VLOOKUP(B411,'[1]Plant data'!$A$1:$AB$315,2,0)</f>
        <v>Sapindaceae</v>
      </c>
      <c r="U411" t="str">
        <f>VLOOKUP($B411,'[1]Plant data'!$A$1:$AB$315,3,0)</f>
        <v>NA</v>
      </c>
      <c r="V411" t="str">
        <f>VLOOKUP($B411,'[1]Plant data'!$A$1:$AB$315,4,0)</f>
        <v>multicolor</v>
      </c>
      <c r="W411" t="str">
        <f>VLOOKUP($B411,'[1]Plant data'!$A$1:$AB$315,5,0)</f>
        <v>YES</v>
      </c>
      <c r="X411" t="str">
        <f>VLOOKUP($B411,'[1]Plant data'!$A$1:$AB$315,6,0)</f>
        <v>NA</v>
      </c>
      <c r="Y411" t="str">
        <f>VLOOKUP($B411,'[1]Plant data'!$A$1:$AB$315,7,0)</f>
        <v>NA</v>
      </c>
      <c r="Z411" t="str">
        <f>VLOOKUP($B411,'[1]Plant data'!$A$1:$AB$315,8,0)</f>
        <v>NA</v>
      </c>
      <c r="AA411" t="str">
        <f>VLOOKUP($B411,'[1]Plant data'!$A$1:$AB$315,9,0)</f>
        <v>NA</v>
      </c>
      <c r="AB411" t="str">
        <f>VLOOKUP($B411,'[1]Plant data'!$A$1:$AB$315,10,0)</f>
        <v>NA</v>
      </c>
      <c r="AC411" t="str">
        <f>VLOOKUP($B411,'[1]Plant data'!$A$1:$AB$315,11,0)</f>
        <v>NA</v>
      </c>
      <c r="AD411" t="str">
        <f>VLOOKUP($B411,'[1]Plant data'!$A$1:$AB$315,12,0)</f>
        <v>NA</v>
      </c>
      <c r="AE411" t="str">
        <f>VLOOKUP($B411,'[1]Plant data'!$A$1:$AB$315,13,0)</f>
        <v>NA</v>
      </c>
      <c r="AF411" t="str">
        <f>VLOOKUP($B411,'[1]Plant data'!$A$1:$AB$315,14,0)</f>
        <v>NA</v>
      </c>
      <c r="AG411" t="str">
        <f>VLOOKUP($B411,'[1]Plant data'!$A$1:$AB$315,15,0)</f>
        <v>NA</v>
      </c>
      <c r="AH411" t="str">
        <f>VLOOKUP($B411,'[1]Plant data'!$A$1:$AB$315,16,0)</f>
        <v>NA</v>
      </c>
      <c r="AI411" t="str">
        <f>VLOOKUP($B411,'[1]Plant data'!$A$1:$AB$315,17,0)</f>
        <v>NA</v>
      </c>
      <c r="AJ411" t="str">
        <f>VLOOKUP($B411,'[1]Plant data'!$A$1:$AB$315,18,0)</f>
        <v>NA</v>
      </c>
      <c r="AK411" t="str">
        <f>VLOOKUP($B411,'[1]Plant data'!$A$1:$AB$315,19,0)</f>
        <v>NA</v>
      </c>
      <c r="AL411" t="str">
        <f>VLOOKUP($B411,'[1]Plant data'!$A$1:$AB$315,20,0)</f>
        <v>NA</v>
      </c>
      <c r="AM411" t="str">
        <f>VLOOKUP($B411,'[1]Plant data'!$A$1:$AB$315,21,0)</f>
        <v>NA</v>
      </c>
      <c r="AN411" t="str">
        <f>VLOOKUP($B411,'[1]Plant data'!$A$1:$AB$315,22,0)</f>
        <v>NA</v>
      </c>
      <c r="AO411" t="str">
        <f>VLOOKUP($B411,'[1]Plant data'!$A$1:$AB$315,23,0)</f>
        <v>NA</v>
      </c>
      <c r="AP411" t="str">
        <f>VLOOKUP($B411,'[1]Plant data'!$A$1:$AB$315,24,0)</f>
        <v>NA</v>
      </c>
      <c r="AQ411" t="str">
        <f>VLOOKUP($B411,'[1]Plant data'!$A$1:$AB$315,25,0)</f>
        <v>NA</v>
      </c>
      <c r="AR411" t="str">
        <f>VLOOKUP($B411,'[1]Plant data'!$A$1:$AB$315,26,0)</f>
        <v>NA</v>
      </c>
      <c r="AS411" t="str">
        <f>VLOOKUP($B411,'[1]Plant data'!$A$1:$AB$315,27,0)</f>
        <v>NA</v>
      </c>
      <c r="AT411" t="str">
        <f>VLOOKUP($B411,'[1]Plant data'!$A$1:$AB$315,28,0)</f>
        <v>NA</v>
      </c>
    </row>
    <row r="412" spans="1:46">
      <c r="A412" s="18" t="s">
        <v>28</v>
      </c>
      <c r="B412" s="33" t="s">
        <v>60</v>
      </c>
      <c r="C412" s="16">
        <v>3</v>
      </c>
      <c r="D412" s="16">
        <v>254</v>
      </c>
      <c r="E412" s="8">
        <f t="shared" si="31"/>
        <v>1.1811023622047244E-2</v>
      </c>
      <c r="F412" t="s">
        <v>19</v>
      </c>
      <c r="G412" s="9" t="s">
        <v>19</v>
      </c>
      <c r="H412" s="9"/>
      <c r="I412" s="8" t="s">
        <v>19</v>
      </c>
      <c r="J412" t="s">
        <v>52</v>
      </c>
      <c r="K412" t="s">
        <v>53</v>
      </c>
      <c r="L412" t="s">
        <v>22</v>
      </c>
      <c r="M412" t="s">
        <v>30</v>
      </c>
      <c r="N412" s="11">
        <v>18</v>
      </c>
      <c r="O412" s="11">
        <v>7.4188405800000004</v>
      </c>
      <c r="P412" t="s">
        <v>24</v>
      </c>
      <c r="Q412" s="13" t="s">
        <v>25</v>
      </c>
      <c r="R412" s="13" t="s">
        <v>26</v>
      </c>
      <c r="S412" s="13" t="s">
        <v>31</v>
      </c>
      <c r="T412" t="str">
        <f>VLOOKUP(B412,'[1]Plant data'!$A$1:$AB$315,2,0)</f>
        <v>Peraceae</v>
      </c>
      <c r="U412" t="str">
        <f>VLOOKUP($B412,'[1]Plant data'!$A$1:$AB$315,3,0)</f>
        <v>NA</v>
      </c>
      <c r="V412" t="str">
        <f>VLOOKUP($B412,'[1]Plant data'!$A$1:$AB$315,4,0)</f>
        <v>red</v>
      </c>
      <c r="W412" t="str">
        <f>VLOOKUP($B412,'[1]Plant data'!$A$1:$AB$315,5,0)</f>
        <v>YES</v>
      </c>
      <c r="X412">
        <f>VLOOKUP($B412,'[1]Plant data'!$A$1:$AB$315,6,0)</f>
        <v>3.4259999999999997</v>
      </c>
      <c r="Y412">
        <f>VLOOKUP($B412,'[1]Plant data'!$A$1:$AB$315,7,0)</f>
        <v>5.9160000000000004</v>
      </c>
      <c r="Z412">
        <f>VLOOKUP($B412,'[1]Plant data'!$A$1:$AB$315,8,0)</f>
        <v>2.98</v>
      </c>
      <c r="AA412">
        <f>VLOOKUP($B412,'[1]Plant data'!$A$1:$AB$315,9,0)</f>
        <v>4.5933333333333328</v>
      </c>
      <c r="AB412">
        <f>VLOOKUP($B412,'[1]Plant data'!$A$1:$AB$315,10,0)</f>
        <v>2.5499999999999998E-2</v>
      </c>
      <c r="AC412" t="str">
        <f>VLOOKUP($B412,'[1]Plant data'!$A$1:$AB$315,11,0)</f>
        <v>NA</v>
      </c>
      <c r="AD412">
        <f>VLOOKUP($B412,'[1]Plant data'!$A$1:$AB$315,12,0)</f>
        <v>2.41E-2</v>
      </c>
      <c r="AE412" t="str">
        <f>VLOOKUP($B412,'[1]Plant data'!$A$1:$AB$315,13,0)</f>
        <v>NA</v>
      </c>
      <c r="AF412" t="str">
        <f>VLOOKUP($B412,'[1]Plant data'!$A$1:$AB$315,14,0)</f>
        <v>NA</v>
      </c>
      <c r="AG412">
        <f>VLOOKUP($B412,'[1]Plant data'!$A$1:$AB$315,15,0)</f>
        <v>2.9249999999999998</v>
      </c>
      <c r="AH412" t="str">
        <f>VLOOKUP($B412,'[1]Plant data'!$A$1:$AB$315,16,0)</f>
        <v>NA</v>
      </c>
      <c r="AI412" t="str">
        <f>VLOOKUP($B412,'[1]Plant data'!$A$1:$AB$315,17,0)</f>
        <v>NA</v>
      </c>
      <c r="AJ412" t="str">
        <f>VLOOKUP($B412,'[1]Plant data'!$A$1:$AB$315,18,0)</f>
        <v>Passos &amp; Oliveira 2003, Santana et al. 2013, ATLANTIC, Angel-de-Oliveira 1999, Camargo 2014, Gondim 2002</v>
      </c>
      <c r="AK412" t="str">
        <f>VLOOKUP($B412,'[1]Plant data'!$A$1:$AB$315,19,0)</f>
        <v>NA</v>
      </c>
      <c r="AL412">
        <f>VLOOKUP($B412,'[1]Plant data'!$A$1:$AB$315,20,0)</f>
        <v>0.747</v>
      </c>
      <c r="AM412">
        <f>VLOOKUP($B412,'[1]Plant data'!$A$1:$AB$315,21,0)</f>
        <v>0.16600000000000001</v>
      </c>
      <c r="AN412">
        <f>VLOOKUP($B412,'[1]Plant data'!$A$1:$AB$315,22,0)</f>
        <v>0.03</v>
      </c>
      <c r="AO412" t="str">
        <f>VLOOKUP($B412,'[1]Plant data'!$A$1:$AB$315,23,0)</f>
        <v>NA</v>
      </c>
      <c r="AP412" t="str">
        <f>VLOOKUP($B412,'[1]Plant data'!$A$1:$AB$315,24,0)</f>
        <v>NA</v>
      </c>
      <c r="AQ412" t="str">
        <f>VLOOKUP($B412,'[1]Plant data'!$A$1:$AB$315,25,0)</f>
        <v>NA</v>
      </c>
      <c r="AR412" t="str">
        <f>VLOOKUP($B412,'[1]Plant data'!$A$1:$AB$315,26,0)</f>
        <v>NA</v>
      </c>
      <c r="AS412" t="str">
        <f>VLOOKUP($B412,'[1]Plant data'!$A$1:$AB$315,27,0)</f>
        <v>NA</v>
      </c>
      <c r="AT412" t="str">
        <f>VLOOKUP($B412,'[1]Plant data'!$A$1:$AB$315,28,0)</f>
        <v>Santana et al. 2013</v>
      </c>
    </row>
    <row r="413" spans="1:46">
      <c r="A413" s="5" t="s">
        <v>62</v>
      </c>
      <c r="B413" s="33" t="s">
        <v>60</v>
      </c>
      <c r="C413" s="16">
        <v>1</v>
      </c>
      <c r="D413" s="16">
        <v>254</v>
      </c>
      <c r="E413" s="8">
        <f t="shared" si="31"/>
        <v>3.937007874015748E-3</v>
      </c>
      <c r="F413" t="s">
        <v>19</v>
      </c>
      <c r="G413" s="9" t="s">
        <v>19</v>
      </c>
      <c r="H413" s="9"/>
      <c r="I413" s="8" t="s">
        <v>19</v>
      </c>
      <c r="J413" s="10" t="s">
        <v>52</v>
      </c>
      <c r="K413" t="s">
        <v>53</v>
      </c>
      <c r="L413" t="s">
        <v>22</v>
      </c>
      <c r="M413" t="s">
        <v>30</v>
      </c>
      <c r="N413" s="11">
        <v>18.7</v>
      </c>
      <c r="O413" s="11">
        <v>6.1185714290000002</v>
      </c>
      <c r="P413" t="s">
        <v>24</v>
      </c>
      <c r="Q413" t="s">
        <v>25</v>
      </c>
      <c r="R413" t="s">
        <v>26</v>
      </c>
      <c r="S413" t="s">
        <v>31</v>
      </c>
      <c r="T413" t="str">
        <f>VLOOKUP(B413,'[1]Plant data'!$A$1:$AB$315,2,0)</f>
        <v>Peraceae</v>
      </c>
      <c r="U413" t="str">
        <f>VLOOKUP($B413,'[1]Plant data'!$A$1:$AB$315,3,0)</f>
        <v>NA</v>
      </c>
      <c r="V413" t="str">
        <f>VLOOKUP($B413,'[1]Plant data'!$A$1:$AB$315,4,0)</f>
        <v>red</v>
      </c>
      <c r="W413" t="str">
        <f>VLOOKUP($B413,'[1]Plant data'!$A$1:$AB$315,5,0)</f>
        <v>YES</v>
      </c>
      <c r="X413">
        <f>VLOOKUP($B413,'[1]Plant data'!$A$1:$AB$315,6,0)</f>
        <v>3.4259999999999997</v>
      </c>
      <c r="Y413">
        <f>VLOOKUP($B413,'[1]Plant data'!$A$1:$AB$315,7,0)</f>
        <v>5.9160000000000004</v>
      </c>
      <c r="Z413">
        <f>VLOOKUP($B413,'[1]Plant data'!$A$1:$AB$315,8,0)</f>
        <v>2.98</v>
      </c>
      <c r="AA413">
        <f>VLOOKUP($B413,'[1]Plant data'!$A$1:$AB$315,9,0)</f>
        <v>4.5933333333333328</v>
      </c>
      <c r="AB413">
        <f>VLOOKUP($B413,'[1]Plant data'!$A$1:$AB$315,10,0)</f>
        <v>2.5499999999999998E-2</v>
      </c>
      <c r="AC413" t="str">
        <f>VLOOKUP($B413,'[1]Plant data'!$A$1:$AB$315,11,0)</f>
        <v>NA</v>
      </c>
      <c r="AD413">
        <f>VLOOKUP($B413,'[1]Plant data'!$A$1:$AB$315,12,0)</f>
        <v>2.41E-2</v>
      </c>
      <c r="AE413" t="str">
        <f>VLOOKUP($B413,'[1]Plant data'!$A$1:$AB$315,13,0)</f>
        <v>NA</v>
      </c>
      <c r="AF413" t="str">
        <f>VLOOKUP($B413,'[1]Plant data'!$A$1:$AB$315,14,0)</f>
        <v>NA</v>
      </c>
      <c r="AG413">
        <f>VLOOKUP($B413,'[1]Plant data'!$A$1:$AB$315,15,0)</f>
        <v>2.9249999999999998</v>
      </c>
      <c r="AH413" t="str">
        <f>VLOOKUP($B413,'[1]Plant data'!$A$1:$AB$315,16,0)</f>
        <v>NA</v>
      </c>
      <c r="AI413" t="str">
        <f>VLOOKUP($B413,'[1]Plant data'!$A$1:$AB$315,17,0)</f>
        <v>NA</v>
      </c>
      <c r="AJ413" t="str">
        <f>VLOOKUP($B413,'[1]Plant data'!$A$1:$AB$315,18,0)</f>
        <v>Passos &amp; Oliveira 2003, Santana et al. 2013, ATLANTIC, Angel-de-Oliveira 1999, Camargo 2014, Gondim 2002</v>
      </c>
      <c r="AK413" t="str">
        <f>VLOOKUP($B413,'[1]Plant data'!$A$1:$AB$315,19,0)</f>
        <v>NA</v>
      </c>
      <c r="AL413">
        <f>VLOOKUP($B413,'[1]Plant data'!$A$1:$AB$315,20,0)</f>
        <v>0.747</v>
      </c>
      <c r="AM413">
        <f>VLOOKUP($B413,'[1]Plant data'!$A$1:$AB$315,21,0)</f>
        <v>0.16600000000000001</v>
      </c>
      <c r="AN413">
        <f>VLOOKUP($B413,'[1]Plant data'!$A$1:$AB$315,22,0)</f>
        <v>0.03</v>
      </c>
      <c r="AO413" t="str">
        <f>VLOOKUP($B413,'[1]Plant data'!$A$1:$AB$315,23,0)</f>
        <v>NA</v>
      </c>
      <c r="AP413" t="str">
        <f>VLOOKUP($B413,'[1]Plant data'!$A$1:$AB$315,24,0)</f>
        <v>NA</v>
      </c>
      <c r="AQ413" t="str">
        <f>VLOOKUP($B413,'[1]Plant data'!$A$1:$AB$315,25,0)</f>
        <v>NA</v>
      </c>
      <c r="AR413" t="str">
        <f>VLOOKUP($B413,'[1]Plant data'!$A$1:$AB$315,26,0)</f>
        <v>NA</v>
      </c>
      <c r="AS413" t="str">
        <f>VLOOKUP($B413,'[1]Plant data'!$A$1:$AB$315,27,0)</f>
        <v>NA</v>
      </c>
      <c r="AT413" t="str">
        <f>VLOOKUP($B413,'[1]Plant data'!$A$1:$AB$315,28,0)</f>
        <v>Santana et al. 2013</v>
      </c>
    </row>
    <row r="414" spans="1:46">
      <c r="A414" s="5" t="s">
        <v>41</v>
      </c>
      <c r="B414" s="32" t="s">
        <v>60</v>
      </c>
      <c r="C414">
        <v>1</v>
      </c>
      <c r="D414">
        <v>254</v>
      </c>
      <c r="E414" s="8">
        <f t="shared" si="31"/>
        <v>3.937007874015748E-3</v>
      </c>
      <c r="F414" t="s">
        <v>19</v>
      </c>
      <c r="G414" s="9" t="s">
        <v>19</v>
      </c>
      <c r="H414" s="9"/>
      <c r="I414" s="8" t="s">
        <v>19</v>
      </c>
      <c r="J414" t="s">
        <v>52</v>
      </c>
      <c r="K414" t="s">
        <v>53</v>
      </c>
      <c r="L414" t="s">
        <v>22</v>
      </c>
      <c r="M414" t="s">
        <v>30</v>
      </c>
      <c r="N414" s="11">
        <v>39</v>
      </c>
      <c r="O414" s="11">
        <v>8.2839869279999991</v>
      </c>
      <c r="P414" t="s">
        <v>24</v>
      </c>
      <c r="Q414" t="s">
        <v>25</v>
      </c>
      <c r="R414" t="s">
        <v>26</v>
      </c>
      <c r="S414" t="s">
        <v>31</v>
      </c>
      <c r="T414" t="str">
        <f>VLOOKUP(B414,'[1]Plant data'!$A$1:$AB$315,2,0)</f>
        <v>Peraceae</v>
      </c>
      <c r="U414" t="str">
        <f>VLOOKUP($B414,'[1]Plant data'!$A$1:$AB$315,3,0)</f>
        <v>NA</v>
      </c>
      <c r="V414" t="str">
        <f>VLOOKUP($B414,'[1]Plant data'!$A$1:$AB$315,4,0)</f>
        <v>red</v>
      </c>
      <c r="W414" t="str">
        <f>VLOOKUP($B414,'[1]Plant data'!$A$1:$AB$315,5,0)</f>
        <v>YES</v>
      </c>
      <c r="X414">
        <f>VLOOKUP($B414,'[1]Plant data'!$A$1:$AB$315,6,0)</f>
        <v>3.4259999999999997</v>
      </c>
      <c r="Y414">
        <f>VLOOKUP($B414,'[1]Plant data'!$A$1:$AB$315,7,0)</f>
        <v>5.9160000000000004</v>
      </c>
      <c r="Z414">
        <f>VLOOKUP($B414,'[1]Plant data'!$A$1:$AB$315,8,0)</f>
        <v>2.98</v>
      </c>
      <c r="AA414">
        <f>VLOOKUP($B414,'[1]Plant data'!$A$1:$AB$315,9,0)</f>
        <v>4.5933333333333328</v>
      </c>
      <c r="AB414">
        <f>VLOOKUP($B414,'[1]Plant data'!$A$1:$AB$315,10,0)</f>
        <v>2.5499999999999998E-2</v>
      </c>
      <c r="AC414" t="str">
        <f>VLOOKUP($B414,'[1]Plant data'!$A$1:$AB$315,11,0)</f>
        <v>NA</v>
      </c>
      <c r="AD414">
        <f>VLOOKUP($B414,'[1]Plant data'!$A$1:$AB$315,12,0)</f>
        <v>2.41E-2</v>
      </c>
      <c r="AE414" t="str">
        <f>VLOOKUP($B414,'[1]Plant data'!$A$1:$AB$315,13,0)</f>
        <v>NA</v>
      </c>
      <c r="AF414" t="str">
        <f>VLOOKUP($B414,'[1]Plant data'!$A$1:$AB$315,14,0)</f>
        <v>NA</v>
      </c>
      <c r="AG414">
        <f>VLOOKUP($B414,'[1]Plant data'!$A$1:$AB$315,15,0)</f>
        <v>2.9249999999999998</v>
      </c>
      <c r="AH414" t="str">
        <f>VLOOKUP($B414,'[1]Plant data'!$A$1:$AB$315,16,0)</f>
        <v>NA</v>
      </c>
      <c r="AI414" t="str">
        <f>VLOOKUP($B414,'[1]Plant data'!$A$1:$AB$315,17,0)</f>
        <v>NA</v>
      </c>
      <c r="AJ414" t="str">
        <f>VLOOKUP($B414,'[1]Plant data'!$A$1:$AB$315,18,0)</f>
        <v>Passos &amp; Oliveira 2003, Santana et al. 2013, ATLANTIC, Angel-de-Oliveira 1999, Camargo 2014, Gondim 2002</v>
      </c>
      <c r="AK414" t="str">
        <f>VLOOKUP($B414,'[1]Plant data'!$A$1:$AB$315,19,0)</f>
        <v>NA</v>
      </c>
      <c r="AL414">
        <f>VLOOKUP($B414,'[1]Plant data'!$A$1:$AB$315,20,0)</f>
        <v>0.747</v>
      </c>
      <c r="AM414">
        <f>VLOOKUP($B414,'[1]Plant data'!$A$1:$AB$315,21,0)</f>
        <v>0.16600000000000001</v>
      </c>
      <c r="AN414">
        <f>VLOOKUP($B414,'[1]Plant data'!$A$1:$AB$315,22,0)</f>
        <v>0.03</v>
      </c>
      <c r="AO414" t="str">
        <f>VLOOKUP($B414,'[1]Plant data'!$A$1:$AB$315,23,0)</f>
        <v>NA</v>
      </c>
      <c r="AP414" t="str">
        <f>VLOOKUP($B414,'[1]Plant data'!$A$1:$AB$315,24,0)</f>
        <v>NA</v>
      </c>
      <c r="AQ414" t="str">
        <f>VLOOKUP($B414,'[1]Plant data'!$A$1:$AB$315,25,0)</f>
        <v>NA</v>
      </c>
      <c r="AR414" t="str">
        <f>VLOOKUP($B414,'[1]Plant data'!$A$1:$AB$315,26,0)</f>
        <v>NA</v>
      </c>
      <c r="AS414" t="str">
        <f>VLOOKUP($B414,'[1]Plant data'!$A$1:$AB$315,27,0)</f>
        <v>NA</v>
      </c>
      <c r="AT414" t="str">
        <f>VLOOKUP($B414,'[1]Plant data'!$A$1:$AB$315,28,0)</f>
        <v>Santana et al. 2013</v>
      </c>
    </row>
    <row r="415" spans="1:46">
      <c r="A415" s="5" t="s">
        <v>41</v>
      </c>
      <c r="B415" s="32" t="s">
        <v>187</v>
      </c>
      <c r="C415">
        <v>1</v>
      </c>
      <c r="D415">
        <v>2</v>
      </c>
      <c r="E415" s="8">
        <f>C415/2</f>
        <v>0.5</v>
      </c>
      <c r="F415" t="s">
        <v>19</v>
      </c>
      <c r="G415" s="9" t="s">
        <v>19</v>
      </c>
      <c r="H415" s="9"/>
      <c r="I415" s="8" t="s">
        <v>19</v>
      </c>
      <c r="J415" s="25" t="s">
        <v>180</v>
      </c>
      <c r="K415" s="25" t="s">
        <v>181</v>
      </c>
      <c r="L415" t="s">
        <v>22</v>
      </c>
      <c r="M415" t="s">
        <v>30</v>
      </c>
      <c r="N415" s="11">
        <v>39</v>
      </c>
      <c r="O415" s="11">
        <v>8.2839869279999991</v>
      </c>
      <c r="P415" t="s">
        <v>24</v>
      </c>
      <c r="Q415" t="s">
        <v>25</v>
      </c>
      <c r="R415" t="s">
        <v>26</v>
      </c>
      <c r="S415" t="s">
        <v>31</v>
      </c>
      <c r="T415" t="str">
        <f>VLOOKUP(B415,'[1]Plant data'!$A$1:$AB$315,2,0)</f>
        <v>Lauraceae</v>
      </c>
      <c r="U415" t="str">
        <f>VLOOKUP($B415,'[1]Plant data'!$A$1:$AB$315,3,0)</f>
        <v>Cinnamomum triplinerve</v>
      </c>
      <c r="V415" t="str">
        <f>VLOOKUP($B415,'[1]Plant data'!$A$1:$AB$315,4,0)</f>
        <v>black</v>
      </c>
      <c r="W415" t="str">
        <f>VLOOKUP($B415,'[1]Plant data'!$A$1:$AB$315,5,0)</f>
        <v>YES</v>
      </c>
      <c r="X415">
        <f>VLOOKUP($B415,'[1]Plant data'!$A$1:$AB$315,6,0)</f>
        <v>12</v>
      </c>
      <c r="Y415" t="str">
        <f>VLOOKUP($B415,'[1]Plant data'!$A$1:$AB$315,7,0)</f>
        <v>NA</v>
      </c>
      <c r="Z415" t="str">
        <f>VLOOKUP($B415,'[1]Plant data'!$A$1:$AB$315,8,0)</f>
        <v>NA</v>
      </c>
      <c r="AA415" t="str">
        <f>VLOOKUP($B415,'[1]Plant data'!$A$1:$AB$315,9,0)</f>
        <v>NA</v>
      </c>
      <c r="AB415">
        <f>VLOOKUP($B415,'[1]Plant data'!$A$1:$AB$315,10,0)</f>
        <v>1.38</v>
      </c>
      <c r="AC415" t="str">
        <f>VLOOKUP($B415,'[1]Plant data'!$A$1:$AB$315,11,0)</f>
        <v>NA</v>
      </c>
      <c r="AD415" t="str">
        <f>VLOOKUP($B415,'[1]Plant data'!$A$1:$AB$315,12,0)</f>
        <v>NA</v>
      </c>
      <c r="AE415">
        <f>VLOOKUP($B415,'[1]Plant data'!$A$1:$AB$315,13,0)</f>
        <v>0.221</v>
      </c>
      <c r="AF415">
        <f>VLOOKUP($B415,'[1]Plant data'!$A$1:$AB$315,14,0)</f>
        <v>0.221</v>
      </c>
      <c r="AG415">
        <f>VLOOKUP($B415,'[1]Plant data'!$A$1:$AB$315,15,0)</f>
        <v>1</v>
      </c>
      <c r="AH415" t="str">
        <f>VLOOKUP($B415,'[1]Plant data'!$A$1:$AB$315,16,0)</f>
        <v>NA</v>
      </c>
      <c r="AI415">
        <f>VLOOKUP($B415,'[1]Plant data'!$A$1:$AB$315,17,0)</f>
        <v>1</v>
      </c>
      <c r="AJ415" t="str">
        <f>VLOOKUP($B415,'[1]Plant data'!$A$1:$AB$315,18,0)</f>
        <v>FRUBASE</v>
      </c>
      <c r="AK415" t="str">
        <f>VLOOKUP($B415,'[1]Plant data'!$A$1:$AB$315,19,0)</f>
        <v>NA</v>
      </c>
      <c r="AL415">
        <f>VLOOKUP($B415,'[1]Plant data'!$A$1:$AB$315,20,0)</f>
        <v>0.28000000000000003</v>
      </c>
      <c r="AM415">
        <f>VLOOKUP($B415,'[1]Plant data'!$A$1:$AB$315,21,0)</f>
        <v>1.2E-2</v>
      </c>
      <c r="AN415" t="str">
        <f>VLOOKUP($B415,'[1]Plant data'!$A$1:$AB$315,22,0)</f>
        <v>NA</v>
      </c>
      <c r="AO415" t="str">
        <f>VLOOKUP($B415,'[1]Plant data'!$A$1:$AB$315,23,0)</f>
        <v>NA</v>
      </c>
      <c r="AP415">
        <f>VLOOKUP($B415,'[1]Plant data'!$A$1:$AB$315,24,0)</f>
        <v>0.09</v>
      </c>
      <c r="AQ415" t="str">
        <f>VLOOKUP($B415,'[1]Plant data'!$A$1:$AB$315,25,0)</f>
        <v>NA</v>
      </c>
      <c r="AR415" t="str">
        <f>VLOOKUP($B415,'[1]Plant data'!$A$1:$AB$315,26,0)</f>
        <v>NA</v>
      </c>
      <c r="AS415" t="str">
        <f>VLOOKUP($B415,'[1]Plant data'!$A$1:$AB$315,27,0)</f>
        <v>NA</v>
      </c>
      <c r="AT415" t="str">
        <f>VLOOKUP($B415,'[1]Plant data'!$A$1:$AB$315,28,0)</f>
        <v>FRUBASE</v>
      </c>
    </row>
    <row r="416" spans="1:46">
      <c r="A416" s="5" t="s">
        <v>43</v>
      </c>
      <c r="B416" s="32" t="s">
        <v>187</v>
      </c>
      <c r="C416">
        <v>1</v>
      </c>
      <c r="D416">
        <v>2</v>
      </c>
      <c r="E416" s="8">
        <f>C416/2</f>
        <v>0.5</v>
      </c>
      <c r="F416" t="s">
        <v>19</v>
      </c>
      <c r="G416" s="9" t="s">
        <v>19</v>
      </c>
      <c r="H416" s="9"/>
      <c r="I416" s="8" t="s">
        <v>19</v>
      </c>
      <c r="J416" s="24" t="s">
        <v>180</v>
      </c>
      <c r="K416" s="25" t="s">
        <v>181</v>
      </c>
      <c r="L416" t="s">
        <v>22</v>
      </c>
      <c r="M416" t="s">
        <v>30</v>
      </c>
      <c r="N416" s="11">
        <v>32.5</v>
      </c>
      <c r="O416" s="11">
        <v>8.9205555560000001</v>
      </c>
      <c r="P416" t="s">
        <v>24</v>
      </c>
      <c r="Q416" t="s">
        <v>25</v>
      </c>
      <c r="R416" t="s">
        <v>26</v>
      </c>
      <c r="S416" t="s">
        <v>31</v>
      </c>
      <c r="T416" t="str">
        <f>VLOOKUP(B416,'[1]Plant data'!$A$1:$AB$315,2,0)</f>
        <v>Lauraceae</v>
      </c>
      <c r="U416" t="str">
        <f>VLOOKUP($B416,'[1]Plant data'!$A$1:$AB$315,3,0)</f>
        <v>Cinnamomum triplinerve</v>
      </c>
      <c r="V416" t="str">
        <f>VLOOKUP($B416,'[1]Plant data'!$A$1:$AB$315,4,0)</f>
        <v>black</v>
      </c>
      <c r="W416" t="str">
        <f>VLOOKUP($B416,'[1]Plant data'!$A$1:$AB$315,5,0)</f>
        <v>YES</v>
      </c>
      <c r="X416">
        <f>VLOOKUP($B416,'[1]Plant data'!$A$1:$AB$315,6,0)</f>
        <v>12</v>
      </c>
      <c r="Y416" t="str">
        <f>VLOOKUP($B416,'[1]Plant data'!$A$1:$AB$315,7,0)</f>
        <v>NA</v>
      </c>
      <c r="Z416" t="str">
        <f>VLOOKUP($B416,'[1]Plant data'!$A$1:$AB$315,8,0)</f>
        <v>NA</v>
      </c>
      <c r="AA416" t="str">
        <f>VLOOKUP($B416,'[1]Plant data'!$A$1:$AB$315,9,0)</f>
        <v>NA</v>
      </c>
      <c r="AB416">
        <f>VLOOKUP($B416,'[1]Plant data'!$A$1:$AB$315,10,0)</f>
        <v>1.38</v>
      </c>
      <c r="AC416" t="str">
        <f>VLOOKUP($B416,'[1]Plant data'!$A$1:$AB$315,11,0)</f>
        <v>NA</v>
      </c>
      <c r="AD416" t="str">
        <f>VLOOKUP($B416,'[1]Plant data'!$A$1:$AB$315,12,0)</f>
        <v>NA</v>
      </c>
      <c r="AE416">
        <f>VLOOKUP($B416,'[1]Plant data'!$A$1:$AB$315,13,0)</f>
        <v>0.221</v>
      </c>
      <c r="AF416">
        <f>VLOOKUP($B416,'[1]Plant data'!$A$1:$AB$315,14,0)</f>
        <v>0.221</v>
      </c>
      <c r="AG416">
        <f>VLOOKUP($B416,'[1]Plant data'!$A$1:$AB$315,15,0)</f>
        <v>1</v>
      </c>
      <c r="AH416" t="str">
        <f>VLOOKUP($B416,'[1]Plant data'!$A$1:$AB$315,16,0)</f>
        <v>NA</v>
      </c>
      <c r="AI416">
        <f>VLOOKUP($B416,'[1]Plant data'!$A$1:$AB$315,17,0)</f>
        <v>1</v>
      </c>
      <c r="AJ416" t="str">
        <f>VLOOKUP($B416,'[1]Plant data'!$A$1:$AB$315,18,0)</f>
        <v>FRUBASE</v>
      </c>
      <c r="AK416" t="str">
        <f>VLOOKUP($B416,'[1]Plant data'!$A$1:$AB$315,19,0)</f>
        <v>NA</v>
      </c>
      <c r="AL416">
        <f>VLOOKUP($B416,'[1]Plant data'!$A$1:$AB$315,20,0)</f>
        <v>0.28000000000000003</v>
      </c>
      <c r="AM416">
        <f>VLOOKUP($B416,'[1]Plant data'!$A$1:$AB$315,21,0)</f>
        <v>1.2E-2</v>
      </c>
      <c r="AN416" t="str">
        <f>VLOOKUP($B416,'[1]Plant data'!$A$1:$AB$315,22,0)</f>
        <v>NA</v>
      </c>
      <c r="AO416" t="str">
        <f>VLOOKUP($B416,'[1]Plant data'!$A$1:$AB$315,23,0)</f>
        <v>NA</v>
      </c>
      <c r="AP416">
        <f>VLOOKUP($B416,'[1]Plant data'!$A$1:$AB$315,24,0)</f>
        <v>0.09</v>
      </c>
      <c r="AQ416" t="str">
        <f>VLOOKUP($B416,'[1]Plant data'!$A$1:$AB$315,25,0)</f>
        <v>NA</v>
      </c>
      <c r="AR416" t="str">
        <f>VLOOKUP($B416,'[1]Plant data'!$A$1:$AB$315,26,0)</f>
        <v>NA</v>
      </c>
      <c r="AS416" t="str">
        <f>VLOOKUP($B416,'[1]Plant data'!$A$1:$AB$315,27,0)</f>
        <v>NA</v>
      </c>
      <c r="AT416" t="str">
        <f>VLOOKUP($B416,'[1]Plant data'!$A$1:$AB$315,28,0)</f>
        <v>FRUBASE</v>
      </c>
    </row>
    <row r="417" spans="1:46">
      <c r="A417" s="5" t="s">
        <v>50</v>
      </c>
      <c r="B417" s="32" t="s">
        <v>187</v>
      </c>
      <c r="C417">
        <v>6</v>
      </c>
      <c r="D417">
        <v>2</v>
      </c>
      <c r="E417" s="8">
        <f>C417/2</f>
        <v>3</v>
      </c>
      <c r="F417" t="s">
        <v>19</v>
      </c>
      <c r="G417" s="19">
        <v>4</v>
      </c>
      <c r="H417" s="19"/>
      <c r="I417" s="8">
        <f t="shared" ref="I417:I422" si="32">E417*G417</f>
        <v>12</v>
      </c>
      <c r="J417" s="25" t="s">
        <v>180</v>
      </c>
      <c r="K417" s="25" t="s">
        <v>181</v>
      </c>
      <c r="L417" t="s">
        <v>22</v>
      </c>
      <c r="M417" t="s">
        <v>47</v>
      </c>
      <c r="N417" s="11">
        <v>69.5</v>
      </c>
      <c r="O417" s="11">
        <v>13.253214290000001</v>
      </c>
      <c r="P417" t="s">
        <v>48</v>
      </c>
      <c r="Q417" t="s">
        <v>25</v>
      </c>
      <c r="R417" t="s">
        <v>26</v>
      </c>
      <c r="S417" t="s">
        <v>31</v>
      </c>
      <c r="T417" t="str">
        <f>VLOOKUP(B417,'[1]Plant data'!$A$1:$AB$315,2,0)</f>
        <v>Lauraceae</v>
      </c>
      <c r="U417" t="str">
        <f>VLOOKUP($B417,'[1]Plant data'!$A$1:$AB$315,3,0)</f>
        <v>Cinnamomum triplinerve</v>
      </c>
      <c r="V417" t="str">
        <f>VLOOKUP($B417,'[1]Plant data'!$A$1:$AB$315,4,0)</f>
        <v>black</v>
      </c>
      <c r="W417" t="str">
        <f>VLOOKUP($B417,'[1]Plant data'!$A$1:$AB$315,5,0)</f>
        <v>YES</v>
      </c>
      <c r="X417">
        <f>VLOOKUP($B417,'[1]Plant data'!$A$1:$AB$315,6,0)</f>
        <v>12</v>
      </c>
      <c r="Y417" t="str">
        <f>VLOOKUP($B417,'[1]Plant data'!$A$1:$AB$315,7,0)</f>
        <v>NA</v>
      </c>
      <c r="Z417" t="str">
        <f>VLOOKUP($B417,'[1]Plant data'!$A$1:$AB$315,8,0)</f>
        <v>NA</v>
      </c>
      <c r="AA417" t="str">
        <f>VLOOKUP($B417,'[1]Plant data'!$A$1:$AB$315,9,0)</f>
        <v>NA</v>
      </c>
      <c r="AB417">
        <f>VLOOKUP($B417,'[1]Plant data'!$A$1:$AB$315,10,0)</f>
        <v>1.38</v>
      </c>
      <c r="AC417" t="str">
        <f>VLOOKUP($B417,'[1]Plant data'!$A$1:$AB$315,11,0)</f>
        <v>NA</v>
      </c>
      <c r="AD417" t="str">
        <f>VLOOKUP($B417,'[1]Plant data'!$A$1:$AB$315,12,0)</f>
        <v>NA</v>
      </c>
      <c r="AE417">
        <f>VLOOKUP($B417,'[1]Plant data'!$A$1:$AB$315,13,0)</f>
        <v>0.221</v>
      </c>
      <c r="AF417">
        <f>VLOOKUP($B417,'[1]Plant data'!$A$1:$AB$315,14,0)</f>
        <v>0.221</v>
      </c>
      <c r="AG417">
        <f>VLOOKUP($B417,'[1]Plant data'!$A$1:$AB$315,15,0)</f>
        <v>1</v>
      </c>
      <c r="AH417" t="str">
        <f>VLOOKUP($B417,'[1]Plant data'!$A$1:$AB$315,16,0)</f>
        <v>NA</v>
      </c>
      <c r="AI417">
        <f>VLOOKUP($B417,'[1]Plant data'!$A$1:$AB$315,17,0)</f>
        <v>1</v>
      </c>
      <c r="AJ417" t="str">
        <f>VLOOKUP($B417,'[1]Plant data'!$A$1:$AB$315,18,0)</f>
        <v>FRUBASE</v>
      </c>
      <c r="AK417" t="str">
        <f>VLOOKUP($B417,'[1]Plant data'!$A$1:$AB$315,19,0)</f>
        <v>NA</v>
      </c>
      <c r="AL417">
        <f>VLOOKUP($B417,'[1]Plant data'!$A$1:$AB$315,20,0)</f>
        <v>0.28000000000000003</v>
      </c>
      <c r="AM417">
        <f>VLOOKUP($B417,'[1]Plant data'!$A$1:$AB$315,21,0)</f>
        <v>1.2E-2</v>
      </c>
      <c r="AN417" t="str">
        <f>VLOOKUP($B417,'[1]Plant data'!$A$1:$AB$315,22,0)</f>
        <v>NA</v>
      </c>
      <c r="AO417" t="str">
        <f>VLOOKUP($B417,'[1]Plant data'!$A$1:$AB$315,23,0)</f>
        <v>NA</v>
      </c>
      <c r="AP417">
        <f>VLOOKUP($B417,'[1]Plant data'!$A$1:$AB$315,24,0)</f>
        <v>0.09</v>
      </c>
      <c r="AQ417" t="str">
        <f>VLOOKUP($B417,'[1]Plant data'!$A$1:$AB$315,25,0)</f>
        <v>NA</v>
      </c>
      <c r="AR417" t="str">
        <f>VLOOKUP($B417,'[1]Plant data'!$A$1:$AB$315,26,0)</f>
        <v>NA</v>
      </c>
      <c r="AS417" t="str">
        <f>VLOOKUP($B417,'[1]Plant data'!$A$1:$AB$315,27,0)</f>
        <v>NA</v>
      </c>
      <c r="AT417" t="str">
        <f>VLOOKUP($B417,'[1]Plant data'!$A$1:$AB$315,28,0)</f>
        <v>FRUBASE</v>
      </c>
    </row>
    <row r="418" spans="1:46">
      <c r="A418" s="18" t="s">
        <v>65</v>
      </c>
      <c r="B418" s="35" t="s">
        <v>218</v>
      </c>
      <c r="C418" s="7">
        <v>73</v>
      </c>
      <c r="D418" s="7">
        <v>40</v>
      </c>
      <c r="E418" s="8">
        <f>C418/D418</f>
        <v>1.825</v>
      </c>
      <c r="F418" t="s">
        <v>19</v>
      </c>
      <c r="G418" s="9">
        <v>19.899999999999999</v>
      </c>
      <c r="H418" s="9"/>
      <c r="I418" s="8">
        <f t="shared" si="32"/>
        <v>36.317499999999995</v>
      </c>
      <c r="J418" t="s">
        <v>219</v>
      </c>
      <c r="K418" t="s">
        <v>220</v>
      </c>
      <c r="L418" t="s">
        <v>22</v>
      </c>
      <c r="M418" t="s">
        <v>23</v>
      </c>
      <c r="N418" s="11">
        <v>11</v>
      </c>
      <c r="O418" s="11">
        <v>6.1466666669999999</v>
      </c>
      <c r="P418" t="s">
        <v>24</v>
      </c>
      <c r="Q418" t="s">
        <v>25</v>
      </c>
      <c r="R418" t="s">
        <v>26</v>
      </c>
      <c r="S418" s="13" t="s">
        <v>31</v>
      </c>
      <c r="T418" t="str">
        <f>VLOOKUP(B418,'[1]Plant data'!$A$1:$AB$315,2,0)</f>
        <v>Santalaceae</v>
      </c>
      <c r="U418" t="str">
        <f>VLOOKUP($B418,'[1]Plant data'!$A$1:$AB$315,3,0)</f>
        <v>NA</v>
      </c>
      <c r="V418" t="str">
        <f>VLOOKUP($B418,'[1]Plant data'!$A$1:$AB$315,4,0)</f>
        <v>NA</v>
      </c>
      <c r="W418" t="str">
        <f>VLOOKUP($B418,'[1]Plant data'!$A$1:$AB$315,5,0)</f>
        <v>YES</v>
      </c>
      <c r="X418">
        <f>VLOOKUP($B418,'[1]Plant data'!$A$1:$AB$315,6,0)</f>
        <v>3.3</v>
      </c>
      <c r="Y418">
        <f>VLOOKUP($B418,'[1]Plant data'!$A$1:$AB$315,7,0)</f>
        <v>4.2</v>
      </c>
      <c r="Z418" t="str">
        <f>VLOOKUP($B418,'[1]Plant data'!$A$1:$AB$315,8,0)</f>
        <v>NA</v>
      </c>
      <c r="AA418" t="str">
        <f>VLOOKUP($B418,'[1]Plant data'!$A$1:$AB$315,9,0)</f>
        <v>NA</v>
      </c>
      <c r="AB418" t="str">
        <f>VLOOKUP($B418,'[1]Plant data'!$A$1:$AB$315,10,0)</f>
        <v>NA</v>
      </c>
      <c r="AC418" t="str">
        <f>VLOOKUP($B418,'[1]Plant data'!$A$1:$AB$315,11,0)</f>
        <v>NA</v>
      </c>
      <c r="AD418" t="str">
        <f>VLOOKUP($B418,'[1]Plant data'!$A$1:$AB$315,12,0)</f>
        <v>NA</v>
      </c>
      <c r="AE418" t="str">
        <f>VLOOKUP($B418,'[1]Plant data'!$A$1:$AB$315,13,0)</f>
        <v>NA</v>
      </c>
      <c r="AF418" t="str">
        <f>VLOOKUP($B418,'[1]Plant data'!$A$1:$AB$315,14,0)</f>
        <v>NA</v>
      </c>
      <c r="AG418">
        <f>VLOOKUP($B418,'[1]Plant data'!$A$1:$AB$315,15,0)</f>
        <v>1</v>
      </c>
      <c r="AH418" t="str">
        <f>VLOOKUP($B418,'[1]Plant data'!$A$1:$AB$315,16,0)</f>
        <v>NA</v>
      </c>
      <c r="AI418" t="str">
        <f>VLOOKUP($B418,'[1]Plant data'!$A$1:$AB$315,17,0)</f>
        <v>NA</v>
      </c>
      <c r="AJ418" t="str">
        <f>VLOOKUP($B418,'[1]Plant data'!$A$1:$AB$315,18,0)</f>
        <v>Maruyama et al 2012 Flora</v>
      </c>
      <c r="AK418" t="str">
        <f>VLOOKUP($B418,'[1]Plant data'!$A$1:$AB$315,19,0)</f>
        <v>NA</v>
      </c>
      <c r="AL418" t="str">
        <f>VLOOKUP($B418,'[1]Plant data'!$A$1:$AB$315,20,0)</f>
        <v>NA</v>
      </c>
      <c r="AM418" t="str">
        <f>VLOOKUP($B418,'[1]Plant data'!$A$1:$AB$315,21,0)</f>
        <v>NA</v>
      </c>
      <c r="AN418" t="str">
        <f>VLOOKUP($B418,'[1]Plant data'!$A$1:$AB$315,22,0)</f>
        <v>NA</v>
      </c>
      <c r="AO418" t="str">
        <f>VLOOKUP($B418,'[1]Plant data'!$A$1:$AB$315,23,0)</f>
        <v>NA</v>
      </c>
      <c r="AP418" t="str">
        <f>VLOOKUP($B418,'[1]Plant data'!$A$1:$AB$315,24,0)</f>
        <v>NA</v>
      </c>
      <c r="AQ418" t="str">
        <f>VLOOKUP($B418,'[1]Plant data'!$A$1:$AB$315,25,0)</f>
        <v>NA</v>
      </c>
      <c r="AR418" t="str">
        <f>VLOOKUP($B418,'[1]Plant data'!$A$1:$AB$315,26,0)</f>
        <v>NA</v>
      </c>
      <c r="AS418" t="str">
        <f>VLOOKUP($B418,'[1]Plant data'!$A$1:$AB$315,27,0)</f>
        <v>NA</v>
      </c>
      <c r="AT418" t="str">
        <f>VLOOKUP($B418,'[1]Plant data'!$A$1:$AB$315,28,0)</f>
        <v>NA</v>
      </c>
    </row>
    <row r="419" spans="1:46">
      <c r="A419" s="18" t="s">
        <v>65</v>
      </c>
      <c r="B419" s="35" t="s">
        <v>218</v>
      </c>
      <c r="C419" s="7">
        <v>67</v>
      </c>
      <c r="D419" s="7">
        <v>40</v>
      </c>
      <c r="E419" s="8">
        <f>C419/D419</f>
        <v>1.675</v>
      </c>
      <c r="F419" t="s">
        <v>19</v>
      </c>
      <c r="G419" s="9">
        <v>21.3</v>
      </c>
      <c r="H419" s="9"/>
      <c r="I419" s="8">
        <f t="shared" si="32"/>
        <v>35.677500000000002</v>
      </c>
      <c r="J419" t="s">
        <v>221</v>
      </c>
      <c r="K419" t="s">
        <v>220</v>
      </c>
      <c r="L419" t="s">
        <v>22</v>
      </c>
      <c r="M419" t="s">
        <v>23</v>
      </c>
      <c r="N419" s="11">
        <v>11</v>
      </c>
      <c r="O419" s="11">
        <v>6.1466666669999999</v>
      </c>
      <c r="P419" t="s">
        <v>24</v>
      </c>
      <c r="Q419" t="s">
        <v>25</v>
      </c>
      <c r="R419" t="s">
        <v>26</v>
      </c>
      <c r="S419" s="13" t="s">
        <v>31</v>
      </c>
      <c r="T419" t="str">
        <f>VLOOKUP(B419,'[1]Plant data'!$A$1:$AB$315,2,0)</f>
        <v>Santalaceae</v>
      </c>
      <c r="U419" t="str">
        <f>VLOOKUP($B419,'[1]Plant data'!$A$1:$AB$315,3,0)</f>
        <v>NA</v>
      </c>
      <c r="V419" t="str">
        <f>VLOOKUP($B419,'[1]Plant data'!$A$1:$AB$315,4,0)</f>
        <v>NA</v>
      </c>
      <c r="W419" t="str">
        <f>VLOOKUP($B419,'[1]Plant data'!$A$1:$AB$315,5,0)</f>
        <v>YES</v>
      </c>
      <c r="X419">
        <f>VLOOKUP($B419,'[1]Plant data'!$A$1:$AB$315,6,0)</f>
        <v>3.3</v>
      </c>
      <c r="Y419">
        <f>VLOOKUP($B419,'[1]Plant data'!$A$1:$AB$315,7,0)</f>
        <v>4.2</v>
      </c>
      <c r="Z419" t="str">
        <f>VLOOKUP($B419,'[1]Plant data'!$A$1:$AB$315,8,0)</f>
        <v>NA</v>
      </c>
      <c r="AA419" t="str">
        <f>VLOOKUP($B419,'[1]Plant data'!$A$1:$AB$315,9,0)</f>
        <v>NA</v>
      </c>
      <c r="AB419" t="str">
        <f>VLOOKUP($B419,'[1]Plant data'!$A$1:$AB$315,10,0)</f>
        <v>NA</v>
      </c>
      <c r="AC419" t="str">
        <f>VLOOKUP($B419,'[1]Plant data'!$A$1:$AB$315,11,0)</f>
        <v>NA</v>
      </c>
      <c r="AD419" t="str">
        <f>VLOOKUP($B419,'[1]Plant data'!$A$1:$AB$315,12,0)</f>
        <v>NA</v>
      </c>
      <c r="AE419" t="str">
        <f>VLOOKUP($B419,'[1]Plant data'!$A$1:$AB$315,13,0)</f>
        <v>NA</v>
      </c>
      <c r="AF419" t="str">
        <f>VLOOKUP($B419,'[1]Plant data'!$A$1:$AB$315,14,0)</f>
        <v>NA</v>
      </c>
      <c r="AG419">
        <f>VLOOKUP($B419,'[1]Plant data'!$A$1:$AB$315,15,0)</f>
        <v>1</v>
      </c>
      <c r="AH419" t="str">
        <f>VLOOKUP($B419,'[1]Plant data'!$A$1:$AB$315,16,0)</f>
        <v>NA</v>
      </c>
      <c r="AI419" t="str">
        <f>VLOOKUP($B419,'[1]Plant data'!$A$1:$AB$315,17,0)</f>
        <v>NA</v>
      </c>
      <c r="AJ419" t="str">
        <f>VLOOKUP($B419,'[1]Plant data'!$A$1:$AB$315,18,0)</f>
        <v>Maruyama et al 2012 Flora</v>
      </c>
      <c r="AK419" t="str">
        <f>VLOOKUP($B419,'[1]Plant data'!$A$1:$AB$315,19,0)</f>
        <v>NA</v>
      </c>
      <c r="AL419" t="str">
        <f>VLOOKUP($B419,'[1]Plant data'!$A$1:$AB$315,20,0)</f>
        <v>NA</v>
      </c>
      <c r="AM419" t="str">
        <f>VLOOKUP($B419,'[1]Plant data'!$A$1:$AB$315,21,0)</f>
        <v>NA</v>
      </c>
      <c r="AN419" t="str">
        <f>VLOOKUP($B419,'[1]Plant data'!$A$1:$AB$315,22,0)</f>
        <v>NA</v>
      </c>
      <c r="AO419" t="str">
        <f>VLOOKUP($B419,'[1]Plant data'!$A$1:$AB$315,23,0)</f>
        <v>NA</v>
      </c>
      <c r="AP419" t="str">
        <f>VLOOKUP($B419,'[1]Plant data'!$A$1:$AB$315,24,0)</f>
        <v>NA</v>
      </c>
      <c r="AQ419" t="str">
        <f>VLOOKUP($B419,'[1]Plant data'!$A$1:$AB$315,25,0)</f>
        <v>NA</v>
      </c>
      <c r="AR419" t="str">
        <f>VLOOKUP($B419,'[1]Plant data'!$A$1:$AB$315,26,0)</f>
        <v>NA</v>
      </c>
      <c r="AS419" t="str">
        <f>VLOOKUP($B419,'[1]Plant data'!$A$1:$AB$315,27,0)</f>
        <v>NA</v>
      </c>
      <c r="AT419" t="str">
        <f>VLOOKUP($B419,'[1]Plant data'!$A$1:$AB$315,28,0)</f>
        <v>NA</v>
      </c>
    </row>
    <row r="420" spans="1:46">
      <c r="A420" s="21" t="s">
        <v>70</v>
      </c>
      <c r="B420" s="31" t="s">
        <v>223</v>
      </c>
      <c r="C420" s="16">
        <v>2</v>
      </c>
      <c r="D420" s="16">
        <v>32</v>
      </c>
      <c r="E420" s="23">
        <f>C420/32</f>
        <v>6.25E-2</v>
      </c>
      <c r="F420" s="16">
        <v>122</v>
      </c>
      <c r="G420" s="9">
        <f>F420/C420</f>
        <v>61</v>
      </c>
      <c r="H420" s="9"/>
      <c r="I420" s="8">
        <f t="shared" si="32"/>
        <v>3.8125</v>
      </c>
      <c r="J420" s="16" t="s">
        <v>224</v>
      </c>
      <c r="K420" s="16" t="s">
        <v>225</v>
      </c>
      <c r="L420" s="16" t="s">
        <v>22</v>
      </c>
      <c r="M420" s="16" t="s">
        <v>23</v>
      </c>
      <c r="N420" s="17">
        <v>15</v>
      </c>
      <c r="O420" s="17">
        <v>6.9235714289999999</v>
      </c>
      <c r="P420" s="16" t="s">
        <v>24</v>
      </c>
      <c r="Q420" s="16" t="s">
        <v>25</v>
      </c>
      <c r="R420" s="16" t="s">
        <v>26</v>
      </c>
      <c r="S420" s="16" t="s">
        <v>27</v>
      </c>
      <c r="T420" t="str">
        <f>VLOOKUP(B420,'[1]Plant data'!$A$1:$AB$315,2,0)</f>
        <v>Santalaceae</v>
      </c>
      <c r="U420" t="str">
        <f>VLOOKUP($B420,'[1]Plant data'!$A$1:$AB$315,3,0)</f>
        <v>NA</v>
      </c>
      <c r="V420" t="str">
        <f>VLOOKUP($B420,'[1]Plant data'!$A$1:$AB$315,4,0)</f>
        <v>yellow</v>
      </c>
      <c r="W420" t="str">
        <f>VLOOKUP($B420,'[1]Plant data'!$A$1:$AB$315,5,0)</f>
        <v>YES</v>
      </c>
      <c r="X420">
        <f>VLOOKUP($B420,'[1]Plant data'!$A$1:$AB$315,6,0)</f>
        <v>3.9666666666666668</v>
      </c>
      <c r="Y420">
        <f>VLOOKUP($B420,'[1]Plant data'!$A$1:$AB$315,7,0)</f>
        <v>4.7666666666666666</v>
      </c>
      <c r="Z420">
        <f>VLOOKUP($B420,'[1]Plant data'!$A$1:$AB$315,8,0)</f>
        <v>1.8</v>
      </c>
      <c r="AA420" t="str">
        <f>VLOOKUP($B420,'[1]Plant data'!$A$1:$AB$315,9,0)</f>
        <v>NA</v>
      </c>
      <c r="AB420">
        <f>VLOOKUP($B420,'[1]Plant data'!$A$1:$AB$315,10,0)</f>
        <v>0.04</v>
      </c>
      <c r="AC420" t="str">
        <f>VLOOKUP($B420,'[1]Plant data'!$A$1:$AB$315,11,0)</f>
        <v>NA</v>
      </c>
      <c r="AD420" t="str">
        <f>VLOOKUP($B420,'[1]Plant data'!$A$1:$AB$315,12,0)</f>
        <v>NA</v>
      </c>
      <c r="AE420" t="str">
        <f>VLOOKUP($B420,'[1]Plant data'!$A$1:$AB$315,13,0)</f>
        <v>NA</v>
      </c>
      <c r="AF420" t="str">
        <f>VLOOKUP($B420,'[1]Plant data'!$A$1:$AB$315,14,0)</f>
        <v>NA</v>
      </c>
      <c r="AG420">
        <f>VLOOKUP($B420,'[1]Plant data'!$A$1:$AB$315,15,0)</f>
        <v>1</v>
      </c>
      <c r="AH420" t="str">
        <f>VLOOKUP($B420,'[1]Plant data'!$A$1:$AB$315,16,0)</f>
        <v>NA</v>
      </c>
      <c r="AI420" t="str">
        <f>VLOOKUP($B420,'[1]Plant data'!$A$1:$AB$315,17,0)</f>
        <v>NA</v>
      </c>
      <c r="AJ420" t="str">
        <f>VLOOKUP($B420,'[1]Plant data'!$A$1:$AB$315,18,0)</f>
        <v>Motta Jr. 1981, Passos &amp; Oliveira 2003, Souza 2004</v>
      </c>
      <c r="AK420">
        <f>VLOOKUP($B420,'[1]Plant data'!$A$1:$AB$315,19,0)</f>
        <v>0.92200000000000004</v>
      </c>
      <c r="AL420" t="str">
        <f>VLOOKUP($B420,'[1]Plant data'!$A$1:$AB$315,20,0)</f>
        <v>NA</v>
      </c>
      <c r="AM420" t="str">
        <f>VLOOKUP($B420,'[1]Plant data'!$A$1:$AB$315,21,0)</f>
        <v>NA</v>
      </c>
      <c r="AN420" t="str">
        <f>VLOOKUP($B420,'[1]Plant data'!$A$1:$AB$315,22,0)</f>
        <v>NA</v>
      </c>
      <c r="AO420" t="str">
        <f>VLOOKUP($B420,'[1]Plant data'!$A$1:$AB$315,23,0)</f>
        <v>NA</v>
      </c>
      <c r="AP420" t="str">
        <f>VLOOKUP($B420,'[1]Plant data'!$A$1:$AB$315,24,0)</f>
        <v>NA</v>
      </c>
      <c r="AQ420" t="str">
        <f>VLOOKUP($B420,'[1]Plant data'!$A$1:$AB$315,25,0)</f>
        <v>NA</v>
      </c>
      <c r="AR420" t="str">
        <f>VLOOKUP($B420,'[1]Plant data'!$A$1:$AB$315,26,0)</f>
        <v>NA</v>
      </c>
      <c r="AS420" t="str">
        <f>VLOOKUP($B420,'[1]Plant data'!$A$1:$AB$315,27,0)</f>
        <v>NA</v>
      </c>
      <c r="AT420" t="str">
        <f>VLOOKUP($B420,'[1]Plant data'!$A$1:$AB$315,28,0)</f>
        <v>Motta Jr. 1981</v>
      </c>
    </row>
    <row r="421" spans="1:46">
      <c r="A421" s="5" t="s">
        <v>65</v>
      </c>
      <c r="B421" s="33" t="s">
        <v>66</v>
      </c>
      <c r="C421" s="7">
        <v>2</v>
      </c>
      <c r="D421" s="7">
        <v>14.2</v>
      </c>
      <c r="E421" s="8">
        <f>C421/D421</f>
        <v>0.14084507042253522</v>
      </c>
      <c r="F421" t="s">
        <v>19</v>
      </c>
      <c r="G421" s="41">
        <v>34.06666666666667</v>
      </c>
      <c r="H421" s="41"/>
      <c r="I421" s="8">
        <f t="shared" si="32"/>
        <v>4.7981220657276999</v>
      </c>
      <c r="J421" s="25" t="s">
        <v>67</v>
      </c>
      <c r="K421" s="25" t="s">
        <v>68</v>
      </c>
      <c r="L421" t="s">
        <v>22</v>
      </c>
      <c r="M421" t="s">
        <v>23</v>
      </c>
      <c r="N421" s="11">
        <v>11</v>
      </c>
      <c r="O421" s="11">
        <v>6.1466666669999999</v>
      </c>
      <c r="P421" t="s">
        <v>24</v>
      </c>
      <c r="Q421" t="s">
        <v>25</v>
      </c>
      <c r="R421" t="s">
        <v>26</v>
      </c>
      <c r="S421" s="13" t="s">
        <v>31</v>
      </c>
      <c r="T421" t="str">
        <f>VLOOKUP(B421,'[1]Plant data'!$A$1:$AB$315,2,0)</f>
        <v>Santalaceae</v>
      </c>
      <c r="U421" t="str">
        <f>VLOOKUP($B421,'[1]Plant data'!$A$1:$AB$315,3,0)</f>
        <v>NA</v>
      </c>
      <c r="V421" t="str">
        <f>VLOOKUP($B421,'[1]Plant data'!$A$1:$AB$315,4,0)</f>
        <v>yellow</v>
      </c>
      <c r="W421" t="str">
        <f>VLOOKUP($B421,'[1]Plant data'!$A$1:$AB$315,5,0)</f>
        <v>YES</v>
      </c>
      <c r="X421" t="str">
        <f>VLOOKUP($B421,'[1]Plant data'!$A$1:$AB$315,6,0)</f>
        <v>NA</v>
      </c>
      <c r="Y421" t="str">
        <f>VLOOKUP($B421,'[1]Plant data'!$A$1:$AB$315,7,0)</f>
        <v>NA</v>
      </c>
      <c r="Z421" t="str">
        <f>VLOOKUP($B421,'[1]Plant data'!$A$1:$AB$315,8,0)</f>
        <v>NA</v>
      </c>
      <c r="AA421" t="str">
        <f>VLOOKUP($B421,'[1]Plant data'!$A$1:$AB$315,9,0)</f>
        <v>NA</v>
      </c>
      <c r="AB421" t="str">
        <f>VLOOKUP($B421,'[1]Plant data'!$A$1:$AB$315,10,0)</f>
        <v>NA</v>
      </c>
      <c r="AC421" t="str">
        <f>VLOOKUP($B421,'[1]Plant data'!$A$1:$AB$315,11,0)</f>
        <v>NA</v>
      </c>
      <c r="AD421" t="str">
        <f>VLOOKUP($B421,'[1]Plant data'!$A$1:$AB$315,12,0)</f>
        <v>NA</v>
      </c>
      <c r="AE421" t="str">
        <f>VLOOKUP($B421,'[1]Plant data'!$A$1:$AB$315,13,0)</f>
        <v>NA</v>
      </c>
      <c r="AF421" t="str">
        <f>VLOOKUP($B421,'[1]Plant data'!$A$1:$AB$315,14,0)</f>
        <v>NA</v>
      </c>
      <c r="AG421" t="str">
        <f>VLOOKUP($B421,'[1]Plant data'!$A$1:$AB$315,15,0)</f>
        <v>NA</v>
      </c>
      <c r="AH421" t="str">
        <f>VLOOKUP($B421,'[1]Plant data'!$A$1:$AB$315,16,0)</f>
        <v>NA</v>
      </c>
      <c r="AI421" t="str">
        <f>VLOOKUP($B421,'[1]Plant data'!$A$1:$AB$315,17,0)</f>
        <v>NA</v>
      </c>
      <c r="AJ421" t="str">
        <f>VLOOKUP($B421,'[1]Plant data'!$A$1:$AB$315,18,0)</f>
        <v>NA</v>
      </c>
      <c r="AK421" t="str">
        <f>VLOOKUP($B421,'[1]Plant data'!$A$1:$AB$315,19,0)</f>
        <v>NA</v>
      </c>
      <c r="AL421" t="str">
        <f>VLOOKUP($B421,'[1]Plant data'!$A$1:$AB$315,20,0)</f>
        <v>NA</v>
      </c>
      <c r="AM421" t="str">
        <f>VLOOKUP($B421,'[1]Plant data'!$A$1:$AB$315,21,0)</f>
        <v>NA</v>
      </c>
      <c r="AN421" t="str">
        <f>VLOOKUP($B421,'[1]Plant data'!$A$1:$AB$315,22,0)</f>
        <v>NA</v>
      </c>
      <c r="AO421" t="str">
        <f>VLOOKUP($B421,'[1]Plant data'!$A$1:$AB$315,23,0)</f>
        <v>NA</v>
      </c>
      <c r="AP421" t="str">
        <f>VLOOKUP($B421,'[1]Plant data'!$A$1:$AB$315,24,0)</f>
        <v>NA</v>
      </c>
      <c r="AQ421" t="str">
        <f>VLOOKUP($B421,'[1]Plant data'!$A$1:$AB$315,25,0)</f>
        <v>NA</v>
      </c>
      <c r="AR421" t="str">
        <f>VLOOKUP($B421,'[1]Plant data'!$A$1:$AB$315,26,0)</f>
        <v>NA</v>
      </c>
      <c r="AS421" t="str">
        <f>VLOOKUP($B421,'[1]Plant data'!$A$1:$AB$315,27,0)</f>
        <v>NA</v>
      </c>
      <c r="AT421" t="str">
        <f>VLOOKUP($B421,'[1]Plant data'!$A$1:$AB$315,28,0)</f>
        <v>NA</v>
      </c>
    </row>
    <row r="422" spans="1:46">
      <c r="A422" s="5" t="s">
        <v>70</v>
      </c>
      <c r="B422" s="33" t="s">
        <v>66</v>
      </c>
      <c r="C422">
        <v>1</v>
      </c>
      <c r="D422" s="7">
        <v>14.2</v>
      </c>
      <c r="E422" s="8">
        <f>C422/14.2</f>
        <v>7.0422535211267609E-2</v>
      </c>
      <c r="F422" t="s">
        <v>19</v>
      </c>
      <c r="G422" s="41">
        <v>34.06666666666667</v>
      </c>
      <c r="H422" s="41"/>
      <c r="I422" s="8">
        <f t="shared" si="32"/>
        <v>2.39906103286385</v>
      </c>
      <c r="J422" s="25" t="s">
        <v>67</v>
      </c>
      <c r="K422" s="25" t="s">
        <v>68</v>
      </c>
      <c r="L422" t="s">
        <v>22</v>
      </c>
      <c r="M422" t="s">
        <v>23</v>
      </c>
      <c r="N422" s="11">
        <v>15</v>
      </c>
      <c r="O422" s="11">
        <v>6.9235714289999999</v>
      </c>
      <c r="P422" t="s">
        <v>24</v>
      </c>
      <c r="Q422" t="s">
        <v>25</v>
      </c>
      <c r="R422" t="s">
        <v>26</v>
      </c>
      <c r="S422" t="s">
        <v>27</v>
      </c>
      <c r="T422" t="str">
        <f>VLOOKUP(B422,'[1]Plant data'!$A$1:$AB$315,2,0)</f>
        <v>Santalaceae</v>
      </c>
      <c r="U422" t="str">
        <f>VLOOKUP($B422,'[1]Plant data'!$A$1:$AB$315,3,0)</f>
        <v>NA</v>
      </c>
      <c r="V422" t="str">
        <f>VLOOKUP($B422,'[1]Plant data'!$A$1:$AB$315,4,0)</f>
        <v>yellow</v>
      </c>
      <c r="W422" t="str">
        <f>VLOOKUP($B422,'[1]Plant data'!$A$1:$AB$315,5,0)</f>
        <v>YES</v>
      </c>
      <c r="X422" t="str">
        <f>VLOOKUP($B422,'[1]Plant data'!$A$1:$AB$315,6,0)</f>
        <v>NA</v>
      </c>
      <c r="Y422" t="str">
        <f>VLOOKUP($B422,'[1]Plant data'!$A$1:$AB$315,7,0)</f>
        <v>NA</v>
      </c>
      <c r="Z422" t="str">
        <f>VLOOKUP($B422,'[1]Plant data'!$A$1:$AB$315,8,0)</f>
        <v>NA</v>
      </c>
      <c r="AA422" t="str">
        <f>VLOOKUP($B422,'[1]Plant data'!$A$1:$AB$315,9,0)</f>
        <v>NA</v>
      </c>
      <c r="AB422" t="str">
        <f>VLOOKUP($B422,'[1]Plant data'!$A$1:$AB$315,10,0)</f>
        <v>NA</v>
      </c>
      <c r="AC422" t="str">
        <f>VLOOKUP($B422,'[1]Plant data'!$A$1:$AB$315,11,0)</f>
        <v>NA</v>
      </c>
      <c r="AD422" t="str">
        <f>VLOOKUP($B422,'[1]Plant data'!$A$1:$AB$315,12,0)</f>
        <v>NA</v>
      </c>
      <c r="AE422" t="str">
        <f>VLOOKUP($B422,'[1]Plant data'!$A$1:$AB$315,13,0)</f>
        <v>NA</v>
      </c>
      <c r="AF422" t="str">
        <f>VLOOKUP($B422,'[1]Plant data'!$A$1:$AB$315,14,0)</f>
        <v>NA</v>
      </c>
      <c r="AG422" t="str">
        <f>VLOOKUP($B422,'[1]Plant data'!$A$1:$AB$315,15,0)</f>
        <v>NA</v>
      </c>
      <c r="AH422" t="str">
        <f>VLOOKUP($B422,'[1]Plant data'!$A$1:$AB$315,16,0)</f>
        <v>NA</v>
      </c>
      <c r="AI422" t="str">
        <f>VLOOKUP($B422,'[1]Plant data'!$A$1:$AB$315,17,0)</f>
        <v>NA</v>
      </c>
      <c r="AJ422" t="str">
        <f>VLOOKUP($B422,'[1]Plant data'!$A$1:$AB$315,18,0)</f>
        <v>NA</v>
      </c>
      <c r="AK422" t="str">
        <f>VLOOKUP($B422,'[1]Plant data'!$A$1:$AB$315,19,0)</f>
        <v>NA</v>
      </c>
      <c r="AL422" t="str">
        <f>VLOOKUP($B422,'[1]Plant data'!$A$1:$AB$315,20,0)</f>
        <v>NA</v>
      </c>
      <c r="AM422" t="str">
        <f>VLOOKUP($B422,'[1]Plant data'!$A$1:$AB$315,21,0)</f>
        <v>NA</v>
      </c>
      <c r="AN422" t="str">
        <f>VLOOKUP($B422,'[1]Plant data'!$A$1:$AB$315,22,0)</f>
        <v>NA</v>
      </c>
      <c r="AO422" t="str">
        <f>VLOOKUP($B422,'[1]Plant data'!$A$1:$AB$315,23,0)</f>
        <v>NA</v>
      </c>
      <c r="AP422" t="str">
        <f>VLOOKUP($B422,'[1]Plant data'!$A$1:$AB$315,24,0)</f>
        <v>NA</v>
      </c>
      <c r="AQ422" t="str">
        <f>VLOOKUP($B422,'[1]Plant data'!$A$1:$AB$315,25,0)</f>
        <v>NA</v>
      </c>
      <c r="AR422" t="str">
        <f>VLOOKUP($B422,'[1]Plant data'!$A$1:$AB$315,26,0)</f>
        <v>NA</v>
      </c>
      <c r="AS422" t="str">
        <f>VLOOKUP($B422,'[1]Plant data'!$A$1:$AB$315,27,0)</f>
        <v>NA</v>
      </c>
      <c r="AT422" t="str">
        <f>VLOOKUP($B422,'[1]Plant data'!$A$1:$AB$315,28,0)</f>
        <v>NA</v>
      </c>
    </row>
    <row r="423" spans="1:46">
      <c r="A423" s="5" t="s">
        <v>110</v>
      </c>
      <c r="B423" s="34" t="s">
        <v>165</v>
      </c>
      <c r="C423">
        <v>1</v>
      </c>
      <c r="D423" t="s">
        <v>19</v>
      </c>
      <c r="E423" s="9" t="s">
        <v>19</v>
      </c>
      <c r="F423" s="9" t="s">
        <v>19</v>
      </c>
      <c r="G423" s="9" t="s">
        <v>19</v>
      </c>
      <c r="H423" s="9"/>
      <c r="I423" s="8" t="s">
        <v>19</v>
      </c>
      <c r="J423" t="s">
        <v>157</v>
      </c>
      <c r="K423" t="s">
        <v>123</v>
      </c>
      <c r="L423" t="s">
        <v>100</v>
      </c>
      <c r="M423" t="s">
        <v>101</v>
      </c>
      <c r="N423" s="11">
        <v>1250</v>
      </c>
      <c r="O423" s="11">
        <v>19.114999999999998</v>
      </c>
      <c r="P423" t="s">
        <v>48</v>
      </c>
      <c r="Q423" t="s">
        <v>95</v>
      </c>
      <c r="R423" t="s">
        <v>114</v>
      </c>
      <c r="S423" t="s">
        <v>27</v>
      </c>
      <c r="T423" t="str">
        <f>VLOOKUP(B423,'[1]Plant data'!$A$1:$AB$315,2,0)</f>
        <v>Phytolaccaceae</v>
      </c>
      <c r="U423" t="str">
        <f>VLOOKUP($B423,'[1]Plant data'!$A$1:$AB$315,3,0)</f>
        <v>NA</v>
      </c>
      <c r="V423" t="str">
        <f>VLOOKUP($B423,'[1]Plant data'!$A$1:$AB$315,4,0)</f>
        <v>yellow</v>
      </c>
      <c r="W423" t="str">
        <f>VLOOKUP($B423,'[1]Plant data'!$A$1:$AB$315,5,0)</f>
        <v>YES</v>
      </c>
      <c r="X423">
        <f>VLOOKUP($B423,'[1]Plant data'!$A$1:$AB$315,6,0)</f>
        <v>8.1933333333333334</v>
      </c>
      <c r="Y423">
        <f>VLOOKUP($B423,'[1]Plant data'!$A$1:$AB$315,7,0)</f>
        <v>10.950000000000001</v>
      </c>
      <c r="Z423">
        <f>VLOOKUP($B423,'[1]Plant data'!$A$1:$AB$315,8,0)</f>
        <v>2.39</v>
      </c>
      <c r="AA423">
        <f>VLOOKUP($B423,'[1]Plant data'!$A$1:$AB$315,9,0)</f>
        <v>3.0949999999999998</v>
      </c>
      <c r="AB423">
        <f>VLOOKUP($B423,'[1]Plant data'!$A$1:$AB$315,10,0)</f>
        <v>0.26229999999999998</v>
      </c>
      <c r="AC423" t="str">
        <f>VLOOKUP($B423,'[1]Plant data'!$A$1:$AB$315,11,0)</f>
        <v>NA</v>
      </c>
      <c r="AD423">
        <f>VLOOKUP($B423,'[1]Plant data'!$A$1:$AB$315,12,0)</f>
        <v>5.4999999999999997E-3</v>
      </c>
      <c r="AE423">
        <f>VLOOKUP($B423,'[1]Plant data'!$A$1:$AB$315,13,0)</f>
        <v>0.19400000000000001</v>
      </c>
      <c r="AF423">
        <f>VLOOKUP($B423,'[1]Plant data'!$A$1:$AB$315,14,0)</f>
        <v>3.0599999999999999E-2</v>
      </c>
      <c r="AG423">
        <f>VLOOKUP($B423,'[1]Plant data'!$A$1:$AB$315,15,0)</f>
        <v>8.6999999999999993</v>
      </c>
      <c r="AH423" t="str">
        <f>VLOOKUP($B423,'[1]Plant data'!$A$1:$AB$315,16,0)</f>
        <v>NA</v>
      </c>
      <c r="AI423">
        <f>VLOOKUP($B423,'[1]Plant data'!$A$1:$AB$315,17,0)</f>
        <v>6.3398692810457522</v>
      </c>
      <c r="AJ423" t="str">
        <f>VLOOKUP($B423,'[1]Plant data'!$A$1:$AB$315,18,0)</f>
        <v>ATLANTIC, Erica&amp;Wesley, Intervales_morfo</v>
      </c>
      <c r="AK423">
        <f>VLOOKUP($B423,'[1]Plant data'!$A$1:$AB$315,19,0)</f>
        <v>0.65799999999999992</v>
      </c>
      <c r="AL423">
        <f>VLOOKUP($B423,'[1]Plant data'!$A$1:$AB$315,20,0)</f>
        <v>4.8464657602406536E-2</v>
      </c>
      <c r="AM423">
        <f>VLOOKUP($B423,'[1]Plant data'!$A$1:$AB$315,21,0)</f>
        <v>0.1175085</v>
      </c>
      <c r="AN423">
        <f>VLOOKUP($B423,'[1]Plant data'!$A$1:$AB$315,22,0)</f>
        <v>9.0419688574244164E-2</v>
      </c>
      <c r="AO423">
        <f>VLOOKUP($B423,'[1]Plant data'!$A$1:$AB$315,23,0)</f>
        <v>0.39032796540339298</v>
      </c>
      <c r="AP423" t="str">
        <f>VLOOKUP($B423,'[1]Plant data'!$A$1:$AB$315,24,0)</f>
        <v>NA</v>
      </c>
      <c r="AQ423">
        <f>VLOOKUP($B423,'[1]Plant data'!$A$1:$AB$315,25,0)</f>
        <v>0.72599999999999998</v>
      </c>
      <c r="AR423">
        <f>VLOOKUP($B423,'[1]Plant data'!$A$1:$AB$315,26,0)</f>
        <v>6.3E-2</v>
      </c>
      <c r="AS423" t="str">
        <f>VLOOKUP($B423,'[1]Plant data'!$A$1:$AB$315,27,0)</f>
        <v>NA</v>
      </c>
      <c r="AT423" t="str">
        <f>VLOOKUP($B423,'[1]Plant data'!$A$1:$AB$315,28,0)</f>
        <v>Erica &amp; Wesley, unpubl., Saibadela</v>
      </c>
    </row>
    <row r="424" spans="1:46">
      <c r="A424" s="21" t="s">
        <v>70</v>
      </c>
      <c r="B424" s="31" t="s">
        <v>226</v>
      </c>
      <c r="C424" s="16">
        <v>2</v>
      </c>
      <c r="D424" s="16">
        <v>32</v>
      </c>
      <c r="E424" s="23">
        <f>C424/32</f>
        <v>6.25E-2</v>
      </c>
      <c r="F424" s="16">
        <v>0.2</v>
      </c>
      <c r="G424" s="19">
        <v>0.1</v>
      </c>
      <c r="H424" s="27"/>
      <c r="I424" s="8">
        <f t="shared" ref="I424:I430" si="33">E424*G424</f>
        <v>6.2500000000000003E-3</v>
      </c>
      <c r="J424" s="16" t="s">
        <v>224</v>
      </c>
      <c r="K424" s="16" t="s">
        <v>225</v>
      </c>
      <c r="L424" s="16" t="s">
        <v>22</v>
      </c>
      <c r="M424" s="16" t="s">
        <v>23</v>
      </c>
      <c r="N424" s="17">
        <v>15</v>
      </c>
      <c r="O424" s="17">
        <v>6.9235714289999999</v>
      </c>
      <c r="P424" s="16" t="s">
        <v>24</v>
      </c>
      <c r="Q424" s="16" t="s">
        <v>25</v>
      </c>
      <c r="R424" s="16" t="s">
        <v>26</v>
      </c>
      <c r="S424" s="16" t="s">
        <v>27</v>
      </c>
      <c r="T424" t="str">
        <f>VLOOKUP(B424,'[1]Plant data'!$A$1:$AB$315,2,0)</f>
        <v>Piperaceae</v>
      </c>
      <c r="U424" t="str">
        <f>VLOOKUP($B424,'[1]Plant data'!$A$1:$AB$315,3,0)</f>
        <v>NA</v>
      </c>
      <c r="V424" t="str">
        <f>VLOOKUP($B424,'[1]Plant data'!$A$1:$AB$315,4,0)</f>
        <v>green</v>
      </c>
      <c r="W424" t="str">
        <f>VLOOKUP($B424,'[1]Plant data'!$A$1:$AB$315,5,0)</f>
        <v>YES</v>
      </c>
      <c r="X424">
        <f>VLOOKUP($B424,'[1]Plant data'!$A$1:$AB$315,6,0)</f>
        <v>8.1</v>
      </c>
      <c r="Y424">
        <f>VLOOKUP($B424,'[1]Plant data'!$A$1:$AB$315,7,0)</f>
        <v>188.5</v>
      </c>
      <c r="Z424">
        <f>VLOOKUP($B424,'[1]Plant data'!$A$1:$AB$315,8,0)</f>
        <v>1</v>
      </c>
      <c r="AA424" t="str">
        <f>VLOOKUP($B424,'[1]Plant data'!$A$1:$AB$315,9,0)</f>
        <v>NA</v>
      </c>
      <c r="AB424">
        <f>VLOOKUP($B424,'[1]Plant data'!$A$1:$AB$315,10,0)</f>
        <v>9.56</v>
      </c>
      <c r="AC424" t="str">
        <f>VLOOKUP($B424,'[1]Plant data'!$A$1:$AB$315,11,0)</f>
        <v>NA</v>
      </c>
      <c r="AD424" t="str">
        <f>VLOOKUP($B424,'[1]Plant data'!$A$1:$AB$315,12,0)</f>
        <v>NA</v>
      </c>
      <c r="AE424" t="str">
        <f>VLOOKUP($B424,'[1]Plant data'!$A$1:$AB$315,13,0)</f>
        <v>NA</v>
      </c>
      <c r="AF424" t="str">
        <f>VLOOKUP($B424,'[1]Plant data'!$A$1:$AB$315,14,0)</f>
        <v>NA</v>
      </c>
      <c r="AG424">
        <f>VLOOKUP($B424,'[1]Plant data'!$A$1:$AB$315,15,0)</f>
        <v>938</v>
      </c>
      <c r="AH424" t="str">
        <f>VLOOKUP($B424,'[1]Plant data'!$A$1:$AB$315,16,0)</f>
        <v>NA</v>
      </c>
      <c r="AI424" t="str">
        <f>VLOOKUP($B424,'[1]Plant data'!$A$1:$AB$315,17,0)</f>
        <v>NA</v>
      </c>
      <c r="AJ424" t="str">
        <f>VLOOKUP($B424,'[1]Plant data'!$A$1:$AB$315,18,0)</f>
        <v>Motta Jr. 1981</v>
      </c>
      <c r="AK424">
        <f>VLOOKUP($B424,'[1]Plant data'!$A$1:$AB$315,19,0)</f>
        <v>0.89600000000000002</v>
      </c>
      <c r="AL424">
        <f>VLOOKUP($B424,'[1]Plant data'!$A$1:$AB$315,20,0)</f>
        <v>2.1999999999999999E-2</v>
      </c>
      <c r="AM424" t="str">
        <f>VLOOKUP($B424,'[1]Plant data'!$A$1:$AB$315,21,0)</f>
        <v>NA</v>
      </c>
      <c r="AN424" t="str">
        <f>VLOOKUP($B424,'[1]Plant data'!$A$1:$AB$315,22,0)</f>
        <v>NA</v>
      </c>
      <c r="AO424" t="str">
        <f>VLOOKUP($B424,'[1]Plant data'!$A$1:$AB$315,23,0)</f>
        <v>NA</v>
      </c>
      <c r="AP424" t="str">
        <f>VLOOKUP($B424,'[1]Plant data'!$A$1:$AB$315,24,0)</f>
        <v>NA</v>
      </c>
      <c r="AQ424" t="str">
        <f>VLOOKUP($B424,'[1]Plant data'!$A$1:$AB$315,25,0)</f>
        <v>NA</v>
      </c>
      <c r="AR424" t="str">
        <f>VLOOKUP($B424,'[1]Plant data'!$A$1:$AB$315,26,0)</f>
        <v>NA</v>
      </c>
      <c r="AS424" t="str">
        <f>VLOOKUP($B424,'[1]Plant data'!$A$1:$AB$315,27,0)</f>
        <v>NA</v>
      </c>
      <c r="AT424" t="str">
        <f>VLOOKUP($B424,'[1]Plant data'!$A$1:$AB$315,28,0)</f>
        <v>Motta Jr. 1981</v>
      </c>
    </row>
    <row r="425" spans="1:46">
      <c r="A425" s="21" t="s">
        <v>41</v>
      </c>
      <c r="B425" s="31" t="s">
        <v>226</v>
      </c>
      <c r="C425" s="16">
        <v>17</v>
      </c>
      <c r="D425" s="16">
        <v>32</v>
      </c>
      <c r="E425" s="23">
        <f>C425/32</f>
        <v>0.53125</v>
      </c>
      <c r="F425" s="16">
        <v>6.4</v>
      </c>
      <c r="G425" s="19">
        <v>0.4</v>
      </c>
      <c r="H425" s="19"/>
      <c r="I425" s="8">
        <f t="shared" si="33"/>
        <v>0.21250000000000002</v>
      </c>
      <c r="J425" s="16" t="s">
        <v>224</v>
      </c>
      <c r="K425" s="16" t="s">
        <v>225</v>
      </c>
      <c r="L425" s="16" t="s">
        <v>22</v>
      </c>
      <c r="M425" s="16" t="s">
        <v>30</v>
      </c>
      <c r="N425" s="17">
        <v>39</v>
      </c>
      <c r="O425" s="17">
        <v>8.2839869279999991</v>
      </c>
      <c r="P425" s="16" t="s">
        <v>24</v>
      </c>
      <c r="Q425" s="16" t="s">
        <v>25</v>
      </c>
      <c r="R425" s="16" t="s">
        <v>26</v>
      </c>
      <c r="S425" s="16" t="s">
        <v>31</v>
      </c>
      <c r="T425" t="str">
        <f>VLOOKUP(B425,'[1]Plant data'!$A$1:$AB$315,2,0)</f>
        <v>Piperaceae</v>
      </c>
      <c r="U425" t="str">
        <f>VLOOKUP($B425,'[1]Plant data'!$A$1:$AB$315,3,0)</f>
        <v>NA</v>
      </c>
      <c r="V425" t="str">
        <f>VLOOKUP($B425,'[1]Plant data'!$A$1:$AB$315,4,0)</f>
        <v>green</v>
      </c>
      <c r="W425" t="str">
        <f>VLOOKUP($B425,'[1]Plant data'!$A$1:$AB$315,5,0)</f>
        <v>YES</v>
      </c>
      <c r="X425">
        <f>VLOOKUP($B425,'[1]Plant data'!$A$1:$AB$315,6,0)</f>
        <v>8.1</v>
      </c>
      <c r="Y425">
        <f>VLOOKUP($B425,'[1]Plant data'!$A$1:$AB$315,7,0)</f>
        <v>188.5</v>
      </c>
      <c r="Z425">
        <f>VLOOKUP($B425,'[1]Plant data'!$A$1:$AB$315,8,0)</f>
        <v>1</v>
      </c>
      <c r="AA425" t="str">
        <f>VLOOKUP($B425,'[1]Plant data'!$A$1:$AB$315,9,0)</f>
        <v>NA</v>
      </c>
      <c r="AB425">
        <f>VLOOKUP($B425,'[1]Plant data'!$A$1:$AB$315,10,0)</f>
        <v>9.56</v>
      </c>
      <c r="AC425" t="str">
        <f>VLOOKUP($B425,'[1]Plant data'!$A$1:$AB$315,11,0)</f>
        <v>NA</v>
      </c>
      <c r="AD425" t="str">
        <f>VLOOKUP($B425,'[1]Plant data'!$A$1:$AB$315,12,0)</f>
        <v>NA</v>
      </c>
      <c r="AE425" t="str">
        <f>VLOOKUP($B425,'[1]Plant data'!$A$1:$AB$315,13,0)</f>
        <v>NA</v>
      </c>
      <c r="AF425" t="str">
        <f>VLOOKUP($B425,'[1]Plant data'!$A$1:$AB$315,14,0)</f>
        <v>NA</v>
      </c>
      <c r="AG425">
        <f>VLOOKUP($B425,'[1]Plant data'!$A$1:$AB$315,15,0)</f>
        <v>938</v>
      </c>
      <c r="AH425" t="str">
        <f>VLOOKUP($B425,'[1]Plant data'!$A$1:$AB$315,16,0)</f>
        <v>NA</v>
      </c>
      <c r="AI425" t="str">
        <f>VLOOKUP($B425,'[1]Plant data'!$A$1:$AB$315,17,0)</f>
        <v>NA</v>
      </c>
      <c r="AJ425" t="str">
        <f>VLOOKUP($B425,'[1]Plant data'!$A$1:$AB$315,18,0)</f>
        <v>Motta Jr. 1981</v>
      </c>
      <c r="AK425">
        <f>VLOOKUP($B425,'[1]Plant data'!$A$1:$AB$315,19,0)</f>
        <v>0.89600000000000002</v>
      </c>
      <c r="AL425">
        <f>VLOOKUP($B425,'[1]Plant data'!$A$1:$AB$315,20,0)</f>
        <v>2.1999999999999999E-2</v>
      </c>
      <c r="AM425" t="str">
        <f>VLOOKUP($B425,'[1]Plant data'!$A$1:$AB$315,21,0)</f>
        <v>NA</v>
      </c>
      <c r="AN425" t="str">
        <f>VLOOKUP($B425,'[1]Plant data'!$A$1:$AB$315,22,0)</f>
        <v>NA</v>
      </c>
      <c r="AO425" t="str">
        <f>VLOOKUP($B425,'[1]Plant data'!$A$1:$AB$315,23,0)</f>
        <v>NA</v>
      </c>
      <c r="AP425" t="str">
        <f>VLOOKUP($B425,'[1]Plant data'!$A$1:$AB$315,24,0)</f>
        <v>NA</v>
      </c>
      <c r="AQ425" t="str">
        <f>VLOOKUP($B425,'[1]Plant data'!$A$1:$AB$315,25,0)</f>
        <v>NA</v>
      </c>
      <c r="AR425" t="str">
        <f>VLOOKUP($B425,'[1]Plant data'!$A$1:$AB$315,26,0)</f>
        <v>NA</v>
      </c>
      <c r="AS425" t="str">
        <f>VLOOKUP($B425,'[1]Plant data'!$A$1:$AB$315,27,0)</f>
        <v>NA</v>
      </c>
      <c r="AT425" t="str">
        <f>VLOOKUP($B425,'[1]Plant data'!$A$1:$AB$315,28,0)</f>
        <v>Motta Jr. 1981</v>
      </c>
    </row>
    <row r="426" spans="1:46">
      <c r="A426" s="21" t="s">
        <v>43</v>
      </c>
      <c r="B426" s="31" t="s">
        <v>226</v>
      </c>
      <c r="C426" s="16">
        <v>12</v>
      </c>
      <c r="D426" s="16">
        <v>32</v>
      </c>
      <c r="E426" s="23">
        <f>C426/32</f>
        <v>0.375</v>
      </c>
      <c r="F426" s="16">
        <v>4.4000000000000004</v>
      </c>
      <c r="G426" s="19">
        <v>0.4</v>
      </c>
      <c r="H426" s="19"/>
      <c r="I426" s="8">
        <f t="shared" si="33"/>
        <v>0.15000000000000002</v>
      </c>
      <c r="J426" s="16" t="s">
        <v>224</v>
      </c>
      <c r="K426" s="16" t="s">
        <v>225</v>
      </c>
      <c r="L426" s="16" t="s">
        <v>22</v>
      </c>
      <c r="M426" s="16" t="s">
        <v>30</v>
      </c>
      <c r="N426" s="17">
        <v>32.5</v>
      </c>
      <c r="O426" s="17">
        <v>8.9205555560000001</v>
      </c>
      <c r="P426" s="16" t="s">
        <v>24</v>
      </c>
      <c r="Q426" s="16" t="s">
        <v>25</v>
      </c>
      <c r="R426" s="16" t="s">
        <v>26</v>
      </c>
      <c r="S426" s="16" t="s">
        <v>31</v>
      </c>
      <c r="T426" t="str">
        <f>VLOOKUP(B426,'[1]Plant data'!$A$1:$AB$315,2,0)</f>
        <v>Piperaceae</v>
      </c>
      <c r="U426" t="str">
        <f>VLOOKUP($B426,'[1]Plant data'!$A$1:$AB$315,3,0)</f>
        <v>NA</v>
      </c>
      <c r="V426" t="str">
        <f>VLOOKUP($B426,'[1]Plant data'!$A$1:$AB$315,4,0)</f>
        <v>green</v>
      </c>
      <c r="W426" t="str">
        <f>VLOOKUP($B426,'[1]Plant data'!$A$1:$AB$315,5,0)</f>
        <v>YES</v>
      </c>
      <c r="X426">
        <f>VLOOKUP($B426,'[1]Plant data'!$A$1:$AB$315,6,0)</f>
        <v>8.1</v>
      </c>
      <c r="Y426">
        <f>VLOOKUP($B426,'[1]Plant data'!$A$1:$AB$315,7,0)</f>
        <v>188.5</v>
      </c>
      <c r="Z426">
        <f>VLOOKUP($B426,'[1]Plant data'!$A$1:$AB$315,8,0)</f>
        <v>1</v>
      </c>
      <c r="AA426" t="str">
        <f>VLOOKUP($B426,'[1]Plant data'!$A$1:$AB$315,9,0)</f>
        <v>NA</v>
      </c>
      <c r="AB426">
        <f>VLOOKUP($B426,'[1]Plant data'!$A$1:$AB$315,10,0)</f>
        <v>9.56</v>
      </c>
      <c r="AC426" t="str">
        <f>VLOOKUP($B426,'[1]Plant data'!$A$1:$AB$315,11,0)</f>
        <v>NA</v>
      </c>
      <c r="AD426" t="str">
        <f>VLOOKUP($B426,'[1]Plant data'!$A$1:$AB$315,12,0)</f>
        <v>NA</v>
      </c>
      <c r="AE426" t="str">
        <f>VLOOKUP($B426,'[1]Plant data'!$A$1:$AB$315,13,0)</f>
        <v>NA</v>
      </c>
      <c r="AF426" t="str">
        <f>VLOOKUP($B426,'[1]Plant data'!$A$1:$AB$315,14,0)</f>
        <v>NA</v>
      </c>
      <c r="AG426">
        <f>VLOOKUP($B426,'[1]Plant data'!$A$1:$AB$315,15,0)</f>
        <v>938</v>
      </c>
      <c r="AH426" t="str">
        <f>VLOOKUP($B426,'[1]Plant data'!$A$1:$AB$315,16,0)</f>
        <v>NA</v>
      </c>
      <c r="AI426" t="str">
        <f>VLOOKUP($B426,'[1]Plant data'!$A$1:$AB$315,17,0)</f>
        <v>NA</v>
      </c>
      <c r="AJ426" t="str">
        <f>VLOOKUP($B426,'[1]Plant data'!$A$1:$AB$315,18,0)</f>
        <v>Motta Jr. 1981</v>
      </c>
      <c r="AK426">
        <f>VLOOKUP($B426,'[1]Plant data'!$A$1:$AB$315,19,0)</f>
        <v>0.89600000000000002</v>
      </c>
      <c r="AL426">
        <f>VLOOKUP($B426,'[1]Plant data'!$A$1:$AB$315,20,0)</f>
        <v>2.1999999999999999E-2</v>
      </c>
      <c r="AM426" t="str">
        <f>VLOOKUP($B426,'[1]Plant data'!$A$1:$AB$315,21,0)</f>
        <v>NA</v>
      </c>
      <c r="AN426" t="str">
        <f>VLOOKUP($B426,'[1]Plant data'!$A$1:$AB$315,22,0)</f>
        <v>NA</v>
      </c>
      <c r="AO426" t="str">
        <f>VLOOKUP($B426,'[1]Plant data'!$A$1:$AB$315,23,0)</f>
        <v>NA</v>
      </c>
      <c r="AP426" t="str">
        <f>VLOOKUP($B426,'[1]Plant data'!$A$1:$AB$315,24,0)</f>
        <v>NA</v>
      </c>
      <c r="AQ426" t="str">
        <f>VLOOKUP($B426,'[1]Plant data'!$A$1:$AB$315,25,0)</f>
        <v>NA</v>
      </c>
      <c r="AR426" t="str">
        <f>VLOOKUP($B426,'[1]Plant data'!$A$1:$AB$315,26,0)</f>
        <v>NA</v>
      </c>
      <c r="AS426" t="str">
        <f>VLOOKUP($B426,'[1]Plant data'!$A$1:$AB$315,27,0)</f>
        <v>NA</v>
      </c>
      <c r="AT426" t="str">
        <f>VLOOKUP($B426,'[1]Plant data'!$A$1:$AB$315,28,0)</f>
        <v>Motta Jr. 1981</v>
      </c>
    </row>
    <row r="427" spans="1:46">
      <c r="A427" s="21" t="s">
        <v>50</v>
      </c>
      <c r="B427" s="31" t="s">
        <v>226</v>
      </c>
      <c r="C427" s="16">
        <v>27</v>
      </c>
      <c r="D427" s="16">
        <v>32</v>
      </c>
      <c r="E427" s="23">
        <f>C427/32</f>
        <v>0.84375</v>
      </c>
      <c r="F427" s="16">
        <v>11.5</v>
      </c>
      <c r="G427" s="19">
        <v>0.5</v>
      </c>
      <c r="H427" s="19"/>
      <c r="I427" s="8">
        <f t="shared" si="33"/>
        <v>0.421875</v>
      </c>
      <c r="J427" s="16" t="s">
        <v>224</v>
      </c>
      <c r="K427" s="16" t="s">
        <v>225</v>
      </c>
      <c r="L427" s="16" t="s">
        <v>22</v>
      </c>
      <c r="M427" s="16" t="s">
        <v>47</v>
      </c>
      <c r="N427" s="17">
        <v>69.5</v>
      </c>
      <c r="O427" s="17">
        <v>13.253214290000001</v>
      </c>
      <c r="P427" s="16" t="s">
        <v>48</v>
      </c>
      <c r="Q427" s="16" t="s">
        <v>25</v>
      </c>
      <c r="R427" s="16" t="s">
        <v>26</v>
      </c>
      <c r="S427" s="16" t="s">
        <v>31</v>
      </c>
      <c r="T427" t="str">
        <f>VLOOKUP(B427,'[1]Plant data'!$A$1:$AB$315,2,0)</f>
        <v>Piperaceae</v>
      </c>
      <c r="U427" t="str">
        <f>VLOOKUP($B427,'[1]Plant data'!$A$1:$AB$315,3,0)</f>
        <v>NA</v>
      </c>
      <c r="V427" t="str">
        <f>VLOOKUP($B427,'[1]Plant data'!$A$1:$AB$315,4,0)</f>
        <v>green</v>
      </c>
      <c r="W427" t="str">
        <f>VLOOKUP($B427,'[1]Plant data'!$A$1:$AB$315,5,0)</f>
        <v>YES</v>
      </c>
      <c r="X427">
        <f>VLOOKUP($B427,'[1]Plant data'!$A$1:$AB$315,6,0)</f>
        <v>8.1</v>
      </c>
      <c r="Y427">
        <f>VLOOKUP($B427,'[1]Plant data'!$A$1:$AB$315,7,0)</f>
        <v>188.5</v>
      </c>
      <c r="Z427">
        <f>VLOOKUP($B427,'[1]Plant data'!$A$1:$AB$315,8,0)</f>
        <v>1</v>
      </c>
      <c r="AA427" t="str">
        <f>VLOOKUP($B427,'[1]Plant data'!$A$1:$AB$315,9,0)</f>
        <v>NA</v>
      </c>
      <c r="AB427">
        <f>VLOOKUP($B427,'[1]Plant data'!$A$1:$AB$315,10,0)</f>
        <v>9.56</v>
      </c>
      <c r="AC427" t="str">
        <f>VLOOKUP($B427,'[1]Plant data'!$A$1:$AB$315,11,0)</f>
        <v>NA</v>
      </c>
      <c r="AD427" t="str">
        <f>VLOOKUP($B427,'[1]Plant data'!$A$1:$AB$315,12,0)</f>
        <v>NA</v>
      </c>
      <c r="AE427" t="str">
        <f>VLOOKUP($B427,'[1]Plant data'!$A$1:$AB$315,13,0)</f>
        <v>NA</v>
      </c>
      <c r="AF427" t="str">
        <f>VLOOKUP($B427,'[1]Plant data'!$A$1:$AB$315,14,0)</f>
        <v>NA</v>
      </c>
      <c r="AG427">
        <f>VLOOKUP($B427,'[1]Plant data'!$A$1:$AB$315,15,0)</f>
        <v>938</v>
      </c>
      <c r="AH427" t="str">
        <f>VLOOKUP($B427,'[1]Plant data'!$A$1:$AB$315,16,0)</f>
        <v>NA</v>
      </c>
      <c r="AI427" t="str">
        <f>VLOOKUP($B427,'[1]Plant data'!$A$1:$AB$315,17,0)</f>
        <v>NA</v>
      </c>
      <c r="AJ427" t="str">
        <f>VLOOKUP($B427,'[1]Plant data'!$A$1:$AB$315,18,0)</f>
        <v>Motta Jr. 1981</v>
      </c>
      <c r="AK427">
        <f>VLOOKUP($B427,'[1]Plant data'!$A$1:$AB$315,19,0)</f>
        <v>0.89600000000000002</v>
      </c>
      <c r="AL427">
        <f>VLOOKUP($B427,'[1]Plant data'!$A$1:$AB$315,20,0)</f>
        <v>2.1999999999999999E-2</v>
      </c>
      <c r="AM427" t="str">
        <f>VLOOKUP($B427,'[1]Plant data'!$A$1:$AB$315,21,0)</f>
        <v>NA</v>
      </c>
      <c r="AN427" t="str">
        <f>VLOOKUP($B427,'[1]Plant data'!$A$1:$AB$315,22,0)</f>
        <v>NA</v>
      </c>
      <c r="AO427" t="str">
        <f>VLOOKUP($B427,'[1]Plant data'!$A$1:$AB$315,23,0)</f>
        <v>NA</v>
      </c>
      <c r="AP427" t="str">
        <f>VLOOKUP($B427,'[1]Plant data'!$A$1:$AB$315,24,0)</f>
        <v>NA</v>
      </c>
      <c r="AQ427" t="str">
        <f>VLOOKUP($B427,'[1]Plant data'!$A$1:$AB$315,25,0)</f>
        <v>NA</v>
      </c>
      <c r="AR427" t="str">
        <f>VLOOKUP($B427,'[1]Plant data'!$A$1:$AB$315,26,0)</f>
        <v>NA</v>
      </c>
      <c r="AS427" t="str">
        <f>VLOOKUP($B427,'[1]Plant data'!$A$1:$AB$315,27,0)</f>
        <v>NA</v>
      </c>
      <c r="AT427" t="str">
        <f>VLOOKUP($B427,'[1]Plant data'!$A$1:$AB$315,28,0)</f>
        <v>Motta Jr. 1981</v>
      </c>
    </row>
    <row r="428" spans="1:46">
      <c r="A428" s="5" t="s">
        <v>43</v>
      </c>
      <c r="B428" s="32" t="s">
        <v>87</v>
      </c>
      <c r="C428">
        <v>28</v>
      </c>
      <c r="D428" s="7">
        <v>12</v>
      </c>
      <c r="E428" s="8">
        <f>C428/12</f>
        <v>2.3333333333333335</v>
      </c>
      <c r="F428">
        <v>38</v>
      </c>
      <c r="G428" s="9">
        <v>1.7</v>
      </c>
      <c r="H428" s="9"/>
      <c r="I428" s="8">
        <f t="shared" si="33"/>
        <v>3.9666666666666668</v>
      </c>
      <c r="J428" t="s">
        <v>79</v>
      </c>
      <c r="K428" t="s">
        <v>80</v>
      </c>
      <c r="L428" t="s">
        <v>22</v>
      </c>
      <c r="M428" t="s">
        <v>30</v>
      </c>
      <c r="N428" s="11">
        <v>32.5</v>
      </c>
      <c r="O428" s="11">
        <v>8.9205555560000001</v>
      </c>
      <c r="P428" t="s">
        <v>24</v>
      </c>
      <c r="Q428" t="s">
        <v>25</v>
      </c>
      <c r="R428" t="s">
        <v>26</v>
      </c>
      <c r="S428" t="s">
        <v>31</v>
      </c>
      <c r="T428" t="str">
        <f>VLOOKUP(B428,'[1]Plant data'!$A$1:$AB$315,2,0)</f>
        <v>Myrtaceae</v>
      </c>
      <c r="U428" t="str">
        <f>VLOOKUP($B428,'[1]Plant data'!$A$1:$AB$315,3,0)</f>
        <v>Myrciaria cauliflora</v>
      </c>
      <c r="V428" t="str">
        <f>VLOOKUP($B428,'[1]Plant data'!$A$1:$AB$315,4,0)</f>
        <v>green</v>
      </c>
      <c r="W428" t="str">
        <f>VLOOKUP($B428,'[1]Plant data'!$A$1:$AB$315,5,0)</f>
        <v>YES</v>
      </c>
      <c r="X428">
        <f>VLOOKUP($B428,'[1]Plant data'!$A$1:$AB$315,6,0)</f>
        <v>19</v>
      </c>
      <c r="Y428">
        <f>VLOOKUP($B428,'[1]Plant data'!$A$1:$AB$315,7,0)</f>
        <v>17</v>
      </c>
      <c r="Z428">
        <f>VLOOKUP($B428,'[1]Plant data'!$A$1:$AB$315,8,0)</f>
        <v>5.5</v>
      </c>
      <c r="AA428">
        <f>VLOOKUP($B428,'[1]Plant data'!$A$1:$AB$315,9,0)</f>
        <v>10</v>
      </c>
      <c r="AB428">
        <f>VLOOKUP($B428,'[1]Plant data'!$A$1:$AB$315,10,0)</f>
        <v>3.5</v>
      </c>
      <c r="AC428" t="str">
        <f>VLOOKUP($B428,'[1]Plant data'!$A$1:$AB$315,11,0)</f>
        <v>NA</v>
      </c>
      <c r="AD428" t="str">
        <f>VLOOKUP($B428,'[1]Plant data'!$A$1:$AB$315,12,0)</f>
        <v>NA</v>
      </c>
      <c r="AE428" t="str">
        <f>VLOOKUP($B428,'[1]Plant data'!$A$1:$AB$315,13,0)</f>
        <v>NA</v>
      </c>
      <c r="AF428" t="str">
        <f>VLOOKUP($B428,'[1]Plant data'!$A$1:$AB$315,14,0)</f>
        <v>NA</v>
      </c>
      <c r="AG428" t="str">
        <f>VLOOKUP($B428,'[1]Plant data'!$A$1:$AB$315,15,0)</f>
        <v>NA</v>
      </c>
      <c r="AH428" t="str">
        <f>VLOOKUP($B428,'[1]Plant data'!$A$1:$AB$315,16,0)</f>
        <v>NA</v>
      </c>
      <c r="AI428" t="str">
        <f>VLOOKUP($B428,'[1]Plant data'!$A$1:$AB$315,17,0)</f>
        <v>NA</v>
      </c>
      <c r="AJ428" t="str">
        <f>VLOOKUP($B428,'[1]Plant data'!$A$1:$AB$315,18,0)</f>
        <v>ATLANTIC, Athie &amp; Dias 2012</v>
      </c>
      <c r="AK428" t="str">
        <f>VLOOKUP($B428,'[1]Plant data'!$A$1:$AB$315,19,0)</f>
        <v>NA</v>
      </c>
      <c r="AL428" t="str">
        <f>VLOOKUP($B428,'[1]Plant data'!$A$1:$AB$315,20,0)</f>
        <v>NA</v>
      </c>
      <c r="AM428" t="str">
        <f>VLOOKUP($B428,'[1]Plant data'!$A$1:$AB$315,21,0)</f>
        <v>NA</v>
      </c>
      <c r="AN428" t="str">
        <f>VLOOKUP($B428,'[1]Plant data'!$A$1:$AB$315,22,0)</f>
        <v>NA</v>
      </c>
      <c r="AO428" t="str">
        <f>VLOOKUP($B428,'[1]Plant data'!$A$1:$AB$315,23,0)</f>
        <v>NA</v>
      </c>
      <c r="AP428" t="str">
        <f>VLOOKUP($B428,'[1]Plant data'!$A$1:$AB$315,24,0)</f>
        <v>NA</v>
      </c>
      <c r="AQ428" t="str">
        <f>VLOOKUP($B428,'[1]Plant data'!$A$1:$AB$315,25,0)</f>
        <v>NA</v>
      </c>
      <c r="AR428" t="str">
        <f>VLOOKUP($B428,'[1]Plant data'!$A$1:$AB$315,26,0)</f>
        <v>NA</v>
      </c>
      <c r="AS428" t="str">
        <f>VLOOKUP($B428,'[1]Plant data'!$A$1:$AB$315,27,0)</f>
        <v>NA</v>
      </c>
      <c r="AT428" t="str">
        <f>VLOOKUP($B428,'[1]Plant data'!$A$1:$AB$315,28,0)</f>
        <v>NA</v>
      </c>
    </row>
    <row r="429" spans="1:46">
      <c r="A429" s="5" t="s">
        <v>65</v>
      </c>
      <c r="B429" s="32" t="s">
        <v>69</v>
      </c>
      <c r="C429" s="7">
        <v>2</v>
      </c>
      <c r="D429">
        <v>19.899999999999999</v>
      </c>
      <c r="E429" s="8">
        <f>C429/D429</f>
        <v>0.10050251256281408</v>
      </c>
      <c r="F429" t="s">
        <v>19</v>
      </c>
      <c r="G429" s="41">
        <v>2.5</v>
      </c>
      <c r="H429" s="41"/>
      <c r="I429" s="8">
        <f t="shared" si="33"/>
        <v>0.25125628140703521</v>
      </c>
      <c r="J429" s="25" t="s">
        <v>67</v>
      </c>
      <c r="K429" s="25" t="s">
        <v>68</v>
      </c>
      <c r="L429" t="s">
        <v>22</v>
      </c>
      <c r="M429" t="s">
        <v>23</v>
      </c>
      <c r="N429" s="11">
        <v>11</v>
      </c>
      <c r="O429" s="11">
        <v>6.1466666669999999</v>
      </c>
      <c r="P429" t="s">
        <v>24</v>
      </c>
      <c r="Q429" t="s">
        <v>25</v>
      </c>
      <c r="R429" t="s">
        <v>26</v>
      </c>
      <c r="S429" s="13" t="s">
        <v>31</v>
      </c>
      <c r="T429" t="str">
        <f>VLOOKUP(B429,'[1]Plant data'!$A$1:$AB$315,2,0)</f>
        <v>Burseraceae</v>
      </c>
      <c r="U429" t="str">
        <f>VLOOKUP($B429,'[1]Plant data'!$A$1:$AB$315,3,0)</f>
        <v>Protium almacega</v>
      </c>
      <c r="V429" t="str">
        <f>VLOOKUP($B429,'[1]Plant data'!$A$1:$AB$315,4,0)</f>
        <v>multicolor</v>
      </c>
      <c r="W429" t="str">
        <f>VLOOKUP($B429,'[1]Plant data'!$A$1:$AB$315,5,0)</f>
        <v>YES</v>
      </c>
      <c r="X429">
        <f>VLOOKUP($B429,'[1]Plant data'!$A$1:$AB$315,6,0)</f>
        <v>12.697500000000002</v>
      </c>
      <c r="Y429">
        <f>VLOOKUP($B429,'[1]Plant data'!$A$1:$AB$315,7,0)</f>
        <v>20.348000000000003</v>
      </c>
      <c r="Z429">
        <f>VLOOKUP($B429,'[1]Plant data'!$A$1:$AB$315,8,0)</f>
        <v>8.6583333333333332</v>
      </c>
      <c r="AA429">
        <f>VLOOKUP($B429,'[1]Plant data'!$A$1:$AB$315,9,0)</f>
        <v>13.593999999999999</v>
      </c>
      <c r="AB429">
        <f>VLOOKUP($B429,'[1]Plant data'!$A$1:$AB$315,10,0)</f>
        <v>1.9566000000000001</v>
      </c>
      <c r="AC429">
        <f>VLOOKUP($B429,'[1]Plant data'!$A$1:$AB$315,11,0)</f>
        <v>2.74</v>
      </c>
      <c r="AD429">
        <f>VLOOKUP($B429,'[1]Plant data'!$A$1:$AB$315,12,0)</f>
        <v>0.26463333333333333</v>
      </c>
      <c r="AE429">
        <f>VLOOKUP($B429,'[1]Plant data'!$A$1:$AB$315,13,0)</f>
        <v>0.91759999999999997</v>
      </c>
      <c r="AF429">
        <f>VLOOKUP($B429,'[1]Plant data'!$A$1:$AB$315,14,0)</f>
        <v>0.31730000000000003</v>
      </c>
      <c r="AG429">
        <f>VLOOKUP($B429,'[1]Plant data'!$A$1:$AB$315,15,0)</f>
        <v>1.1324999999999998</v>
      </c>
      <c r="AH429" t="str">
        <f>VLOOKUP($B429,'[1]Plant data'!$A$1:$AB$315,16,0)</f>
        <v>NA</v>
      </c>
      <c r="AI429">
        <f>VLOOKUP($B429,'[1]Plant data'!$A$1:$AB$315,17,0)</f>
        <v>3.9414883677473607</v>
      </c>
      <c r="AJ429" t="str">
        <f>VLOOKUP($B429,'[1]Plant data'!$A$1:$AB$315,18,0)</f>
        <v>ATLANTIC, Cazetta 2007, Donatti 2011, Erica&amp;Wesley, FRUBASE, Camargo 2014, Angel-de-Oliveira 1999</v>
      </c>
      <c r="AK429">
        <f>VLOOKUP($B429,'[1]Plant data'!$A$1:$AB$315,19,0)</f>
        <v>0.80159999999999998</v>
      </c>
      <c r="AL429">
        <f>VLOOKUP($B429,'[1]Plant data'!$A$1:$AB$315,20,0)</f>
        <v>9.849999999999999E-2</v>
      </c>
      <c r="AM429">
        <f>VLOOKUP($B429,'[1]Plant data'!$A$1:$AB$315,21,0)</f>
        <v>6.3503000000000004E-2</v>
      </c>
      <c r="AN429">
        <f>VLOOKUP($B429,'[1]Plant data'!$A$1:$AB$315,22,0)</f>
        <v>1.41E-2</v>
      </c>
      <c r="AO429" t="str">
        <f>VLOOKUP($B429,'[1]Plant data'!$A$1:$AB$315,23,0)</f>
        <v>NA</v>
      </c>
      <c r="AP429" t="str">
        <f>VLOOKUP($B429,'[1]Plant data'!$A$1:$AB$315,24,0)</f>
        <v>NA</v>
      </c>
      <c r="AQ429" t="str">
        <f>VLOOKUP($B429,'[1]Plant data'!$A$1:$AB$315,25,0)</f>
        <v>NA</v>
      </c>
      <c r="AR429" t="str">
        <f>VLOOKUP($B429,'[1]Plant data'!$A$1:$AB$315,26,0)</f>
        <v>NA</v>
      </c>
      <c r="AS429" t="str">
        <f>VLOOKUP($B429,'[1]Plant data'!$A$1:$AB$315,27,0)</f>
        <v>NA</v>
      </c>
      <c r="AT429" t="str">
        <f>VLOOKUP($B429,'[1]Plant data'!$A$1:$AB$315,28,0)</f>
        <v>Cazetta 2007, Erica &amp; Wesley, unpubl.</v>
      </c>
    </row>
    <row r="430" spans="1:46">
      <c r="A430" s="5" t="s">
        <v>70</v>
      </c>
      <c r="B430" s="33" t="s">
        <v>69</v>
      </c>
      <c r="C430">
        <v>33</v>
      </c>
      <c r="D430" s="7">
        <v>19.899999999999999</v>
      </c>
      <c r="E430" s="8">
        <f>(C430/19.9)/2</f>
        <v>0.82914572864321612</v>
      </c>
      <c r="F430" t="s">
        <v>19</v>
      </c>
      <c r="G430" s="41">
        <v>2.5</v>
      </c>
      <c r="H430" s="41"/>
      <c r="I430" s="8">
        <f t="shared" si="33"/>
        <v>2.0728643216080402</v>
      </c>
      <c r="J430" t="s">
        <v>67</v>
      </c>
      <c r="K430" t="s">
        <v>68</v>
      </c>
      <c r="L430" t="s">
        <v>22</v>
      </c>
      <c r="M430" t="s">
        <v>23</v>
      </c>
      <c r="N430" s="11">
        <v>15</v>
      </c>
      <c r="O430" s="11">
        <v>6.9235714289999999</v>
      </c>
      <c r="P430" t="s">
        <v>24</v>
      </c>
      <c r="Q430" t="s">
        <v>25</v>
      </c>
      <c r="R430" t="s">
        <v>26</v>
      </c>
      <c r="S430" t="s">
        <v>27</v>
      </c>
      <c r="T430" t="str">
        <f>VLOOKUP(B430,'[1]Plant data'!$A$1:$AB$315,2,0)</f>
        <v>Burseraceae</v>
      </c>
      <c r="U430" t="str">
        <f>VLOOKUP($B430,'[1]Plant data'!$A$1:$AB$315,3,0)</f>
        <v>Protium almacega</v>
      </c>
      <c r="V430" t="str">
        <f>VLOOKUP($B430,'[1]Plant data'!$A$1:$AB$315,4,0)</f>
        <v>multicolor</v>
      </c>
      <c r="W430" t="str">
        <f>VLOOKUP($B430,'[1]Plant data'!$A$1:$AB$315,5,0)</f>
        <v>YES</v>
      </c>
      <c r="X430">
        <f>VLOOKUP($B430,'[1]Plant data'!$A$1:$AB$315,6,0)</f>
        <v>12.697500000000002</v>
      </c>
      <c r="Y430">
        <f>VLOOKUP($B430,'[1]Plant data'!$A$1:$AB$315,7,0)</f>
        <v>20.348000000000003</v>
      </c>
      <c r="Z430">
        <f>VLOOKUP($B430,'[1]Plant data'!$A$1:$AB$315,8,0)</f>
        <v>8.6583333333333332</v>
      </c>
      <c r="AA430">
        <f>VLOOKUP($B430,'[1]Plant data'!$A$1:$AB$315,9,0)</f>
        <v>13.593999999999999</v>
      </c>
      <c r="AB430">
        <f>VLOOKUP($B430,'[1]Plant data'!$A$1:$AB$315,10,0)</f>
        <v>1.9566000000000001</v>
      </c>
      <c r="AC430">
        <f>VLOOKUP($B430,'[1]Plant data'!$A$1:$AB$315,11,0)</f>
        <v>2.74</v>
      </c>
      <c r="AD430">
        <f>VLOOKUP($B430,'[1]Plant data'!$A$1:$AB$315,12,0)</f>
        <v>0.26463333333333333</v>
      </c>
      <c r="AE430">
        <f>VLOOKUP($B430,'[1]Plant data'!$A$1:$AB$315,13,0)</f>
        <v>0.91759999999999997</v>
      </c>
      <c r="AF430">
        <f>VLOOKUP($B430,'[1]Plant data'!$A$1:$AB$315,14,0)</f>
        <v>0.31730000000000003</v>
      </c>
      <c r="AG430">
        <f>VLOOKUP($B430,'[1]Plant data'!$A$1:$AB$315,15,0)</f>
        <v>1.1324999999999998</v>
      </c>
      <c r="AH430" t="str">
        <f>VLOOKUP($B430,'[1]Plant data'!$A$1:$AB$315,16,0)</f>
        <v>NA</v>
      </c>
      <c r="AI430">
        <f>VLOOKUP($B430,'[1]Plant data'!$A$1:$AB$315,17,0)</f>
        <v>3.9414883677473607</v>
      </c>
      <c r="AJ430" t="str">
        <f>VLOOKUP($B430,'[1]Plant data'!$A$1:$AB$315,18,0)</f>
        <v>ATLANTIC, Cazetta 2007, Donatti 2011, Erica&amp;Wesley, FRUBASE, Camargo 2014, Angel-de-Oliveira 1999</v>
      </c>
      <c r="AK430">
        <f>VLOOKUP($B430,'[1]Plant data'!$A$1:$AB$315,19,0)</f>
        <v>0.80159999999999998</v>
      </c>
      <c r="AL430">
        <f>VLOOKUP($B430,'[1]Plant data'!$A$1:$AB$315,20,0)</f>
        <v>9.849999999999999E-2</v>
      </c>
      <c r="AM430">
        <f>VLOOKUP($B430,'[1]Plant data'!$A$1:$AB$315,21,0)</f>
        <v>6.3503000000000004E-2</v>
      </c>
      <c r="AN430">
        <f>VLOOKUP($B430,'[1]Plant data'!$A$1:$AB$315,22,0)</f>
        <v>1.41E-2</v>
      </c>
      <c r="AO430" t="str">
        <f>VLOOKUP($B430,'[1]Plant data'!$A$1:$AB$315,23,0)</f>
        <v>NA</v>
      </c>
      <c r="AP430" t="str">
        <f>VLOOKUP($B430,'[1]Plant data'!$A$1:$AB$315,24,0)</f>
        <v>NA</v>
      </c>
      <c r="AQ430" t="str">
        <f>VLOOKUP($B430,'[1]Plant data'!$A$1:$AB$315,25,0)</f>
        <v>NA</v>
      </c>
      <c r="AR430" t="str">
        <f>VLOOKUP($B430,'[1]Plant data'!$A$1:$AB$315,26,0)</f>
        <v>NA</v>
      </c>
      <c r="AS430" t="str">
        <f>VLOOKUP($B430,'[1]Plant data'!$A$1:$AB$315,27,0)</f>
        <v>NA</v>
      </c>
      <c r="AT430" t="str">
        <f>VLOOKUP($B430,'[1]Plant data'!$A$1:$AB$315,28,0)</f>
        <v>Cazetta 2007, Erica &amp; Wesley, unpubl.</v>
      </c>
    </row>
    <row r="431" spans="1:46">
      <c r="A431" s="5" t="s">
        <v>74</v>
      </c>
      <c r="B431" s="32" t="s">
        <v>69</v>
      </c>
      <c r="C431">
        <v>17</v>
      </c>
      <c r="D431">
        <v>19.899999999999999</v>
      </c>
      <c r="E431" s="8">
        <f>(C431/19.9)/2</f>
        <v>0.42713567839195982</v>
      </c>
      <c r="F431" t="s">
        <v>19</v>
      </c>
      <c r="G431" s="9" t="s">
        <v>19</v>
      </c>
      <c r="H431" s="9"/>
      <c r="I431" s="8" t="s">
        <v>19</v>
      </c>
      <c r="J431" t="s">
        <v>67</v>
      </c>
      <c r="K431" t="s">
        <v>68</v>
      </c>
      <c r="L431" t="s">
        <v>22</v>
      </c>
      <c r="M431" t="s">
        <v>75</v>
      </c>
      <c r="N431" s="11">
        <v>200</v>
      </c>
      <c r="O431" s="11">
        <v>23.614285710000001</v>
      </c>
      <c r="P431" t="s">
        <v>48</v>
      </c>
      <c r="Q431" t="s">
        <v>25</v>
      </c>
      <c r="R431" t="s">
        <v>76</v>
      </c>
      <c r="S431" t="s">
        <v>27</v>
      </c>
      <c r="T431" t="str">
        <f>VLOOKUP(B431,'[1]Plant data'!$A$1:$AB$315,2,0)</f>
        <v>Burseraceae</v>
      </c>
      <c r="U431" t="str">
        <f>VLOOKUP($B431,'[1]Plant data'!$A$1:$AB$315,3,0)</f>
        <v>Protium almacega</v>
      </c>
      <c r="V431" t="str">
        <f>VLOOKUP($B431,'[1]Plant data'!$A$1:$AB$315,4,0)</f>
        <v>multicolor</v>
      </c>
      <c r="W431" t="str">
        <f>VLOOKUP($B431,'[1]Plant data'!$A$1:$AB$315,5,0)</f>
        <v>YES</v>
      </c>
      <c r="X431">
        <f>VLOOKUP($B431,'[1]Plant data'!$A$1:$AB$315,6,0)</f>
        <v>12.697500000000002</v>
      </c>
      <c r="Y431">
        <f>VLOOKUP($B431,'[1]Plant data'!$A$1:$AB$315,7,0)</f>
        <v>20.348000000000003</v>
      </c>
      <c r="Z431">
        <f>VLOOKUP($B431,'[1]Plant data'!$A$1:$AB$315,8,0)</f>
        <v>8.6583333333333332</v>
      </c>
      <c r="AA431">
        <f>VLOOKUP($B431,'[1]Plant data'!$A$1:$AB$315,9,0)</f>
        <v>13.593999999999999</v>
      </c>
      <c r="AB431">
        <f>VLOOKUP($B431,'[1]Plant data'!$A$1:$AB$315,10,0)</f>
        <v>1.9566000000000001</v>
      </c>
      <c r="AC431">
        <f>VLOOKUP($B431,'[1]Plant data'!$A$1:$AB$315,11,0)</f>
        <v>2.74</v>
      </c>
      <c r="AD431">
        <f>VLOOKUP($B431,'[1]Plant data'!$A$1:$AB$315,12,0)</f>
        <v>0.26463333333333333</v>
      </c>
      <c r="AE431">
        <f>VLOOKUP($B431,'[1]Plant data'!$A$1:$AB$315,13,0)</f>
        <v>0.91759999999999997</v>
      </c>
      <c r="AF431">
        <f>VLOOKUP($B431,'[1]Plant data'!$A$1:$AB$315,14,0)</f>
        <v>0.31730000000000003</v>
      </c>
      <c r="AG431">
        <f>VLOOKUP($B431,'[1]Plant data'!$A$1:$AB$315,15,0)</f>
        <v>1.1324999999999998</v>
      </c>
      <c r="AH431" t="str">
        <f>VLOOKUP($B431,'[1]Plant data'!$A$1:$AB$315,16,0)</f>
        <v>NA</v>
      </c>
      <c r="AI431">
        <f>VLOOKUP($B431,'[1]Plant data'!$A$1:$AB$315,17,0)</f>
        <v>3.9414883677473607</v>
      </c>
      <c r="AJ431" t="str">
        <f>VLOOKUP($B431,'[1]Plant data'!$A$1:$AB$315,18,0)</f>
        <v>ATLANTIC, Cazetta 2007, Donatti 2011, Erica&amp;Wesley, FRUBASE, Camargo 2014, Angel-de-Oliveira 1999</v>
      </c>
      <c r="AK431">
        <f>VLOOKUP($B431,'[1]Plant data'!$A$1:$AB$315,19,0)</f>
        <v>0.80159999999999998</v>
      </c>
      <c r="AL431">
        <f>VLOOKUP($B431,'[1]Plant data'!$A$1:$AB$315,20,0)</f>
        <v>9.849999999999999E-2</v>
      </c>
      <c r="AM431">
        <f>VLOOKUP($B431,'[1]Plant data'!$A$1:$AB$315,21,0)</f>
        <v>6.3503000000000004E-2</v>
      </c>
      <c r="AN431">
        <f>VLOOKUP($B431,'[1]Plant data'!$A$1:$AB$315,22,0)</f>
        <v>1.41E-2</v>
      </c>
      <c r="AO431" t="str">
        <f>VLOOKUP($B431,'[1]Plant data'!$A$1:$AB$315,23,0)</f>
        <v>NA</v>
      </c>
      <c r="AP431" t="str">
        <f>VLOOKUP($B431,'[1]Plant data'!$A$1:$AB$315,24,0)</f>
        <v>NA</v>
      </c>
      <c r="AQ431" t="str">
        <f>VLOOKUP($B431,'[1]Plant data'!$A$1:$AB$315,25,0)</f>
        <v>NA</v>
      </c>
      <c r="AR431" t="str">
        <f>VLOOKUP($B431,'[1]Plant data'!$A$1:$AB$315,26,0)</f>
        <v>NA</v>
      </c>
      <c r="AS431" t="str">
        <f>VLOOKUP($B431,'[1]Plant data'!$A$1:$AB$315,27,0)</f>
        <v>NA</v>
      </c>
      <c r="AT431" t="str">
        <f>VLOOKUP($B431,'[1]Plant data'!$A$1:$AB$315,28,0)</f>
        <v>Cazetta 2007, Erica &amp; Wesley, unpubl.</v>
      </c>
    </row>
    <row r="432" spans="1:46">
      <c r="A432" s="18" t="s">
        <v>28</v>
      </c>
      <c r="B432" s="32" t="s">
        <v>69</v>
      </c>
      <c r="C432" s="7">
        <v>1</v>
      </c>
      <c r="D432">
        <v>19.899999999999999</v>
      </c>
      <c r="E432" s="8">
        <f>C432/D432</f>
        <v>5.0251256281407038E-2</v>
      </c>
      <c r="F432" t="s">
        <v>19</v>
      </c>
      <c r="G432" s="41">
        <v>3.35</v>
      </c>
      <c r="H432" s="41"/>
      <c r="I432" s="8">
        <f t="shared" ref="I432:I442" si="34">E432*G432</f>
        <v>0.16834170854271358</v>
      </c>
      <c r="J432" s="25" t="s">
        <v>67</v>
      </c>
      <c r="K432" s="25" t="s">
        <v>68</v>
      </c>
      <c r="L432" t="s">
        <v>22</v>
      </c>
      <c r="M432" t="s">
        <v>30</v>
      </c>
      <c r="N432" s="11">
        <v>18</v>
      </c>
      <c r="O432" s="11">
        <v>7.4188405800000004</v>
      </c>
      <c r="P432" t="s">
        <v>24</v>
      </c>
      <c r="Q432" s="13" t="s">
        <v>25</v>
      </c>
      <c r="R432" s="13" t="s">
        <v>26</v>
      </c>
      <c r="S432" s="13" t="s">
        <v>31</v>
      </c>
      <c r="T432" t="str">
        <f>VLOOKUP(B432,'[1]Plant data'!$A$1:$AB$315,2,0)</f>
        <v>Burseraceae</v>
      </c>
      <c r="U432" t="str">
        <f>VLOOKUP($B432,'[1]Plant data'!$A$1:$AB$315,3,0)</f>
        <v>Protium almacega</v>
      </c>
      <c r="V432" t="str">
        <f>VLOOKUP($B432,'[1]Plant data'!$A$1:$AB$315,4,0)</f>
        <v>multicolor</v>
      </c>
      <c r="W432" t="str">
        <f>VLOOKUP($B432,'[1]Plant data'!$A$1:$AB$315,5,0)</f>
        <v>YES</v>
      </c>
      <c r="X432">
        <f>VLOOKUP($B432,'[1]Plant data'!$A$1:$AB$315,6,0)</f>
        <v>12.697500000000002</v>
      </c>
      <c r="Y432">
        <f>VLOOKUP($B432,'[1]Plant data'!$A$1:$AB$315,7,0)</f>
        <v>20.348000000000003</v>
      </c>
      <c r="Z432">
        <f>VLOOKUP($B432,'[1]Plant data'!$A$1:$AB$315,8,0)</f>
        <v>8.6583333333333332</v>
      </c>
      <c r="AA432">
        <f>VLOOKUP($B432,'[1]Plant data'!$A$1:$AB$315,9,0)</f>
        <v>13.593999999999999</v>
      </c>
      <c r="AB432">
        <f>VLOOKUP($B432,'[1]Plant data'!$A$1:$AB$315,10,0)</f>
        <v>1.9566000000000001</v>
      </c>
      <c r="AC432">
        <f>VLOOKUP($B432,'[1]Plant data'!$A$1:$AB$315,11,0)</f>
        <v>2.74</v>
      </c>
      <c r="AD432">
        <f>VLOOKUP($B432,'[1]Plant data'!$A$1:$AB$315,12,0)</f>
        <v>0.26463333333333333</v>
      </c>
      <c r="AE432">
        <f>VLOOKUP($B432,'[1]Plant data'!$A$1:$AB$315,13,0)</f>
        <v>0.91759999999999997</v>
      </c>
      <c r="AF432">
        <f>VLOOKUP($B432,'[1]Plant data'!$A$1:$AB$315,14,0)</f>
        <v>0.31730000000000003</v>
      </c>
      <c r="AG432">
        <f>VLOOKUP($B432,'[1]Plant data'!$A$1:$AB$315,15,0)</f>
        <v>1.1324999999999998</v>
      </c>
      <c r="AH432" t="str">
        <f>VLOOKUP($B432,'[1]Plant data'!$A$1:$AB$315,16,0)</f>
        <v>NA</v>
      </c>
      <c r="AI432">
        <f>VLOOKUP($B432,'[1]Plant data'!$A$1:$AB$315,17,0)</f>
        <v>3.9414883677473607</v>
      </c>
      <c r="AJ432" t="str">
        <f>VLOOKUP($B432,'[1]Plant data'!$A$1:$AB$315,18,0)</f>
        <v>ATLANTIC, Cazetta 2007, Donatti 2011, Erica&amp;Wesley, FRUBASE, Camargo 2014, Angel-de-Oliveira 1999</v>
      </c>
      <c r="AK432">
        <f>VLOOKUP($B432,'[1]Plant data'!$A$1:$AB$315,19,0)</f>
        <v>0.80159999999999998</v>
      </c>
      <c r="AL432">
        <f>VLOOKUP($B432,'[1]Plant data'!$A$1:$AB$315,20,0)</f>
        <v>9.849999999999999E-2</v>
      </c>
      <c r="AM432">
        <f>VLOOKUP($B432,'[1]Plant data'!$A$1:$AB$315,21,0)</f>
        <v>6.3503000000000004E-2</v>
      </c>
      <c r="AN432">
        <f>VLOOKUP($B432,'[1]Plant data'!$A$1:$AB$315,22,0)</f>
        <v>1.41E-2</v>
      </c>
      <c r="AO432" t="str">
        <f>VLOOKUP($B432,'[1]Plant data'!$A$1:$AB$315,23,0)</f>
        <v>NA</v>
      </c>
      <c r="AP432" t="str">
        <f>VLOOKUP($B432,'[1]Plant data'!$A$1:$AB$315,24,0)</f>
        <v>NA</v>
      </c>
      <c r="AQ432" t="str">
        <f>VLOOKUP($B432,'[1]Plant data'!$A$1:$AB$315,25,0)</f>
        <v>NA</v>
      </c>
      <c r="AR432" t="str">
        <f>VLOOKUP($B432,'[1]Plant data'!$A$1:$AB$315,26,0)</f>
        <v>NA</v>
      </c>
      <c r="AS432" t="str">
        <f>VLOOKUP($B432,'[1]Plant data'!$A$1:$AB$315,27,0)</f>
        <v>NA</v>
      </c>
      <c r="AT432" t="str">
        <f>VLOOKUP($B432,'[1]Plant data'!$A$1:$AB$315,28,0)</f>
        <v>Cazetta 2007, Erica &amp; Wesley, unpubl.</v>
      </c>
    </row>
    <row r="433" spans="1:46">
      <c r="A433" s="5" t="s">
        <v>41</v>
      </c>
      <c r="B433" s="32" t="s">
        <v>69</v>
      </c>
      <c r="C433">
        <v>48</v>
      </c>
      <c r="D433" s="7">
        <v>19.899999999999999</v>
      </c>
      <c r="E433" s="8">
        <f>(C433/19.9)/2</f>
        <v>1.206030150753769</v>
      </c>
      <c r="F433" t="s">
        <v>19</v>
      </c>
      <c r="G433" s="41">
        <v>3.35</v>
      </c>
      <c r="H433" s="41"/>
      <c r="I433" s="8">
        <f t="shared" si="34"/>
        <v>4.0402010050251258</v>
      </c>
      <c r="J433" s="25" t="s">
        <v>67</v>
      </c>
      <c r="K433" s="25" t="s">
        <v>68</v>
      </c>
      <c r="L433" t="s">
        <v>22</v>
      </c>
      <c r="M433" t="s">
        <v>30</v>
      </c>
      <c r="N433" s="11">
        <v>39</v>
      </c>
      <c r="O433" s="11">
        <v>8.2839869279999991</v>
      </c>
      <c r="P433" t="s">
        <v>24</v>
      </c>
      <c r="Q433" t="s">
        <v>25</v>
      </c>
      <c r="R433" t="s">
        <v>26</v>
      </c>
      <c r="S433" t="s">
        <v>31</v>
      </c>
      <c r="T433" t="str">
        <f>VLOOKUP(B433,'[1]Plant data'!$A$1:$AB$315,2,0)</f>
        <v>Burseraceae</v>
      </c>
      <c r="U433" t="str">
        <f>VLOOKUP($B433,'[1]Plant data'!$A$1:$AB$315,3,0)</f>
        <v>Protium almacega</v>
      </c>
      <c r="V433" t="str">
        <f>VLOOKUP($B433,'[1]Plant data'!$A$1:$AB$315,4,0)</f>
        <v>multicolor</v>
      </c>
      <c r="W433" t="str">
        <f>VLOOKUP($B433,'[1]Plant data'!$A$1:$AB$315,5,0)</f>
        <v>YES</v>
      </c>
      <c r="X433">
        <f>VLOOKUP($B433,'[1]Plant data'!$A$1:$AB$315,6,0)</f>
        <v>12.697500000000002</v>
      </c>
      <c r="Y433">
        <f>VLOOKUP($B433,'[1]Plant data'!$A$1:$AB$315,7,0)</f>
        <v>20.348000000000003</v>
      </c>
      <c r="Z433">
        <f>VLOOKUP($B433,'[1]Plant data'!$A$1:$AB$315,8,0)</f>
        <v>8.6583333333333332</v>
      </c>
      <c r="AA433">
        <f>VLOOKUP($B433,'[1]Plant data'!$A$1:$AB$315,9,0)</f>
        <v>13.593999999999999</v>
      </c>
      <c r="AB433">
        <f>VLOOKUP($B433,'[1]Plant data'!$A$1:$AB$315,10,0)</f>
        <v>1.9566000000000001</v>
      </c>
      <c r="AC433">
        <f>VLOOKUP($B433,'[1]Plant data'!$A$1:$AB$315,11,0)</f>
        <v>2.74</v>
      </c>
      <c r="AD433">
        <f>VLOOKUP($B433,'[1]Plant data'!$A$1:$AB$315,12,0)</f>
        <v>0.26463333333333333</v>
      </c>
      <c r="AE433">
        <f>VLOOKUP($B433,'[1]Plant data'!$A$1:$AB$315,13,0)</f>
        <v>0.91759999999999997</v>
      </c>
      <c r="AF433">
        <f>VLOOKUP($B433,'[1]Plant data'!$A$1:$AB$315,14,0)</f>
        <v>0.31730000000000003</v>
      </c>
      <c r="AG433">
        <f>VLOOKUP($B433,'[1]Plant data'!$A$1:$AB$315,15,0)</f>
        <v>1.1324999999999998</v>
      </c>
      <c r="AH433" t="str">
        <f>VLOOKUP($B433,'[1]Plant data'!$A$1:$AB$315,16,0)</f>
        <v>NA</v>
      </c>
      <c r="AI433">
        <f>VLOOKUP($B433,'[1]Plant data'!$A$1:$AB$315,17,0)</f>
        <v>3.9414883677473607</v>
      </c>
      <c r="AJ433" t="str">
        <f>VLOOKUP($B433,'[1]Plant data'!$A$1:$AB$315,18,0)</f>
        <v>ATLANTIC, Cazetta 2007, Donatti 2011, Erica&amp;Wesley, FRUBASE, Camargo 2014, Angel-de-Oliveira 1999</v>
      </c>
      <c r="AK433">
        <f>VLOOKUP($B433,'[1]Plant data'!$A$1:$AB$315,19,0)</f>
        <v>0.80159999999999998</v>
      </c>
      <c r="AL433">
        <f>VLOOKUP($B433,'[1]Plant data'!$A$1:$AB$315,20,0)</f>
        <v>9.849999999999999E-2</v>
      </c>
      <c r="AM433">
        <f>VLOOKUP($B433,'[1]Plant data'!$A$1:$AB$315,21,0)</f>
        <v>6.3503000000000004E-2</v>
      </c>
      <c r="AN433">
        <f>VLOOKUP($B433,'[1]Plant data'!$A$1:$AB$315,22,0)</f>
        <v>1.41E-2</v>
      </c>
      <c r="AO433" t="str">
        <f>VLOOKUP($B433,'[1]Plant data'!$A$1:$AB$315,23,0)</f>
        <v>NA</v>
      </c>
      <c r="AP433" t="str">
        <f>VLOOKUP($B433,'[1]Plant data'!$A$1:$AB$315,24,0)</f>
        <v>NA</v>
      </c>
      <c r="AQ433" t="str">
        <f>VLOOKUP($B433,'[1]Plant data'!$A$1:$AB$315,25,0)</f>
        <v>NA</v>
      </c>
      <c r="AR433" t="str">
        <f>VLOOKUP($B433,'[1]Plant data'!$A$1:$AB$315,26,0)</f>
        <v>NA</v>
      </c>
      <c r="AS433" t="str">
        <f>VLOOKUP($B433,'[1]Plant data'!$A$1:$AB$315,27,0)</f>
        <v>NA</v>
      </c>
      <c r="AT433" t="str">
        <f>VLOOKUP($B433,'[1]Plant data'!$A$1:$AB$315,28,0)</f>
        <v>Cazetta 2007, Erica &amp; Wesley, unpubl.</v>
      </c>
    </row>
    <row r="434" spans="1:46">
      <c r="A434" s="5" t="s">
        <v>43</v>
      </c>
      <c r="B434" s="32" t="s">
        <v>69</v>
      </c>
      <c r="C434">
        <v>10</v>
      </c>
      <c r="D434" s="7">
        <v>19.899999999999999</v>
      </c>
      <c r="E434" s="8">
        <f>(C434/19.9)/2</f>
        <v>0.25125628140703521</v>
      </c>
      <c r="F434" t="s">
        <v>19</v>
      </c>
      <c r="G434" s="41">
        <v>3.35</v>
      </c>
      <c r="H434" s="41"/>
      <c r="I434" s="8">
        <f t="shared" si="34"/>
        <v>0.84170854271356799</v>
      </c>
      <c r="J434" s="25" t="s">
        <v>67</v>
      </c>
      <c r="K434" s="25" t="s">
        <v>68</v>
      </c>
      <c r="L434" t="s">
        <v>22</v>
      </c>
      <c r="M434" t="s">
        <v>30</v>
      </c>
      <c r="N434" s="11">
        <v>32.5</v>
      </c>
      <c r="O434" s="11">
        <v>8.9205555560000001</v>
      </c>
      <c r="P434" t="s">
        <v>24</v>
      </c>
      <c r="Q434" t="s">
        <v>25</v>
      </c>
      <c r="R434" t="s">
        <v>26</v>
      </c>
      <c r="S434" t="s">
        <v>31</v>
      </c>
      <c r="T434" t="str">
        <f>VLOOKUP(B434,'[1]Plant data'!$A$1:$AB$315,2,0)</f>
        <v>Burseraceae</v>
      </c>
      <c r="U434" t="str">
        <f>VLOOKUP($B434,'[1]Plant data'!$A$1:$AB$315,3,0)</f>
        <v>Protium almacega</v>
      </c>
      <c r="V434" t="str">
        <f>VLOOKUP($B434,'[1]Plant data'!$A$1:$AB$315,4,0)</f>
        <v>multicolor</v>
      </c>
      <c r="W434" t="str">
        <f>VLOOKUP($B434,'[1]Plant data'!$A$1:$AB$315,5,0)</f>
        <v>YES</v>
      </c>
      <c r="X434">
        <f>VLOOKUP($B434,'[1]Plant data'!$A$1:$AB$315,6,0)</f>
        <v>12.697500000000002</v>
      </c>
      <c r="Y434">
        <f>VLOOKUP($B434,'[1]Plant data'!$A$1:$AB$315,7,0)</f>
        <v>20.348000000000003</v>
      </c>
      <c r="Z434">
        <f>VLOOKUP($B434,'[1]Plant data'!$A$1:$AB$315,8,0)</f>
        <v>8.6583333333333332</v>
      </c>
      <c r="AA434">
        <f>VLOOKUP($B434,'[1]Plant data'!$A$1:$AB$315,9,0)</f>
        <v>13.593999999999999</v>
      </c>
      <c r="AB434">
        <f>VLOOKUP($B434,'[1]Plant data'!$A$1:$AB$315,10,0)</f>
        <v>1.9566000000000001</v>
      </c>
      <c r="AC434">
        <f>VLOOKUP($B434,'[1]Plant data'!$A$1:$AB$315,11,0)</f>
        <v>2.74</v>
      </c>
      <c r="AD434">
        <f>VLOOKUP($B434,'[1]Plant data'!$A$1:$AB$315,12,0)</f>
        <v>0.26463333333333333</v>
      </c>
      <c r="AE434">
        <f>VLOOKUP($B434,'[1]Plant data'!$A$1:$AB$315,13,0)</f>
        <v>0.91759999999999997</v>
      </c>
      <c r="AF434">
        <f>VLOOKUP($B434,'[1]Plant data'!$A$1:$AB$315,14,0)</f>
        <v>0.31730000000000003</v>
      </c>
      <c r="AG434">
        <f>VLOOKUP($B434,'[1]Plant data'!$A$1:$AB$315,15,0)</f>
        <v>1.1324999999999998</v>
      </c>
      <c r="AH434" t="str">
        <f>VLOOKUP($B434,'[1]Plant data'!$A$1:$AB$315,16,0)</f>
        <v>NA</v>
      </c>
      <c r="AI434">
        <f>VLOOKUP($B434,'[1]Plant data'!$A$1:$AB$315,17,0)</f>
        <v>3.9414883677473607</v>
      </c>
      <c r="AJ434" t="str">
        <f>VLOOKUP($B434,'[1]Plant data'!$A$1:$AB$315,18,0)</f>
        <v>ATLANTIC, Cazetta 2007, Donatti 2011, Erica&amp;Wesley, FRUBASE, Camargo 2014, Angel-de-Oliveira 1999</v>
      </c>
      <c r="AK434">
        <f>VLOOKUP($B434,'[1]Plant data'!$A$1:$AB$315,19,0)</f>
        <v>0.80159999999999998</v>
      </c>
      <c r="AL434">
        <f>VLOOKUP($B434,'[1]Plant data'!$A$1:$AB$315,20,0)</f>
        <v>9.849999999999999E-2</v>
      </c>
      <c r="AM434">
        <f>VLOOKUP($B434,'[1]Plant data'!$A$1:$AB$315,21,0)</f>
        <v>6.3503000000000004E-2</v>
      </c>
      <c r="AN434">
        <f>VLOOKUP($B434,'[1]Plant data'!$A$1:$AB$315,22,0)</f>
        <v>1.41E-2</v>
      </c>
      <c r="AO434" t="str">
        <f>VLOOKUP($B434,'[1]Plant data'!$A$1:$AB$315,23,0)</f>
        <v>NA</v>
      </c>
      <c r="AP434" t="str">
        <f>VLOOKUP($B434,'[1]Plant data'!$A$1:$AB$315,24,0)</f>
        <v>NA</v>
      </c>
      <c r="AQ434" t="str">
        <f>VLOOKUP($B434,'[1]Plant data'!$A$1:$AB$315,25,0)</f>
        <v>NA</v>
      </c>
      <c r="AR434" t="str">
        <f>VLOOKUP($B434,'[1]Plant data'!$A$1:$AB$315,26,0)</f>
        <v>NA</v>
      </c>
      <c r="AS434" t="str">
        <f>VLOOKUP($B434,'[1]Plant data'!$A$1:$AB$315,27,0)</f>
        <v>NA</v>
      </c>
      <c r="AT434" t="str">
        <f>VLOOKUP($B434,'[1]Plant data'!$A$1:$AB$315,28,0)</f>
        <v>Cazetta 2007, Erica &amp; Wesley, unpubl.</v>
      </c>
    </row>
    <row r="435" spans="1:46">
      <c r="A435" s="21" t="s">
        <v>65</v>
      </c>
      <c r="B435" s="31" t="s">
        <v>69</v>
      </c>
      <c r="C435" s="16">
        <v>38</v>
      </c>
      <c r="D435" s="16">
        <v>32</v>
      </c>
      <c r="E435" s="23">
        <f t="shared" ref="E435:E441" si="35">C435/32</f>
        <v>1.1875</v>
      </c>
      <c r="F435" s="16">
        <v>70</v>
      </c>
      <c r="G435" s="19">
        <v>2.5</v>
      </c>
      <c r="I435" s="8">
        <f t="shared" si="34"/>
        <v>2.96875</v>
      </c>
      <c r="J435" s="16" t="s">
        <v>224</v>
      </c>
      <c r="K435" s="16" t="s">
        <v>225</v>
      </c>
      <c r="L435" t="s">
        <v>22</v>
      </c>
      <c r="M435" t="s">
        <v>23</v>
      </c>
      <c r="N435" s="11">
        <v>11</v>
      </c>
      <c r="O435" s="11">
        <v>6.1466666669999999</v>
      </c>
      <c r="P435" t="s">
        <v>24</v>
      </c>
      <c r="Q435" t="s">
        <v>25</v>
      </c>
      <c r="R435" t="s">
        <v>26</v>
      </c>
      <c r="S435" s="13" t="s">
        <v>31</v>
      </c>
      <c r="T435" t="str">
        <f>VLOOKUP(B435,'[1]Plant data'!$A$1:$AB$315,2,0)</f>
        <v>Burseraceae</v>
      </c>
      <c r="U435" t="str">
        <f>VLOOKUP($B435,'[1]Plant data'!$A$1:$AB$315,3,0)</f>
        <v>Protium almacega</v>
      </c>
      <c r="V435" t="str">
        <f>VLOOKUP($B435,'[1]Plant data'!$A$1:$AB$315,4,0)</f>
        <v>multicolor</v>
      </c>
      <c r="W435" t="str">
        <f>VLOOKUP($B435,'[1]Plant data'!$A$1:$AB$315,5,0)</f>
        <v>YES</v>
      </c>
      <c r="X435">
        <f>VLOOKUP($B435,'[1]Plant data'!$A$1:$AB$315,6,0)</f>
        <v>12.697500000000002</v>
      </c>
      <c r="Y435">
        <f>VLOOKUP($B435,'[1]Plant data'!$A$1:$AB$315,7,0)</f>
        <v>20.348000000000003</v>
      </c>
      <c r="Z435">
        <f>VLOOKUP($B435,'[1]Plant data'!$A$1:$AB$315,8,0)</f>
        <v>8.6583333333333332</v>
      </c>
      <c r="AA435">
        <f>VLOOKUP($B435,'[1]Plant data'!$A$1:$AB$315,9,0)</f>
        <v>13.593999999999999</v>
      </c>
      <c r="AB435">
        <f>VLOOKUP($B435,'[1]Plant data'!$A$1:$AB$315,10,0)</f>
        <v>1.9566000000000001</v>
      </c>
      <c r="AC435">
        <f>VLOOKUP($B435,'[1]Plant data'!$A$1:$AB$315,11,0)</f>
        <v>2.74</v>
      </c>
      <c r="AD435">
        <f>VLOOKUP($B435,'[1]Plant data'!$A$1:$AB$315,12,0)</f>
        <v>0.26463333333333333</v>
      </c>
      <c r="AE435">
        <f>VLOOKUP($B435,'[1]Plant data'!$A$1:$AB$315,13,0)</f>
        <v>0.91759999999999997</v>
      </c>
      <c r="AF435">
        <f>VLOOKUP($B435,'[1]Plant data'!$A$1:$AB$315,14,0)</f>
        <v>0.31730000000000003</v>
      </c>
      <c r="AG435">
        <f>VLOOKUP($B435,'[1]Plant data'!$A$1:$AB$315,15,0)</f>
        <v>1.1324999999999998</v>
      </c>
      <c r="AH435" t="str">
        <f>VLOOKUP($B435,'[1]Plant data'!$A$1:$AB$315,16,0)</f>
        <v>NA</v>
      </c>
      <c r="AI435">
        <f>VLOOKUP($B435,'[1]Plant data'!$A$1:$AB$315,17,0)</f>
        <v>3.9414883677473607</v>
      </c>
      <c r="AJ435" t="str">
        <f>VLOOKUP($B435,'[1]Plant data'!$A$1:$AB$315,18,0)</f>
        <v>ATLANTIC, Cazetta 2007, Donatti 2011, Erica&amp;Wesley, FRUBASE, Camargo 2014, Angel-de-Oliveira 1999</v>
      </c>
      <c r="AK435">
        <f>VLOOKUP($B435,'[1]Plant data'!$A$1:$AB$315,19,0)</f>
        <v>0.80159999999999998</v>
      </c>
      <c r="AL435">
        <f>VLOOKUP($B435,'[1]Plant data'!$A$1:$AB$315,20,0)</f>
        <v>9.849999999999999E-2</v>
      </c>
      <c r="AM435">
        <f>VLOOKUP($B435,'[1]Plant data'!$A$1:$AB$315,21,0)</f>
        <v>6.3503000000000004E-2</v>
      </c>
      <c r="AN435">
        <f>VLOOKUP($B435,'[1]Plant data'!$A$1:$AB$315,22,0)</f>
        <v>1.41E-2</v>
      </c>
      <c r="AO435" t="str">
        <f>VLOOKUP($B435,'[1]Plant data'!$A$1:$AB$315,23,0)</f>
        <v>NA</v>
      </c>
      <c r="AP435" t="str">
        <f>VLOOKUP($B435,'[1]Plant data'!$A$1:$AB$315,24,0)</f>
        <v>NA</v>
      </c>
      <c r="AQ435" t="str">
        <f>VLOOKUP($B435,'[1]Plant data'!$A$1:$AB$315,25,0)</f>
        <v>NA</v>
      </c>
      <c r="AR435" t="str">
        <f>VLOOKUP($B435,'[1]Plant data'!$A$1:$AB$315,26,0)</f>
        <v>NA</v>
      </c>
      <c r="AS435" t="str">
        <f>VLOOKUP($B435,'[1]Plant data'!$A$1:$AB$315,27,0)</f>
        <v>NA</v>
      </c>
      <c r="AT435" t="str">
        <f>VLOOKUP($B435,'[1]Plant data'!$A$1:$AB$315,28,0)</f>
        <v>Cazetta 2007, Erica &amp; Wesley, unpubl.</v>
      </c>
    </row>
    <row r="436" spans="1:46">
      <c r="A436" s="21" t="s">
        <v>70</v>
      </c>
      <c r="B436" s="22" t="s">
        <v>69</v>
      </c>
      <c r="C436" s="16">
        <v>8</v>
      </c>
      <c r="D436" s="16">
        <v>32</v>
      </c>
      <c r="E436" s="23">
        <f t="shared" si="35"/>
        <v>0.25</v>
      </c>
      <c r="F436" s="16">
        <v>15</v>
      </c>
      <c r="G436" s="19">
        <v>2.5</v>
      </c>
      <c r="H436" s="19"/>
      <c r="I436" s="8">
        <f t="shared" si="34"/>
        <v>0.625</v>
      </c>
      <c r="J436" s="16" t="s">
        <v>224</v>
      </c>
      <c r="K436" s="16" t="s">
        <v>225</v>
      </c>
      <c r="L436" s="16" t="s">
        <v>22</v>
      </c>
      <c r="M436" s="16" t="s">
        <v>23</v>
      </c>
      <c r="N436" s="17">
        <v>15</v>
      </c>
      <c r="O436" s="17">
        <v>6.9235714289999999</v>
      </c>
      <c r="P436" s="16" t="s">
        <v>24</v>
      </c>
      <c r="Q436" s="16" t="s">
        <v>25</v>
      </c>
      <c r="R436" s="16" t="s">
        <v>26</v>
      </c>
      <c r="S436" s="16" t="s">
        <v>27</v>
      </c>
      <c r="T436" t="str">
        <f>VLOOKUP(B436,'[1]Plant data'!$A$1:$AB$315,2,0)</f>
        <v>Burseraceae</v>
      </c>
      <c r="U436" t="str">
        <f>VLOOKUP($B436,'[1]Plant data'!$A$1:$AB$315,3,0)</f>
        <v>Protium almacega</v>
      </c>
      <c r="V436" t="str">
        <f>VLOOKUP($B436,'[1]Plant data'!$A$1:$AB$315,4,0)</f>
        <v>multicolor</v>
      </c>
      <c r="W436" t="str">
        <f>VLOOKUP($B436,'[1]Plant data'!$A$1:$AB$315,5,0)</f>
        <v>YES</v>
      </c>
      <c r="X436">
        <f>VLOOKUP($B436,'[1]Plant data'!$A$1:$AB$315,6,0)</f>
        <v>12.697500000000002</v>
      </c>
      <c r="Y436">
        <f>VLOOKUP($B436,'[1]Plant data'!$A$1:$AB$315,7,0)</f>
        <v>20.348000000000003</v>
      </c>
      <c r="Z436">
        <f>VLOOKUP($B436,'[1]Plant data'!$A$1:$AB$315,8,0)</f>
        <v>8.6583333333333332</v>
      </c>
      <c r="AA436">
        <f>VLOOKUP($B436,'[1]Plant data'!$A$1:$AB$315,9,0)</f>
        <v>13.593999999999999</v>
      </c>
      <c r="AB436">
        <f>VLOOKUP($B436,'[1]Plant data'!$A$1:$AB$315,10,0)</f>
        <v>1.9566000000000001</v>
      </c>
      <c r="AC436">
        <f>VLOOKUP($B436,'[1]Plant data'!$A$1:$AB$315,11,0)</f>
        <v>2.74</v>
      </c>
      <c r="AD436">
        <f>VLOOKUP($B436,'[1]Plant data'!$A$1:$AB$315,12,0)</f>
        <v>0.26463333333333333</v>
      </c>
      <c r="AE436">
        <f>VLOOKUP($B436,'[1]Plant data'!$A$1:$AB$315,13,0)</f>
        <v>0.91759999999999997</v>
      </c>
      <c r="AF436">
        <f>VLOOKUP($B436,'[1]Plant data'!$A$1:$AB$315,14,0)</f>
        <v>0.31730000000000003</v>
      </c>
      <c r="AG436">
        <f>VLOOKUP($B436,'[1]Plant data'!$A$1:$AB$315,15,0)</f>
        <v>1.1324999999999998</v>
      </c>
      <c r="AH436" t="str">
        <f>VLOOKUP($B436,'[1]Plant data'!$A$1:$AB$315,16,0)</f>
        <v>NA</v>
      </c>
      <c r="AI436">
        <f>VLOOKUP($B436,'[1]Plant data'!$A$1:$AB$315,17,0)</f>
        <v>3.9414883677473607</v>
      </c>
      <c r="AJ436" t="str">
        <f>VLOOKUP($B436,'[1]Plant data'!$A$1:$AB$315,18,0)</f>
        <v>ATLANTIC, Cazetta 2007, Donatti 2011, Erica&amp;Wesley, FRUBASE, Camargo 2014, Angel-de-Oliveira 1999</v>
      </c>
      <c r="AK436">
        <f>VLOOKUP($B436,'[1]Plant data'!$A$1:$AB$315,19,0)</f>
        <v>0.80159999999999998</v>
      </c>
      <c r="AL436">
        <f>VLOOKUP($B436,'[1]Plant data'!$A$1:$AB$315,20,0)</f>
        <v>9.849999999999999E-2</v>
      </c>
      <c r="AM436">
        <f>VLOOKUP($B436,'[1]Plant data'!$A$1:$AB$315,21,0)</f>
        <v>6.3503000000000004E-2</v>
      </c>
      <c r="AN436">
        <f>VLOOKUP($B436,'[1]Plant data'!$A$1:$AB$315,22,0)</f>
        <v>1.41E-2</v>
      </c>
      <c r="AO436" t="str">
        <f>VLOOKUP($B436,'[1]Plant data'!$A$1:$AB$315,23,0)</f>
        <v>NA</v>
      </c>
      <c r="AP436" t="str">
        <f>VLOOKUP($B436,'[1]Plant data'!$A$1:$AB$315,24,0)</f>
        <v>NA</v>
      </c>
      <c r="AQ436" t="str">
        <f>VLOOKUP($B436,'[1]Plant data'!$A$1:$AB$315,25,0)</f>
        <v>NA</v>
      </c>
      <c r="AR436" t="str">
        <f>VLOOKUP($B436,'[1]Plant data'!$A$1:$AB$315,26,0)</f>
        <v>NA</v>
      </c>
      <c r="AS436" t="str">
        <f>VLOOKUP($B436,'[1]Plant data'!$A$1:$AB$315,27,0)</f>
        <v>NA</v>
      </c>
      <c r="AT436" t="str">
        <f>VLOOKUP($B436,'[1]Plant data'!$A$1:$AB$315,28,0)</f>
        <v>Cazetta 2007, Erica &amp; Wesley, unpubl.</v>
      </c>
    </row>
    <row r="437" spans="1:46">
      <c r="A437" s="21" t="s">
        <v>104</v>
      </c>
      <c r="B437" s="22" t="s">
        <v>69</v>
      </c>
      <c r="C437" s="16">
        <v>1</v>
      </c>
      <c r="D437" s="16">
        <v>32</v>
      </c>
      <c r="E437" s="23">
        <f t="shared" si="35"/>
        <v>3.125E-2</v>
      </c>
      <c r="F437" s="16">
        <v>5</v>
      </c>
      <c r="G437" s="19">
        <v>5</v>
      </c>
      <c r="H437" s="19"/>
      <c r="I437" s="8">
        <f t="shared" si="34"/>
        <v>0.15625</v>
      </c>
      <c r="J437" s="16" t="s">
        <v>224</v>
      </c>
      <c r="K437" s="16" t="s">
        <v>225</v>
      </c>
      <c r="L437" s="16" t="s">
        <v>93</v>
      </c>
      <c r="M437" s="16" t="s">
        <v>94</v>
      </c>
      <c r="N437" s="17">
        <v>343.5</v>
      </c>
      <c r="O437" s="17">
        <v>30.107272729999998</v>
      </c>
      <c r="P437" s="16" t="s">
        <v>48</v>
      </c>
      <c r="Q437" s="16" t="s">
        <v>25</v>
      </c>
      <c r="R437" s="16" t="s">
        <v>76</v>
      </c>
      <c r="S437" s="16" t="s">
        <v>27</v>
      </c>
      <c r="T437" t="str">
        <f>VLOOKUP(B437,'[1]Plant data'!$A$1:$AB$315,2,0)</f>
        <v>Burseraceae</v>
      </c>
      <c r="U437" t="str">
        <f>VLOOKUP($B437,'[1]Plant data'!$A$1:$AB$315,3,0)</f>
        <v>Protium almacega</v>
      </c>
      <c r="V437" t="str">
        <f>VLOOKUP($B437,'[1]Plant data'!$A$1:$AB$315,4,0)</f>
        <v>multicolor</v>
      </c>
      <c r="W437" t="str">
        <f>VLOOKUP($B437,'[1]Plant data'!$A$1:$AB$315,5,0)</f>
        <v>YES</v>
      </c>
      <c r="X437">
        <f>VLOOKUP($B437,'[1]Plant data'!$A$1:$AB$315,6,0)</f>
        <v>12.697500000000002</v>
      </c>
      <c r="Y437">
        <f>VLOOKUP($B437,'[1]Plant data'!$A$1:$AB$315,7,0)</f>
        <v>20.348000000000003</v>
      </c>
      <c r="Z437">
        <f>VLOOKUP($B437,'[1]Plant data'!$A$1:$AB$315,8,0)</f>
        <v>8.6583333333333332</v>
      </c>
      <c r="AA437">
        <f>VLOOKUP($B437,'[1]Plant data'!$A$1:$AB$315,9,0)</f>
        <v>13.593999999999999</v>
      </c>
      <c r="AB437">
        <f>VLOOKUP($B437,'[1]Plant data'!$A$1:$AB$315,10,0)</f>
        <v>1.9566000000000001</v>
      </c>
      <c r="AC437">
        <f>VLOOKUP($B437,'[1]Plant data'!$A$1:$AB$315,11,0)</f>
        <v>2.74</v>
      </c>
      <c r="AD437">
        <f>VLOOKUP($B437,'[1]Plant data'!$A$1:$AB$315,12,0)</f>
        <v>0.26463333333333333</v>
      </c>
      <c r="AE437">
        <f>VLOOKUP($B437,'[1]Plant data'!$A$1:$AB$315,13,0)</f>
        <v>0.91759999999999997</v>
      </c>
      <c r="AF437">
        <f>VLOOKUP($B437,'[1]Plant data'!$A$1:$AB$315,14,0)</f>
        <v>0.31730000000000003</v>
      </c>
      <c r="AG437">
        <f>VLOOKUP($B437,'[1]Plant data'!$A$1:$AB$315,15,0)</f>
        <v>1.1324999999999998</v>
      </c>
      <c r="AH437" t="str">
        <f>VLOOKUP($B437,'[1]Plant data'!$A$1:$AB$315,16,0)</f>
        <v>NA</v>
      </c>
      <c r="AI437">
        <f>VLOOKUP($B437,'[1]Plant data'!$A$1:$AB$315,17,0)</f>
        <v>3.9414883677473607</v>
      </c>
      <c r="AJ437" t="str">
        <f>VLOOKUP($B437,'[1]Plant data'!$A$1:$AB$315,18,0)</f>
        <v>ATLANTIC, Cazetta 2007, Donatti 2011, Erica&amp;Wesley, FRUBASE, Camargo 2014, Angel-de-Oliveira 1999</v>
      </c>
      <c r="AK437">
        <f>VLOOKUP($B437,'[1]Plant data'!$A$1:$AB$315,19,0)</f>
        <v>0.80159999999999998</v>
      </c>
      <c r="AL437">
        <f>VLOOKUP($B437,'[1]Plant data'!$A$1:$AB$315,20,0)</f>
        <v>9.849999999999999E-2</v>
      </c>
      <c r="AM437">
        <f>VLOOKUP($B437,'[1]Plant data'!$A$1:$AB$315,21,0)</f>
        <v>6.3503000000000004E-2</v>
      </c>
      <c r="AN437">
        <f>VLOOKUP($B437,'[1]Plant data'!$A$1:$AB$315,22,0)</f>
        <v>1.41E-2</v>
      </c>
      <c r="AO437" t="str">
        <f>VLOOKUP($B437,'[1]Plant data'!$A$1:$AB$315,23,0)</f>
        <v>NA</v>
      </c>
      <c r="AP437" t="str">
        <f>VLOOKUP($B437,'[1]Plant data'!$A$1:$AB$315,24,0)</f>
        <v>NA</v>
      </c>
      <c r="AQ437" t="str">
        <f>VLOOKUP($B437,'[1]Plant data'!$A$1:$AB$315,25,0)</f>
        <v>NA</v>
      </c>
      <c r="AR437" t="str">
        <f>VLOOKUP($B437,'[1]Plant data'!$A$1:$AB$315,26,0)</f>
        <v>NA</v>
      </c>
      <c r="AS437" t="str">
        <f>VLOOKUP($B437,'[1]Plant data'!$A$1:$AB$315,27,0)</f>
        <v>NA</v>
      </c>
      <c r="AT437" t="str">
        <f>VLOOKUP($B437,'[1]Plant data'!$A$1:$AB$315,28,0)</f>
        <v>Cazetta 2007, Erica &amp; Wesley, unpubl.</v>
      </c>
    </row>
    <row r="438" spans="1:46">
      <c r="A438" s="21" t="s">
        <v>41</v>
      </c>
      <c r="B438" s="31" t="s">
        <v>69</v>
      </c>
      <c r="C438" s="16">
        <v>12</v>
      </c>
      <c r="D438" s="16">
        <v>32</v>
      </c>
      <c r="E438" s="23">
        <f t="shared" si="35"/>
        <v>0.375</v>
      </c>
      <c r="F438" s="16">
        <v>30</v>
      </c>
      <c r="G438" s="19">
        <v>3</v>
      </c>
      <c r="H438" s="19"/>
      <c r="I438" s="8">
        <f t="shared" si="34"/>
        <v>1.125</v>
      </c>
      <c r="J438" s="16" t="s">
        <v>224</v>
      </c>
      <c r="K438" s="16" t="s">
        <v>225</v>
      </c>
      <c r="L438" s="16" t="s">
        <v>22</v>
      </c>
      <c r="M438" s="16" t="s">
        <v>30</v>
      </c>
      <c r="N438" s="17">
        <v>39</v>
      </c>
      <c r="O438" s="17">
        <v>8.2839869279999991</v>
      </c>
      <c r="P438" s="16" t="s">
        <v>24</v>
      </c>
      <c r="Q438" s="16" t="s">
        <v>25</v>
      </c>
      <c r="R438" s="16" t="s">
        <v>26</v>
      </c>
      <c r="S438" s="16" t="s">
        <v>31</v>
      </c>
      <c r="T438" t="str">
        <f>VLOOKUP(B438,'[1]Plant data'!$A$1:$AB$315,2,0)</f>
        <v>Burseraceae</v>
      </c>
      <c r="U438" t="str">
        <f>VLOOKUP($B438,'[1]Plant data'!$A$1:$AB$315,3,0)</f>
        <v>Protium almacega</v>
      </c>
      <c r="V438" t="str">
        <f>VLOOKUP($B438,'[1]Plant data'!$A$1:$AB$315,4,0)</f>
        <v>multicolor</v>
      </c>
      <c r="W438" t="str">
        <f>VLOOKUP($B438,'[1]Plant data'!$A$1:$AB$315,5,0)</f>
        <v>YES</v>
      </c>
      <c r="X438">
        <f>VLOOKUP($B438,'[1]Plant data'!$A$1:$AB$315,6,0)</f>
        <v>12.697500000000002</v>
      </c>
      <c r="Y438">
        <f>VLOOKUP($B438,'[1]Plant data'!$A$1:$AB$315,7,0)</f>
        <v>20.348000000000003</v>
      </c>
      <c r="Z438">
        <f>VLOOKUP($B438,'[1]Plant data'!$A$1:$AB$315,8,0)</f>
        <v>8.6583333333333332</v>
      </c>
      <c r="AA438">
        <f>VLOOKUP($B438,'[1]Plant data'!$A$1:$AB$315,9,0)</f>
        <v>13.593999999999999</v>
      </c>
      <c r="AB438">
        <f>VLOOKUP($B438,'[1]Plant data'!$A$1:$AB$315,10,0)</f>
        <v>1.9566000000000001</v>
      </c>
      <c r="AC438">
        <f>VLOOKUP($B438,'[1]Plant data'!$A$1:$AB$315,11,0)</f>
        <v>2.74</v>
      </c>
      <c r="AD438">
        <f>VLOOKUP($B438,'[1]Plant data'!$A$1:$AB$315,12,0)</f>
        <v>0.26463333333333333</v>
      </c>
      <c r="AE438">
        <f>VLOOKUP($B438,'[1]Plant data'!$A$1:$AB$315,13,0)</f>
        <v>0.91759999999999997</v>
      </c>
      <c r="AF438">
        <f>VLOOKUP($B438,'[1]Plant data'!$A$1:$AB$315,14,0)</f>
        <v>0.31730000000000003</v>
      </c>
      <c r="AG438">
        <f>VLOOKUP($B438,'[1]Plant data'!$A$1:$AB$315,15,0)</f>
        <v>1.1324999999999998</v>
      </c>
      <c r="AH438" t="str">
        <f>VLOOKUP($B438,'[1]Plant data'!$A$1:$AB$315,16,0)</f>
        <v>NA</v>
      </c>
      <c r="AI438">
        <f>VLOOKUP($B438,'[1]Plant data'!$A$1:$AB$315,17,0)</f>
        <v>3.9414883677473607</v>
      </c>
      <c r="AJ438" t="str">
        <f>VLOOKUP($B438,'[1]Plant data'!$A$1:$AB$315,18,0)</f>
        <v>ATLANTIC, Cazetta 2007, Donatti 2011, Erica&amp;Wesley, FRUBASE, Camargo 2014, Angel-de-Oliveira 1999</v>
      </c>
      <c r="AK438">
        <f>VLOOKUP($B438,'[1]Plant data'!$A$1:$AB$315,19,0)</f>
        <v>0.80159999999999998</v>
      </c>
      <c r="AL438">
        <f>VLOOKUP($B438,'[1]Plant data'!$A$1:$AB$315,20,0)</f>
        <v>9.849999999999999E-2</v>
      </c>
      <c r="AM438">
        <f>VLOOKUP($B438,'[1]Plant data'!$A$1:$AB$315,21,0)</f>
        <v>6.3503000000000004E-2</v>
      </c>
      <c r="AN438">
        <f>VLOOKUP($B438,'[1]Plant data'!$A$1:$AB$315,22,0)</f>
        <v>1.41E-2</v>
      </c>
      <c r="AO438" t="str">
        <f>VLOOKUP($B438,'[1]Plant data'!$A$1:$AB$315,23,0)</f>
        <v>NA</v>
      </c>
      <c r="AP438" t="str">
        <f>VLOOKUP($B438,'[1]Plant data'!$A$1:$AB$315,24,0)</f>
        <v>NA</v>
      </c>
      <c r="AQ438" t="str">
        <f>VLOOKUP($B438,'[1]Plant data'!$A$1:$AB$315,25,0)</f>
        <v>NA</v>
      </c>
      <c r="AR438" t="str">
        <f>VLOOKUP($B438,'[1]Plant data'!$A$1:$AB$315,26,0)</f>
        <v>NA</v>
      </c>
      <c r="AS438" t="str">
        <f>VLOOKUP($B438,'[1]Plant data'!$A$1:$AB$315,27,0)</f>
        <v>NA</v>
      </c>
      <c r="AT438" t="str">
        <f>VLOOKUP($B438,'[1]Plant data'!$A$1:$AB$315,28,0)</f>
        <v>Cazetta 2007, Erica &amp; Wesley, unpubl.</v>
      </c>
    </row>
    <row r="439" spans="1:46">
      <c r="A439" s="21" t="s">
        <v>43</v>
      </c>
      <c r="B439" s="31" t="s">
        <v>69</v>
      </c>
      <c r="C439" s="16">
        <v>14</v>
      </c>
      <c r="D439" s="16">
        <v>32</v>
      </c>
      <c r="E439" s="23">
        <f t="shared" si="35"/>
        <v>0.4375</v>
      </c>
      <c r="F439" s="16">
        <v>44</v>
      </c>
      <c r="G439" s="19">
        <v>3.7</v>
      </c>
      <c r="H439" s="19"/>
      <c r="I439" s="8">
        <f t="shared" si="34"/>
        <v>1.6187500000000001</v>
      </c>
      <c r="J439" s="16" t="s">
        <v>224</v>
      </c>
      <c r="K439" s="16" t="s">
        <v>225</v>
      </c>
      <c r="L439" s="16" t="s">
        <v>22</v>
      </c>
      <c r="M439" s="16" t="s">
        <v>30</v>
      </c>
      <c r="N439" s="17">
        <v>32.5</v>
      </c>
      <c r="O439" s="17">
        <v>8.9205555560000001</v>
      </c>
      <c r="P439" s="16" t="s">
        <v>24</v>
      </c>
      <c r="Q439" s="16" t="s">
        <v>25</v>
      </c>
      <c r="R439" s="16" t="s">
        <v>26</v>
      </c>
      <c r="S439" s="16" t="s">
        <v>31</v>
      </c>
      <c r="T439" t="str">
        <f>VLOOKUP(B439,'[1]Plant data'!$A$1:$AB$315,2,0)</f>
        <v>Burseraceae</v>
      </c>
      <c r="U439" t="str">
        <f>VLOOKUP($B439,'[1]Plant data'!$A$1:$AB$315,3,0)</f>
        <v>Protium almacega</v>
      </c>
      <c r="V439" t="str">
        <f>VLOOKUP($B439,'[1]Plant data'!$A$1:$AB$315,4,0)</f>
        <v>multicolor</v>
      </c>
      <c r="W439" t="str">
        <f>VLOOKUP($B439,'[1]Plant data'!$A$1:$AB$315,5,0)</f>
        <v>YES</v>
      </c>
      <c r="X439">
        <f>VLOOKUP($B439,'[1]Plant data'!$A$1:$AB$315,6,0)</f>
        <v>12.697500000000002</v>
      </c>
      <c r="Y439">
        <f>VLOOKUP($B439,'[1]Plant data'!$A$1:$AB$315,7,0)</f>
        <v>20.348000000000003</v>
      </c>
      <c r="Z439">
        <f>VLOOKUP($B439,'[1]Plant data'!$A$1:$AB$315,8,0)</f>
        <v>8.6583333333333332</v>
      </c>
      <c r="AA439">
        <f>VLOOKUP($B439,'[1]Plant data'!$A$1:$AB$315,9,0)</f>
        <v>13.593999999999999</v>
      </c>
      <c r="AB439">
        <f>VLOOKUP($B439,'[1]Plant data'!$A$1:$AB$315,10,0)</f>
        <v>1.9566000000000001</v>
      </c>
      <c r="AC439">
        <f>VLOOKUP($B439,'[1]Plant data'!$A$1:$AB$315,11,0)</f>
        <v>2.74</v>
      </c>
      <c r="AD439">
        <f>VLOOKUP($B439,'[1]Plant data'!$A$1:$AB$315,12,0)</f>
        <v>0.26463333333333333</v>
      </c>
      <c r="AE439">
        <f>VLOOKUP($B439,'[1]Plant data'!$A$1:$AB$315,13,0)</f>
        <v>0.91759999999999997</v>
      </c>
      <c r="AF439">
        <f>VLOOKUP($B439,'[1]Plant data'!$A$1:$AB$315,14,0)</f>
        <v>0.31730000000000003</v>
      </c>
      <c r="AG439">
        <f>VLOOKUP($B439,'[1]Plant data'!$A$1:$AB$315,15,0)</f>
        <v>1.1324999999999998</v>
      </c>
      <c r="AH439" t="str">
        <f>VLOOKUP($B439,'[1]Plant data'!$A$1:$AB$315,16,0)</f>
        <v>NA</v>
      </c>
      <c r="AI439">
        <f>VLOOKUP($B439,'[1]Plant data'!$A$1:$AB$315,17,0)</f>
        <v>3.9414883677473607</v>
      </c>
      <c r="AJ439" t="str">
        <f>VLOOKUP($B439,'[1]Plant data'!$A$1:$AB$315,18,0)</f>
        <v>ATLANTIC, Cazetta 2007, Donatti 2011, Erica&amp;Wesley, FRUBASE, Camargo 2014, Angel-de-Oliveira 1999</v>
      </c>
      <c r="AK439">
        <f>VLOOKUP($B439,'[1]Plant data'!$A$1:$AB$315,19,0)</f>
        <v>0.80159999999999998</v>
      </c>
      <c r="AL439">
        <f>VLOOKUP($B439,'[1]Plant data'!$A$1:$AB$315,20,0)</f>
        <v>9.849999999999999E-2</v>
      </c>
      <c r="AM439">
        <f>VLOOKUP($B439,'[1]Plant data'!$A$1:$AB$315,21,0)</f>
        <v>6.3503000000000004E-2</v>
      </c>
      <c r="AN439">
        <f>VLOOKUP($B439,'[1]Plant data'!$A$1:$AB$315,22,0)</f>
        <v>1.41E-2</v>
      </c>
      <c r="AO439" t="str">
        <f>VLOOKUP($B439,'[1]Plant data'!$A$1:$AB$315,23,0)</f>
        <v>NA</v>
      </c>
      <c r="AP439" t="str">
        <f>VLOOKUP($B439,'[1]Plant data'!$A$1:$AB$315,24,0)</f>
        <v>NA</v>
      </c>
      <c r="AQ439" t="str">
        <f>VLOOKUP($B439,'[1]Plant data'!$A$1:$AB$315,25,0)</f>
        <v>NA</v>
      </c>
      <c r="AR439" t="str">
        <f>VLOOKUP($B439,'[1]Plant data'!$A$1:$AB$315,26,0)</f>
        <v>NA</v>
      </c>
      <c r="AS439" t="str">
        <f>VLOOKUP($B439,'[1]Plant data'!$A$1:$AB$315,27,0)</f>
        <v>NA</v>
      </c>
      <c r="AT439" t="str">
        <f>VLOOKUP($B439,'[1]Plant data'!$A$1:$AB$315,28,0)</f>
        <v>Cazetta 2007, Erica &amp; Wesley, unpubl.</v>
      </c>
    </row>
    <row r="440" spans="1:46">
      <c r="A440" s="21" t="s">
        <v>46</v>
      </c>
      <c r="B440" s="31" t="s">
        <v>69</v>
      </c>
      <c r="C440" s="16">
        <v>1</v>
      </c>
      <c r="D440" s="16">
        <v>32</v>
      </c>
      <c r="E440" s="23">
        <f t="shared" si="35"/>
        <v>3.125E-2</v>
      </c>
      <c r="F440" s="16">
        <v>1</v>
      </c>
      <c r="G440" s="19">
        <v>1</v>
      </c>
      <c r="H440" s="19"/>
      <c r="I440" s="8">
        <f t="shared" si="34"/>
        <v>3.125E-2</v>
      </c>
      <c r="J440" s="16" t="s">
        <v>224</v>
      </c>
      <c r="K440" s="16" t="s">
        <v>225</v>
      </c>
      <c r="L440" s="16" t="s">
        <v>22</v>
      </c>
      <c r="M440" s="16" t="s">
        <v>47</v>
      </c>
      <c r="N440" s="17">
        <v>54</v>
      </c>
      <c r="O440" s="17">
        <v>11.14875</v>
      </c>
      <c r="P440" s="16" t="s">
        <v>48</v>
      </c>
      <c r="Q440" s="16" t="s">
        <v>49</v>
      </c>
      <c r="R440" s="16" t="s">
        <v>26</v>
      </c>
      <c r="S440" s="16" t="s">
        <v>31</v>
      </c>
      <c r="T440" t="str">
        <f>VLOOKUP(B440,'[1]Plant data'!$A$1:$AB$315,2,0)</f>
        <v>Burseraceae</v>
      </c>
      <c r="U440" t="str">
        <f>VLOOKUP($B440,'[1]Plant data'!$A$1:$AB$315,3,0)</f>
        <v>Protium almacega</v>
      </c>
      <c r="V440" t="str">
        <f>VLOOKUP($B440,'[1]Plant data'!$A$1:$AB$315,4,0)</f>
        <v>multicolor</v>
      </c>
      <c r="W440" t="str">
        <f>VLOOKUP($B440,'[1]Plant data'!$A$1:$AB$315,5,0)</f>
        <v>YES</v>
      </c>
      <c r="X440">
        <f>VLOOKUP($B440,'[1]Plant data'!$A$1:$AB$315,6,0)</f>
        <v>12.697500000000002</v>
      </c>
      <c r="Y440">
        <f>VLOOKUP($B440,'[1]Plant data'!$A$1:$AB$315,7,0)</f>
        <v>20.348000000000003</v>
      </c>
      <c r="Z440">
        <f>VLOOKUP($B440,'[1]Plant data'!$A$1:$AB$315,8,0)</f>
        <v>8.6583333333333332</v>
      </c>
      <c r="AA440">
        <f>VLOOKUP($B440,'[1]Plant data'!$A$1:$AB$315,9,0)</f>
        <v>13.593999999999999</v>
      </c>
      <c r="AB440">
        <f>VLOOKUP($B440,'[1]Plant data'!$A$1:$AB$315,10,0)</f>
        <v>1.9566000000000001</v>
      </c>
      <c r="AC440">
        <f>VLOOKUP($B440,'[1]Plant data'!$A$1:$AB$315,11,0)</f>
        <v>2.74</v>
      </c>
      <c r="AD440">
        <f>VLOOKUP($B440,'[1]Plant data'!$A$1:$AB$315,12,0)</f>
        <v>0.26463333333333333</v>
      </c>
      <c r="AE440">
        <f>VLOOKUP($B440,'[1]Plant data'!$A$1:$AB$315,13,0)</f>
        <v>0.91759999999999997</v>
      </c>
      <c r="AF440">
        <f>VLOOKUP($B440,'[1]Plant data'!$A$1:$AB$315,14,0)</f>
        <v>0.31730000000000003</v>
      </c>
      <c r="AG440">
        <f>VLOOKUP($B440,'[1]Plant data'!$A$1:$AB$315,15,0)</f>
        <v>1.1324999999999998</v>
      </c>
      <c r="AH440" t="str">
        <f>VLOOKUP($B440,'[1]Plant data'!$A$1:$AB$315,16,0)</f>
        <v>NA</v>
      </c>
      <c r="AI440">
        <f>VLOOKUP($B440,'[1]Plant data'!$A$1:$AB$315,17,0)</f>
        <v>3.9414883677473607</v>
      </c>
      <c r="AJ440" t="str">
        <f>VLOOKUP($B440,'[1]Plant data'!$A$1:$AB$315,18,0)</f>
        <v>ATLANTIC, Cazetta 2007, Donatti 2011, Erica&amp;Wesley, FRUBASE, Camargo 2014, Angel-de-Oliveira 1999</v>
      </c>
      <c r="AK440">
        <f>VLOOKUP($B440,'[1]Plant data'!$A$1:$AB$315,19,0)</f>
        <v>0.80159999999999998</v>
      </c>
      <c r="AL440">
        <f>VLOOKUP($B440,'[1]Plant data'!$A$1:$AB$315,20,0)</f>
        <v>9.849999999999999E-2</v>
      </c>
      <c r="AM440">
        <f>VLOOKUP($B440,'[1]Plant data'!$A$1:$AB$315,21,0)</f>
        <v>6.3503000000000004E-2</v>
      </c>
      <c r="AN440">
        <f>VLOOKUP($B440,'[1]Plant data'!$A$1:$AB$315,22,0)</f>
        <v>1.41E-2</v>
      </c>
      <c r="AO440" t="str">
        <f>VLOOKUP($B440,'[1]Plant data'!$A$1:$AB$315,23,0)</f>
        <v>NA</v>
      </c>
      <c r="AP440" t="str">
        <f>VLOOKUP($B440,'[1]Plant data'!$A$1:$AB$315,24,0)</f>
        <v>NA</v>
      </c>
      <c r="AQ440" t="str">
        <f>VLOOKUP($B440,'[1]Plant data'!$A$1:$AB$315,25,0)</f>
        <v>NA</v>
      </c>
      <c r="AR440" t="str">
        <f>VLOOKUP($B440,'[1]Plant data'!$A$1:$AB$315,26,0)</f>
        <v>NA</v>
      </c>
      <c r="AS440" t="str">
        <f>VLOOKUP($B440,'[1]Plant data'!$A$1:$AB$315,27,0)</f>
        <v>NA</v>
      </c>
      <c r="AT440" t="str">
        <f>VLOOKUP($B440,'[1]Plant data'!$A$1:$AB$315,28,0)</f>
        <v>Cazetta 2007, Erica &amp; Wesley, unpubl.</v>
      </c>
    </row>
    <row r="441" spans="1:46">
      <c r="A441" s="21" t="s">
        <v>50</v>
      </c>
      <c r="B441" s="31" t="s">
        <v>69</v>
      </c>
      <c r="C441" s="16">
        <v>11</v>
      </c>
      <c r="D441" s="16">
        <v>32</v>
      </c>
      <c r="E441" s="23">
        <f t="shared" si="35"/>
        <v>0.34375</v>
      </c>
      <c r="F441" s="16">
        <v>8</v>
      </c>
      <c r="G441" s="19">
        <v>1.3</v>
      </c>
      <c r="H441" s="19"/>
      <c r="I441" s="8">
        <f t="shared" si="34"/>
        <v>0.44687500000000002</v>
      </c>
      <c r="J441" s="16" t="s">
        <v>224</v>
      </c>
      <c r="K441" s="16" t="s">
        <v>225</v>
      </c>
      <c r="L441" s="16" t="s">
        <v>22</v>
      </c>
      <c r="M441" s="16" t="s">
        <v>47</v>
      </c>
      <c r="N441" s="17">
        <v>69.5</v>
      </c>
      <c r="O441" s="17">
        <v>13.253214290000001</v>
      </c>
      <c r="P441" s="16" t="s">
        <v>48</v>
      </c>
      <c r="Q441" s="16" t="s">
        <v>25</v>
      </c>
      <c r="R441" s="16" t="s">
        <v>26</v>
      </c>
      <c r="S441" s="16" t="s">
        <v>31</v>
      </c>
      <c r="T441" t="str">
        <f>VLOOKUP(B441,'[1]Plant data'!$A$1:$AB$315,2,0)</f>
        <v>Burseraceae</v>
      </c>
      <c r="U441" t="str">
        <f>VLOOKUP($B441,'[1]Plant data'!$A$1:$AB$315,3,0)</f>
        <v>Protium almacega</v>
      </c>
      <c r="V441" t="str">
        <f>VLOOKUP($B441,'[1]Plant data'!$A$1:$AB$315,4,0)</f>
        <v>multicolor</v>
      </c>
      <c r="W441" t="str">
        <f>VLOOKUP($B441,'[1]Plant data'!$A$1:$AB$315,5,0)</f>
        <v>YES</v>
      </c>
      <c r="X441">
        <f>VLOOKUP($B441,'[1]Plant data'!$A$1:$AB$315,6,0)</f>
        <v>12.697500000000002</v>
      </c>
      <c r="Y441">
        <f>VLOOKUP($B441,'[1]Plant data'!$A$1:$AB$315,7,0)</f>
        <v>20.348000000000003</v>
      </c>
      <c r="Z441">
        <f>VLOOKUP($B441,'[1]Plant data'!$A$1:$AB$315,8,0)</f>
        <v>8.6583333333333332</v>
      </c>
      <c r="AA441">
        <f>VLOOKUP($B441,'[1]Plant data'!$A$1:$AB$315,9,0)</f>
        <v>13.593999999999999</v>
      </c>
      <c r="AB441">
        <f>VLOOKUP($B441,'[1]Plant data'!$A$1:$AB$315,10,0)</f>
        <v>1.9566000000000001</v>
      </c>
      <c r="AC441">
        <f>VLOOKUP($B441,'[1]Plant data'!$A$1:$AB$315,11,0)</f>
        <v>2.74</v>
      </c>
      <c r="AD441">
        <f>VLOOKUP($B441,'[1]Plant data'!$A$1:$AB$315,12,0)</f>
        <v>0.26463333333333333</v>
      </c>
      <c r="AE441">
        <f>VLOOKUP($B441,'[1]Plant data'!$A$1:$AB$315,13,0)</f>
        <v>0.91759999999999997</v>
      </c>
      <c r="AF441">
        <f>VLOOKUP($B441,'[1]Plant data'!$A$1:$AB$315,14,0)</f>
        <v>0.31730000000000003</v>
      </c>
      <c r="AG441">
        <f>VLOOKUP($B441,'[1]Plant data'!$A$1:$AB$315,15,0)</f>
        <v>1.1324999999999998</v>
      </c>
      <c r="AH441" t="str">
        <f>VLOOKUP($B441,'[1]Plant data'!$A$1:$AB$315,16,0)</f>
        <v>NA</v>
      </c>
      <c r="AI441">
        <f>VLOOKUP($B441,'[1]Plant data'!$A$1:$AB$315,17,0)</f>
        <v>3.9414883677473607</v>
      </c>
      <c r="AJ441" t="str">
        <f>VLOOKUP($B441,'[1]Plant data'!$A$1:$AB$315,18,0)</f>
        <v>ATLANTIC, Cazetta 2007, Donatti 2011, Erica&amp;Wesley, FRUBASE, Camargo 2014, Angel-de-Oliveira 1999</v>
      </c>
      <c r="AK441">
        <f>VLOOKUP($B441,'[1]Plant data'!$A$1:$AB$315,19,0)</f>
        <v>0.80159999999999998</v>
      </c>
      <c r="AL441">
        <f>VLOOKUP($B441,'[1]Plant data'!$A$1:$AB$315,20,0)</f>
        <v>9.849999999999999E-2</v>
      </c>
      <c r="AM441">
        <f>VLOOKUP($B441,'[1]Plant data'!$A$1:$AB$315,21,0)</f>
        <v>6.3503000000000004E-2</v>
      </c>
      <c r="AN441">
        <f>VLOOKUP($B441,'[1]Plant data'!$A$1:$AB$315,22,0)</f>
        <v>1.41E-2</v>
      </c>
      <c r="AO441" t="str">
        <f>VLOOKUP($B441,'[1]Plant data'!$A$1:$AB$315,23,0)</f>
        <v>NA</v>
      </c>
      <c r="AP441" t="str">
        <f>VLOOKUP($B441,'[1]Plant data'!$A$1:$AB$315,24,0)</f>
        <v>NA</v>
      </c>
      <c r="AQ441" t="str">
        <f>VLOOKUP($B441,'[1]Plant data'!$A$1:$AB$315,25,0)</f>
        <v>NA</v>
      </c>
      <c r="AR441" t="str">
        <f>VLOOKUP($B441,'[1]Plant data'!$A$1:$AB$315,26,0)</f>
        <v>NA</v>
      </c>
      <c r="AS441" t="str">
        <f>VLOOKUP($B441,'[1]Plant data'!$A$1:$AB$315,27,0)</f>
        <v>NA</v>
      </c>
      <c r="AT441" t="str">
        <f>VLOOKUP($B441,'[1]Plant data'!$A$1:$AB$315,28,0)</f>
        <v>Cazetta 2007, Erica &amp; Wesley, unpubl.</v>
      </c>
    </row>
    <row r="442" spans="1:46">
      <c r="A442" s="5" t="s">
        <v>50</v>
      </c>
      <c r="B442" s="32" t="s">
        <v>196</v>
      </c>
      <c r="C442">
        <v>14</v>
      </c>
      <c r="D442">
        <v>2</v>
      </c>
      <c r="E442" s="8">
        <f>C442/2</f>
        <v>7</v>
      </c>
      <c r="F442" t="s">
        <v>19</v>
      </c>
      <c r="G442" s="19">
        <f>(2+10)/2</f>
        <v>6</v>
      </c>
      <c r="H442" s="19"/>
      <c r="I442" s="8">
        <f t="shared" si="34"/>
        <v>42</v>
      </c>
      <c r="J442" s="25" t="s">
        <v>180</v>
      </c>
      <c r="K442" s="25" t="s">
        <v>181</v>
      </c>
      <c r="L442" t="s">
        <v>22</v>
      </c>
      <c r="M442" t="s">
        <v>47</v>
      </c>
      <c r="N442" s="11">
        <v>69.5</v>
      </c>
      <c r="O442" s="11">
        <v>13.253214290000001</v>
      </c>
      <c r="P442" t="s">
        <v>48</v>
      </c>
      <c r="Q442" t="s">
        <v>25</v>
      </c>
      <c r="R442" t="s">
        <v>26</v>
      </c>
      <c r="S442" t="s">
        <v>31</v>
      </c>
      <c r="T442" t="str">
        <f>VLOOKUP(B442,'[1]Plant data'!$A$1:$AB$315,2,0)</f>
        <v>Rosaceae</v>
      </c>
      <c r="U442">
        <f>VLOOKUP($B442,'[1]Plant data'!$A$1:$AB$315,3,0)</f>
        <v>0</v>
      </c>
      <c r="V442" t="str">
        <f>VLOOKUP($B442,'[1]Plant data'!$A$1:$AB$315,4,0)</f>
        <v>black</v>
      </c>
      <c r="W442" t="str">
        <f>VLOOKUP($B442,'[1]Plant data'!$A$1:$AB$315,5,0)</f>
        <v>NO</v>
      </c>
      <c r="X442" t="str">
        <f>VLOOKUP($B442,'[1]Plant data'!$A$1:$AB$315,6,0)</f>
        <v>NA</v>
      </c>
      <c r="Y442" t="str">
        <f>VLOOKUP($B442,'[1]Plant data'!$A$1:$AB$315,7,0)</f>
        <v>NA</v>
      </c>
      <c r="Z442" t="str">
        <f>VLOOKUP($B442,'[1]Plant data'!$A$1:$AB$315,8,0)</f>
        <v>NA</v>
      </c>
      <c r="AA442" t="str">
        <f>VLOOKUP($B442,'[1]Plant data'!$A$1:$AB$315,9,0)</f>
        <v>NA</v>
      </c>
      <c r="AB442" t="str">
        <f>VLOOKUP($B442,'[1]Plant data'!$A$1:$AB$315,10,0)</f>
        <v>NA</v>
      </c>
      <c r="AC442" t="str">
        <f>VLOOKUP($B442,'[1]Plant data'!$A$1:$AB$315,11,0)</f>
        <v>NA</v>
      </c>
      <c r="AD442" t="str">
        <f>VLOOKUP($B442,'[1]Plant data'!$A$1:$AB$315,12,0)</f>
        <v>NA</v>
      </c>
      <c r="AE442" t="str">
        <f>VLOOKUP($B442,'[1]Plant data'!$A$1:$AB$315,13,0)</f>
        <v>NA</v>
      </c>
      <c r="AF442" t="str">
        <f>VLOOKUP($B442,'[1]Plant data'!$A$1:$AB$315,14,0)</f>
        <v>NA</v>
      </c>
      <c r="AG442" t="str">
        <f>VLOOKUP($B442,'[1]Plant data'!$A$1:$AB$315,15,0)</f>
        <v>NA</v>
      </c>
      <c r="AH442" t="str">
        <f>VLOOKUP($B442,'[1]Plant data'!$A$1:$AB$315,16,0)</f>
        <v>NA</v>
      </c>
      <c r="AI442" t="str">
        <f>VLOOKUP($B442,'[1]Plant data'!$A$1:$AB$315,17,0)</f>
        <v>NA</v>
      </c>
      <c r="AJ442" t="str">
        <f>VLOOKUP($B442,'[1]Plant data'!$A$1:$AB$315,18,0)</f>
        <v>NA</v>
      </c>
      <c r="AK442" t="str">
        <f>VLOOKUP($B442,'[1]Plant data'!$A$1:$AB$315,19,0)</f>
        <v>NA</v>
      </c>
      <c r="AL442" t="str">
        <f>VLOOKUP($B442,'[1]Plant data'!$A$1:$AB$315,20,0)</f>
        <v>NA</v>
      </c>
      <c r="AM442" t="str">
        <f>VLOOKUP($B442,'[1]Plant data'!$A$1:$AB$315,21,0)</f>
        <v>NA</v>
      </c>
      <c r="AN442" t="str">
        <f>VLOOKUP($B442,'[1]Plant data'!$A$1:$AB$315,22,0)</f>
        <v>NA</v>
      </c>
      <c r="AO442" t="str">
        <f>VLOOKUP($B442,'[1]Plant data'!$A$1:$AB$315,23,0)</f>
        <v>NA</v>
      </c>
      <c r="AP442" t="str">
        <f>VLOOKUP($B442,'[1]Plant data'!$A$1:$AB$315,24,0)</f>
        <v>NA</v>
      </c>
      <c r="AQ442" t="str">
        <f>VLOOKUP($B442,'[1]Plant data'!$A$1:$AB$315,25,0)</f>
        <v>NA</v>
      </c>
      <c r="AR442" t="str">
        <f>VLOOKUP($B442,'[1]Plant data'!$A$1:$AB$315,26,0)</f>
        <v>NA</v>
      </c>
      <c r="AS442" t="str">
        <f>VLOOKUP($B442,'[1]Plant data'!$A$1:$AB$315,27,0)</f>
        <v>NA</v>
      </c>
      <c r="AT442" t="str">
        <f>VLOOKUP($B442,'[1]Plant data'!$A$1:$AB$315,28,0)</f>
        <v>NA</v>
      </c>
    </row>
    <row r="443" spans="1:46">
      <c r="A443" s="18" t="s">
        <v>65</v>
      </c>
      <c r="B443" s="33" t="s">
        <v>280</v>
      </c>
      <c r="C443" s="7">
        <v>3</v>
      </c>
      <c r="D443" s="7">
        <v>47</v>
      </c>
      <c r="E443" s="8">
        <f>C443/D443</f>
        <v>6.3829787234042548E-2</v>
      </c>
      <c r="F443" s="8" t="s">
        <v>19</v>
      </c>
      <c r="G443" s="8" t="s">
        <v>19</v>
      </c>
      <c r="H443" s="8"/>
      <c r="I443" s="8" t="s">
        <v>19</v>
      </c>
      <c r="J443" t="s">
        <v>281</v>
      </c>
      <c r="K443" t="s">
        <v>282</v>
      </c>
      <c r="L443" t="s">
        <v>22</v>
      </c>
      <c r="M443" t="s">
        <v>23</v>
      </c>
      <c r="N443" s="11">
        <v>11</v>
      </c>
      <c r="O443" s="11">
        <v>6.1466666669999999</v>
      </c>
      <c r="P443" t="s">
        <v>24</v>
      </c>
      <c r="Q443" t="s">
        <v>25</v>
      </c>
      <c r="R443" t="s">
        <v>26</v>
      </c>
      <c r="S443" s="13" t="s">
        <v>31</v>
      </c>
      <c r="T443" t="str">
        <f>VLOOKUP(B443,'[1]Plant data'!$A$1:$AB$315,2,0)</f>
        <v>Myrtaceae</v>
      </c>
      <c r="U443">
        <f>VLOOKUP($B443,'[1]Plant data'!$A$1:$AB$315,3,0)</f>
        <v>0</v>
      </c>
      <c r="V443" t="str">
        <f>VLOOKUP($B443,'[1]Plant data'!$A$1:$AB$315,4,0)</f>
        <v>yellow</v>
      </c>
      <c r="W443" t="str">
        <f>VLOOKUP($B443,'[1]Plant data'!$A$1:$AB$315,5,0)</f>
        <v>YES</v>
      </c>
      <c r="X443">
        <f>VLOOKUP($B443,'[1]Plant data'!$A$1:$AB$315,6,0)</f>
        <v>58.672222222222224</v>
      </c>
      <c r="Y443">
        <f>VLOOKUP($B443,'[1]Plant data'!$A$1:$AB$315,7,0)</f>
        <v>67.12777777777778</v>
      </c>
      <c r="Z443">
        <f>VLOOKUP($B443,'[1]Plant data'!$A$1:$AB$315,8,0)</f>
        <v>1.79375</v>
      </c>
      <c r="AA443">
        <f>VLOOKUP($B443,'[1]Plant data'!$A$1:$AB$315,9,0)</f>
        <v>2.9491666666666667</v>
      </c>
      <c r="AB443">
        <f>VLOOKUP($B443,'[1]Plant data'!$A$1:$AB$315,10,0)</f>
        <v>60.098416666666672</v>
      </c>
      <c r="AC443" t="str">
        <f>VLOOKUP($B443,'[1]Plant data'!$A$1:$AB$315,11,0)</f>
        <v>NA</v>
      </c>
      <c r="AD443">
        <f>VLOOKUP($B443,'[1]Plant data'!$A$1:$AB$315,12,0)</f>
        <v>0.20866666666666667</v>
      </c>
      <c r="AE443">
        <f>VLOOKUP($B443,'[1]Plant data'!$A$1:$AB$315,13,0)</f>
        <v>94.884500000000003</v>
      </c>
      <c r="AF443">
        <f>VLOOKUP($B443,'[1]Plant data'!$A$1:$AB$315,14,0)</f>
        <v>31.156166666666667</v>
      </c>
      <c r="AG443">
        <f>VLOOKUP($B443,'[1]Plant data'!$A$1:$AB$315,15,0)</f>
        <v>170.16666666666666</v>
      </c>
      <c r="AH443" t="str">
        <f>VLOOKUP($B443,'[1]Plant data'!$A$1:$AB$315,16,0)</f>
        <v>NA</v>
      </c>
      <c r="AI443">
        <f>VLOOKUP($B443,'[1]Plant data'!$A$1:$AB$315,17,0)</f>
        <v>41.034092547210612</v>
      </c>
      <c r="AJ443" t="str">
        <f>VLOOKUP($B443,'[1]Plant data'!$A$1:$AB$315,18,0)</f>
        <v>Castro &amp; Galetti 2004, Erica&amp;Wesley, Fábio Jacomassa, unpubl., Mikich 2002</v>
      </c>
      <c r="AK443">
        <f>VLOOKUP($B443,'[1]Plant data'!$A$1:$AB$315,19,0)</f>
        <v>0.84</v>
      </c>
      <c r="AL443">
        <f>VLOOKUP($B443,'[1]Plant data'!$A$1:$AB$315,20,0)</f>
        <v>1.9101368782054286E-2</v>
      </c>
      <c r="AM443">
        <f>VLOOKUP($B443,'[1]Plant data'!$A$1:$AB$315,21,0)</f>
        <v>3.9645666666666669E-2</v>
      </c>
      <c r="AN443">
        <f>VLOOKUP($B443,'[1]Plant data'!$A$1:$AB$315,22,0)</f>
        <v>0.1821710064166274</v>
      </c>
      <c r="AO443">
        <f>VLOOKUP($B443,'[1]Plant data'!$A$1:$AB$315,23,0)</f>
        <v>0.20872847843683651</v>
      </c>
      <c r="AP443">
        <f>VLOOKUP($B443,'[1]Plant data'!$A$1:$AB$315,24,0)</f>
        <v>0.622</v>
      </c>
      <c r="AQ443" t="str">
        <f>VLOOKUP($B443,'[1]Plant data'!$A$1:$AB$315,25,0)</f>
        <v>NA</v>
      </c>
      <c r="AR443">
        <f>VLOOKUP($B443,'[1]Plant data'!$A$1:$AB$315,26,0)</f>
        <v>3.5000000000000003E-2</v>
      </c>
      <c r="AS443" t="str">
        <f>VLOOKUP($B443,'[1]Plant data'!$A$1:$AB$315,27,0)</f>
        <v>NA</v>
      </c>
      <c r="AT443" t="str">
        <f>VLOOKUP($B443,'[1]Plant data'!$A$1:$AB$315,28,0)</f>
        <v>Erica &amp; Wesley, unpubl., FRUBASE, FRUBASE</v>
      </c>
    </row>
    <row r="444" spans="1:46">
      <c r="A444" s="5" t="s">
        <v>41</v>
      </c>
      <c r="B444" s="32" t="s">
        <v>280</v>
      </c>
      <c r="C444">
        <v>3</v>
      </c>
      <c r="D444">
        <v>47</v>
      </c>
      <c r="E444" s="8">
        <f>C444/D444</f>
        <v>6.3829787234042548E-2</v>
      </c>
      <c r="F444" s="8" t="s">
        <v>19</v>
      </c>
      <c r="G444" s="8" t="s">
        <v>19</v>
      </c>
      <c r="H444" s="8"/>
      <c r="I444" s="8" t="s">
        <v>19</v>
      </c>
      <c r="J444" t="s">
        <v>281</v>
      </c>
      <c r="K444" t="s">
        <v>282</v>
      </c>
      <c r="L444" t="s">
        <v>22</v>
      </c>
      <c r="M444" t="s">
        <v>30</v>
      </c>
      <c r="N444" s="11">
        <v>39</v>
      </c>
      <c r="O444" s="11">
        <v>8.2839869279999991</v>
      </c>
      <c r="P444" t="s">
        <v>24</v>
      </c>
      <c r="Q444" t="s">
        <v>25</v>
      </c>
      <c r="R444" t="s">
        <v>26</v>
      </c>
      <c r="S444" t="s">
        <v>31</v>
      </c>
      <c r="T444" t="str">
        <f>VLOOKUP(B444,'[1]Plant data'!$A$1:$AB$315,2,0)</f>
        <v>Myrtaceae</v>
      </c>
      <c r="U444">
        <f>VLOOKUP($B444,'[1]Plant data'!$A$1:$AB$315,3,0)</f>
        <v>0</v>
      </c>
      <c r="V444" t="str">
        <f>VLOOKUP($B444,'[1]Plant data'!$A$1:$AB$315,4,0)</f>
        <v>yellow</v>
      </c>
      <c r="W444" t="str">
        <f>VLOOKUP($B444,'[1]Plant data'!$A$1:$AB$315,5,0)</f>
        <v>YES</v>
      </c>
      <c r="X444">
        <f>VLOOKUP($B444,'[1]Plant data'!$A$1:$AB$315,6,0)</f>
        <v>58.672222222222224</v>
      </c>
      <c r="Y444">
        <f>VLOOKUP($B444,'[1]Plant data'!$A$1:$AB$315,7,0)</f>
        <v>67.12777777777778</v>
      </c>
      <c r="Z444">
        <f>VLOOKUP($B444,'[1]Plant data'!$A$1:$AB$315,8,0)</f>
        <v>1.79375</v>
      </c>
      <c r="AA444">
        <f>VLOOKUP($B444,'[1]Plant data'!$A$1:$AB$315,9,0)</f>
        <v>2.9491666666666667</v>
      </c>
      <c r="AB444">
        <f>VLOOKUP($B444,'[1]Plant data'!$A$1:$AB$315,10,0)</f>
        <v>60.098416666666672</v>
      </c>
      <c r="AC444" t="str">
        <f>VLOOKUP($B444,'[1]Plant data'!$A$1:$AB$315,11,0)</f>
        <v>NA</v>
      </c>
      <c r="AD444">
        <f>VLOOKUP($B444,'[1]Plant data'!$A$1:$AB$315,12,0)</f>
        <v>0.20866666666666667</v>
      </c>
      <c r="AE444">
        <f>VLOOKUP($B444,'[1]Plant data'!$A$1:$AB$315,13,0)</f>
        <v>94.884500000000003</v>
      </c>
      <c r="AF444">
        <f>VLOOKUP($B444,'[1]Plant data'!$A$1:$AB$315,14,0)</f>
        <v>31.156166666666667</v>
      </c>
      <c r="AG444">
        <f>VLOOKUP($B444,'[1]Plant data'!$A$1:$AB$315,15,0)</f>
        <v>170.16666666666666</v>
      </c>
      <c r="AH444" t="str">
        <f>VLOOKUP($B444,'[1]Plant data'!$A$1:$AB$315,16,0)</f>
        <v>NA</v>
      </c>
      <c r="AI444">
        <f>VLOOKUP($B444,'[1]Plant data'!$A$1:$AB$315,17,0)</f>
        <v>41.034092547210612</v>
      </c>
      <c r="AJ444" t="str">
        <f>VLOOKUP($B444,'[1]Plant data'!$A$1:$AB$315,18,0)</f>
        <v>Castro &amp; Galetti 2004, Erica&amp;Wesley, Fábio Jacomassa, unpubl., Mikich 2002</v>
      </c>
      <c r="AK444">
        <f>VLOOKUP($B444,'[1]Plant data'!$A$1:$AB$315,19,0)</f>
        <v>0.84</v>
      </c>
      <c r="AL444">
        <f>VLOOKUP($B444,'[1]Plant data'!$A$1:$AB$315,20,0)</f>
        <v>1.9101368782054286E-2</v>
      </c>
      <c r="AM444">
        <f>VLOOKUP($B444,'[1]Plant data'!$A$1:$AB$315,21,0)</f>
        <v>3.9645666666666669E-2</v>
      </c>
      <c r="AN444">
        <f>VLOOKUP($B444,'[1]Plant data'!$A$1:$AB$315,22,0)</f>
        <v>0.1821710064166274</v>
      </c>
      <c r="AO444">
        <f>VLOOKUP($B444,'[1]Plant data'!$A$1:$AB$315,23,0)</f>
        <v>0.20872847843683651</v>
      </c>
      <c r="AP444">
        <f>VLOOKUP($B444,'[1]Plant data'!$A$1:$AB$315,24,0)</f>
        <v>0.622</v>
      </c>
      <c r="AQ444" t="str">
        <f>VLOOKUP($B444,'[1]Plant data'!$A$1:$AB$315,25,0)</f>
        <v>NA</v>
      </c>
      <c r="AR444">
        <f>VLOOKUP($B444,'[1]Plant data'!$A$1:$AB$315,26,0)</f>
        <v>3.5000000000000003E-2</v>
      </c>
      <c r="AS444" t="str">
        <f>VLOOKUP($B444,'[1]Plant data'!$A$1:$AB$315,27,0)</f>
        <v>NA</v>
      </c>
      <c r="AT444" t="str">
        <f>VLOOKUP($B444,'[1]Plant data'!$A$1:$AB$315,28,0)</f>
        <v>Erica &amp; Wesley, unpubl., FRUBASE, FRUBASE</v>
      </c>
    </row>
    <row r="445" spans="1:46">
      <c r="A445" s="5" t="s">
        <v>43</v>
      </c>
      <c r="B445" s="32" t="s">
        <v>280</v>
      </c>
      <c r="C445">
        <v>35</v>
      </c>
      <c r="D445">
        <v>47</v>
      </c>
      <c r="E445" s="8">
        <f>C445/D445</f>
        <v>0.74468085106382975</v>
      </c>
      <c r="F445" s="8" t="s">
        <v>19</v>
      </c>
      <c r="G445" s="8" t="s">
        <v>19</v>
      </c>
      <c r="H445" s="8"/>
      <c r="I445" s="8" t="s">
        <v>19</v>
      </c>
      <c r="J445" t="s">
        <v>281</v>
      </c>
      <c r="K445" t="s">
        <v>282</v>
      </c>
      <c r="L445" t="s">
        <v>22</v>
      </c>
      <c r="M445" t="s">
        <v>30</v>
      </c>
      <c r="N445" s="11">
        <v>32.5</v>
      </c>
      <c r="O445" s="11">
        <v>8.9205555560000001</v>
      </c>
      <c r="P445" t="s">
        <v>24</v>
      </c>
      <c r="Q445" t="s">
        <v>25</v>
      </c>
      <c r="R445" t="s">
        <v>26</v>
      </c>
      <c r="S445" t="s">
        <v>31</v>
      </c>
      <c r="T445" t="str">
        <f>VLOOKUP(B445,'[1]Plant data'!$A$1:$AB$315,2,0)</f>
        <v>Myrtaceae</v>
      </c>
      <c r="U445">
        <f>VLOOKUP($B445,'[1]Plant data'!$A$1:$AB$315,3,0)</f>
        <v>0</v>
      </c>
      <c r="V445" t="str">
        <f>VLOOKUP($B445,'[1]Plant data'!$A$1:$AB$315,4,0)</f>
        <v>yellow</v>
      </c>
      <c r="W445" t="str">
        <f>VLOOKUP($B445,'[1]Plant data'!$A$1:$AB$315,5,0)</f>
        <v>YES</v>
      </c>
      <c r="X445">
        <f>VLOOKUP($B445,'[1]Plant data'!$A$1:$AB$315,6,0)</f>
        <v>58.672222222222224</v>
      </c>
      <c r="Y445">
        <f>VLOOKUP($B445,'[1]Plant data'!$A$1:$AB$315,7,0)</f>
        <v>67.12777777777778</v>
      </c>
      <c r="Z445">
        <f>VLOOKUP($B445,'[1]Plant data'!$A$1:$AB$315,8,0)</f>
        <v>1.79375</v>
      </c>
      <c r="AA445">
        <f>VLOOKUP($B445,'[1]Plant data'!$A$1:$AB$315,9,0)</f>
        <v>2.9491666666666667</v>
      </c>
      <c r="AB445">
        <f>VLOOKUP($B445,'[1]Plant data'!$A$1:$AB$315,10,0)</f>
        <v>60.098416666666672</v>
      </c>
      <c r="AC445" t="str">
        <f>VLOOKUP($B445,'[1]Plant data'!$A$1:$AB$315,11,0)</f>
        <v>NA</v>
      </c>
      <c r="AD445">
        <f>VLOOKUP($B445,'[1]Plant data'!$A$1:$AB$315,12,0)</f>
        <v>0.20866666666666667</v>
      </c>
      <c r="AE445">
        <f>VLOOKUP($B445,'[1]Plant data'!$A$1:$AB$315,13,0)</f>
        <v>94.884500000000003</v>
      </c>
      <c r="AF445">
        <f>VLOOKUP($B445,'[1]Plant data'!$A$1:$AB$315,14,0)</f>
        <v>31.156166666666667</v>
      </c>
      <c r="AG445">
        <f>VLOOKUP($B445,'[1]Plant data'!$A$1:$AB$315,15,0)</f>
        <v>170.16666666666666</v>
      </c>
      <c r="AH445" t="str">
        <f>VLOOKUP($B445,'[1]Plant data'!$A$1:$AB$315,16,0)</f>
        <v>NA</v>
      </c>
      <c r="AI445">
        <f>VLOOKUP($B445,'[1]Plant data'!$A$1:$AB$315,17,0)</f>
        <v>41.034092547210612</v>
      </c>
      <c r="AJ445" t="str">
        <f>VLOOKUP($B445,'[1]Plant data'!$A$1:$AB$315,18,0)</f>
        <v>Castro &amp; Galetti 2004, Erica&amp;Wesley, Fábio Jacomassa, unpubl., Mikich 2002</v>
      </c>
      <c r="AK445">
        <f>VLOOKUP($B445,'[1]Plant data'!$A$1:$AB$315,19,0)</f>
        <v>0.84</v>
      </c>
      <c r="AL445">
        <f>VLOOKUP($B445,'[1]Plant data'!$A$1:$AB$315,20,0)</f>
        <v>1.9101368782054286E-2</v>
      </c>
      <c r="AM445">
        <f>VLOOKUP($B445,'[1]Plant data'!$A$1:$AB$315,21,0)</f>
        <v>3.9645666666666669E-2</v>
      </c>
      <c r="AN445">
        <f>VLOOKUP($B445,'[1]Plant data'!$A$1:$AB$315,22,0)</f>
        <v>0.1821710064166274</v>
      </c>
      <c r="AO445">
        <f>VLOOKUP($B445,'[1]Plant data'!$A$1:$AB$315,23,0)</f>
        <v>0.20872847843683651</v>
      </c>
      <c r="AP445">
        <f>VLOOKUP($B445,'[1]Plant data'!$A$1:$AB$315,24,0)</f>
        <v>0.622</v>
      </c>
      <c r="AQ445" t="str">
        <f>VLOOKUP($B445,'[1]Plant data'!$A$1:$AB$315,25,0)</f>
        <v>NA</v>
      </c>
      <c r="AR445">
        <f>VLOOKUP($B445,'[1]Plant data'!$A$1:$AB$315,26,0)</f>
        <v>3.5000000000000003E-2</v>
      </c>
      <c r="AS445" t="str">
        <f>VLOOKUP($B445,'[1]Plant data'!$A$1:$AB$315,27,0)</f>
        <v>NA</v>
      </c>
      <c r="AT445" t="str">
        <f>VLOOKUP($B445,'[1]Plant data'!$A$1:$AB$315,28,0)</f>
        <v>Erica &amp; Wesley, unpubl., FRUBASE, FRUBASE</v>
      </c>
    </row>
    <row r="446" spans="1:46">
      <c r="A446" s="5" t="s">
        <v>96</v>
      </c>
      <c r="B446" s="34" t="s">
        <v>116</v>
      </c>
      <c r="C446" s="7">
        <v>1</v>
      </c>
      <c r="D446" s="7" t="s">
        <v>19</v>
      </c>
      <c r="E446" s="8" t="s">
        <v>19</v>
      </c>
      <c r="F446" s="8" t="s">
        <v>19</v>
      </c>
      <c r="G446" s="8" t="s">
        <v>19</v>
      </c>
      <c r="H446" s="8"/>
      <c r="I446" s="8" t="s">
        <v>19</v>
      </c>
      <c r="J446" s="25" t="s">
        <v>112</v>
      </c>
      <c r="K446" t="s">
        <v>113</v>
      </c>
      <c r="L446" t="s">
        <v>100</v>
      </c>
      <c r="M446" t="s">
        <v>101</v>
      </c>
      <c r="N446" s="11">
        <v>1770</v>
      </c>
      <c r="O446" s="11">
        <v>22.349</v>
      </c>
      <c r="P446" t="s">
        <v>48</v>
      </c>
      <c r="Q446" t="s">
        <v>25</v>
      </c>
      <c r="R446" t="s">
        <v>26</v>
      </c>
      <c r="S446" t="s">
        <v>27</v>
      </c>
      <c r="T446" t="str">
        <f>VLOOKUP(B446,'[1]Plant data'!$A$1:$AB$315,2,0)</f>
        <v>Quiinaceae</v>
      </c>
      <c r="U446" t="str">
        <f>VLOOKUP($B446,'[1]Plant data'!$A$1:$AB$315,3,0)</f>
        <v>NA</v>
      </c>
      <c r="V446" t="str">
        <f>VLOOKUP($B446,'[1]Plant data'!$A$1:$AB$315,4,0)</f>
        <v>yellow</v>
      </c>
      <c r="W446" t="str">
        <f>VLOOKUP($B446,'[1]Plant data'!$A$1:$AB$315,5,0)</f>
        <v>YES</v>
      </c>
      <c r="X446">
        <f>VLOOKUP($B446,'[1]Plant data'!$A$1:$AB$315,6,0)</f>
        <v>15.955</v>
      </c>
      <c r="Y446">
        <f>VLOOKUP($B446,'[1]Plant data'!$A$1:$AB$315,7,0)</f>
        <v>20.855</v>
      </c>
      <c r="Z446">
        <f>VLOOKUP($B446,'[1]Plant data'!$A$1:$AB$315,8,0)</f>
        <v>10.199999999999999</v>
      </c>
      <c r="AA446">
        <f>VLOOKUP($B446,'[1]Plant data'!$A$1:$AB$315,9,0)</f>
        <v>16.634999999999998</v>
      </c>
      <c r="AB446">
        <f>VLOOKUP($B446,'[1]Plant data'!$A$1:$AB$315,10,0)</f>
        <v>3.1950000000000003</v>
      </c>
      <c r="AC446">
        <f>VLOOKUP($B446,'[1]Plant data'!$A$1:$AB$315,11,0)</f>
        <v>1.45</v>
      </c>
      <c r="AD446">
        <f>VLOOKUP($B446,'[1]Plant data'!$A$1:$AB$315,12,0)</f>
        <v>1.9</v>
      </c>
      <c r="AE446">
        <f>VLOOKUP($B446,'[1]Plant data'!$A$1:$AB$315,13,0)</f>
        <v>0.23</v>
      </c>
      <c r="AF446">
        <f>VLOOKUP($B446,'[1]Plant data'!$A$1:$AB$315,14,0)</f>
        <v>1.53</v>
      </c>
      <c r="AG446">
        <f>VLOOKUP($B446,'[1]Plant data'!$A$1:$AB$315,15,0)</f>
        <v>1.5</v>
      </c>
      <c r="AH446" t="str">
        <f>VLOOKUP($B446,'[1]Plant data'!$A$1:$AB$315,16,0)</f>
        <v>NA</v>
      </c>
      <c r="AI446">
        <f>VLOOKUP($B446,'[1]Plant data'!$A$1:$AB$315,17,0)</f>
        <v>0.15032679738562091</v>
      </c>
      <c r="AJ446" t="str">
        <f>VLOOKUP($B446,'[1]Plant data'!$A$1:$AB$315,18,0)</f>
        <v>Cazetta 2007, Intervales_morfo</v>
      </c>
      <c r="AK446">
        <f>VLOOKUP($B446,'[1]Plant data'!$A$1:$AB$315,19,0)</f>
        <v>0.8569</v>
      </c>
      <c r="AL446">
        <f>VLOOKUP($B446,'[1]Plant data'!$A$1:$AB$315,20,0)</f>
        <v>9.9000000000000005E-2</v>
      </c>
      <c r="AM446">
        <f>VLOOKUP($B446,'[1]Plant data'!$A$1:$AB$315,21,0)</f>
        <v>6.2399999999999997E-2</v>
      </c>
      <c r="AN446">
        <f>VLOOKUP($B446,'[1]Plant data'!$A$1:$AB$315,22,0)</f>
        <v>4.0000000000000002E-4</v>
      </c>
      <c r="AO446" t="str">
        <f>VLOOKUP($B446,'[1]Plant data'!$A$1:$AB$315,23,0)</f>
        <v>NA</v>
      </c>
      <c r="AP446" t="str">
        <f>VLOOKUP($B446,'[1]Plant data'!$A$1:$AB$315,24,0)</f>
        <v>NA</v>
      </c>
      <c r="AQ446">
        <f>VLOOKUP($B446,'[1]Plant data'!$A$1:$AB$315,25,0)</f>
        <v>0.69499999999999995</v>
      </c>
      <c r="AR446">
        <f>VLOOKUP($B446,'[1]Plant data'!$A$1:$AB$315,26,0)</f>
        <v>0.19600000000000001</v>
      </c>
      <c r="AS446" t="str">
        <f>VLOOKUP($B446,'[1]Plant data'!$A$1:$AB$315,27,0)</f>
        <v>NA</v>
      </c>
      <c r="AT446" t="str">
        <f>VLOOKUP($B446,'[1]Plant data'!$A$1:$AB$315,28,0)</f>
        <v>Saibadela, Cazetta 2007</v>
      </c>
    </row>
    <row r="447" spans="1:46">
      <c r="A447" s="5" t="s">
        <v>110</v>
      </c>
      <c r="B447" s="34" t="s">
        <v>116</v>
      </c>
      <c r="C447">
        <v>1</v>
      </c>
      <c r="D447" t="s">
        <v>19</v>
      </c>
      <c r="E447" s="9" t="s">
        <v>19</v>
      </c>
      <c r="F447" s="9" t="s">
        <v>19</v>
      </c>
      <c r="G447" s="9" t="s">
        <v>19</v>
      </c>
      <c r="H447" s="9"/>
      <c r="I447" s="8" t="s">
        <v>19</v>
      </c>
      <c r="J447" t="s">
        <v>157</v>
      </c>
      <c r="K447" t="s">
        <v>123</v>
      </c>
      <c r="L447" t="s">
        <v>100</v>
      </c>
      <c r="M447" t="s">
        <v>101</v>
      </c>
      <c r="N447" s="11">
        <v>1250</v>
      </c>
      <c r="O447" s="11">
        <v>19.114999999999998</v>
      </c>
      <c r="P447" t="s">
        <v>48</v>
      </c>
      <c r="Q447" t="s">
        <v>95</v>
      </c>
      <c r="R447" t="s">
        <v>114</v>
      </c>
      <c r="S447" t="s">
        <v>27</v>
      </c>
      <c r="T447" t="str">
        <f>VLOOKUP(B447,'[1]Plant data'!$A$1:$AB$315,2,0)</f>
        <v>Quiinaceae</v>
      </c>
      <c r="U447" t="str">
        <f>VLOOKUP($B447,'[1]Plant data'!$A$1:$AB$315,3,0)</f>
        <v>NA</v>
      </c>
      <c r="V447" t="str">
        <f>VLOOKUP($B447,'[1]Plant data'!$A$1:$AB$315,4,0)</f>
        <v>yellow</v>
      </c>
      <c r="W447" t="str">
        <f>VLOOKUP($B447,'[1]Plant data'!$A$1:$AB$315,5,0)</f>
        <v>YES</v>
      </c>
      <c r="X447">
        <f>VLOOKUP($B447,'[1]Plant data'!$A$1:$AB$315,6,0)</f>
        <v>15.955</v>
      </c>
      <c r="Y447">
        <f>VLOOKUP($B447,'[1]Plant data'!$A$1:$AB$315,7,0)</f>
        <v>20.855</v>
      </c>
      <c r="Z447">
        <f>VLOOKUP($B447,'[1]Plant data'!$A$1:$AB$315,8,0)</f>
        <v>10.199999999999999</v>
      </c>
      <c r="AA447">
        <f>VLOOKUP($B447,'[1]Plant data'!$A$1:$AB$315,9,0)</f>
        <v>16.634999999999998</v>
      </c>
      <c r="AB447">
        <f>VLOOKUP($B447,'[1]Plant data'!$A$1:$AB$315,10,0)</f>
        <v>3.1950000000000003</v>
      </c>
      <c r="AC447">
        <f>VLOOKUP($B447,'[1]Plant data'!$A$1:$AB$315,11,0)</f>
        <v>1.45</v>
      </c>
      <c r="AD447">
        <f>VLOOKUP($B447,'[1]Plant data'!$A$1:$AB$315,12,0)</f>
        <v>1.9</v>
      </c>
      <c r="AE447">
        <f>VLOOKUP($B447,'[1]Plant data'!$A$1:$AB$315,13,0)</f>
        <v>0.23</v>
      </c>
      <c r="AF447">
        <f>VLOOKUP($B447,'[1]Plant data'!$A$1:$AB$315,14,0)</f>
        <v>1.53</v>
      </c>
      <c r="AG447">
        <f>VLOOKUP($B447,'[1]Plant data'!$A$1:$AB$315,15,0)</f>
        <v>1.5</v>
      </c>
      <c r="AH447" t="str">
        <f>VLOOKUP($B447,'[1]Plant data'!$A$1:$AB$315,16,0)</f>
        <v>NA</v>
      </c>
      <c r="AI447">
        <f>VLOOKUP($B447,'[1]Plant data'!$A$1:$AB$315,17,0)</f>
        <v>0.15032679738562091</v>
      </c>
      <c r="AJ447" t="str">
        <f>VLOOKUP($B447,'[1]Plant data'!$A$1:$AB$315,18,0)</f>
        <v>Cazetta 2007, Intervales_morfo</v>
      </c>
      <c r="AK447">
        <f>VLOOKUP($B447,'[1]Plant data'!$A$1:$AB$315,19,0)</f>
        <v>0.8569</v>
      </c>
      <c r="AL447">
        <f>VLOOKUP($B447,'[1]Plant data'!$A$1:$AB$315,20,0)</f>
        <v>9.9000000000000005E-2</v>
      </c>
      <c r="AM447">
        <f>VLOOKUP($B447,'[1]Plant data'!$A$1:$AB$315,21,0)</f>
        <v>6.2399999999999997E-2</v>
      </c>
      <c r="AN447">
        <f>VLOOKUP($B447,'[1]Plant data'!$A$1:$AB$315,22,0)</f>
        <v>4.0000000000000002E-4</v>
      </c>
      <c r="AO447" t="str">
        <f>VLOOKUP($B447,'[1]Plant data'!$A$1:$AB$315,23,0)</f>
        <v>NA</v>
      </c>
      <c r="AP447" t="str">
        <f>VLOOKUP($B447,'[1]Plant data'!$A$1:$AB$315,24,0)</f>
        <v>NA</v>
      </c>
      <c r="AQ447">
        <f>VLOOKUP($B447,'[1]Plant data'!$A$1:$AB$315,25,0)</f>
        <v>0.69499999999999995</v>
      </c>
      <c r="AR447">
        <f>VLOOKUP($B447,'[1]Plant data'!$A$1:$AB$315,26,0)</f>
        <v>0.19600000000000001</v>
      </c>
      <c r="AS447" t="str">
        <f>VLOOKUP($B447,'[1]Plant data'!$A$1:$AB$315,27,0)</f>
        <v>NA</v>
      </c>
      <c r="AT447" t="str">
        <f>VLOOKUP($B447,'[1]Plant data'!$A$1:$AB$315,28,0)</f>
        <v>Saibadela, Cazetta 2007</v>
      </c>
    </row>
    <row r="448" spans="1:46">
      <c r="A448" s="21" t="s">
        <v>43</v>
      </c>
      <c r="B448" s="31" t="s">
        <v>230</v>
      </c>
      <c r="C448" s="16">
        <v>11</v>
      </c>
      <c r="D448" s="16">
        <v>32</v>
      </c>
      <c r="E448" s="23">
        <f>C448/15</f>
        <v>0.73333333333333328</v>
      </c>
      <c r="F448" s="16">
        <v>79</v>
      </c>
      <c r="G448" s="19">
        <v>7.2</v>
      </c>
      <c r="H448" s="19"/>
      <c r="I448" s="8">
        <f t="shared" ref="I448:I460" si="36">E448*G448</f>
        <v>5.2799999999999994</v>
      </c>
      <c r="J448" s="16" t="s">
        <v>224</v>
      </c>
      <c r="K448" s="16" t="s">
        <v>225</v>
      </c>
      <c r="L448" s="16" t="s">
        <v>22</v>
      </c>
      <c r="M448" s="16" t="s">
        <v>30</v>
      </c>
      <c r="N448" s="17">
        <v>32.5</v>
      </c>
      <c r="O448" s="17">
        <v>8.9205555560000001</v>
      </c>
      <c r="P448" s="16" t="s">
        <v>24</v>
      </c>
      <c r="Q448" s="16" t="s">
        <v>25</v>
      </c>
      <c r="R448" s="16" t="s">
        <v>26</v>
      </c>
      <c r="S448" s="16" t="s">
        <v>31</v>
      </c>
      <c r="T448" t="str">
        <f>VLOOKUP(B448,'[1]Plant data'!$A$1:$AB$315,2,0)</f>
        <v>Phyllanthaceae</v>
      </c>
      <c r="U448" t="str">
        <f>VLOOKUP($B448,'[1]Plant data'!$A$1:$AB$315,3,0)</f>
        <v>NA</v>
      </c>
      <c r="V448" t="str">
        <f>VLOOKUP($B448,'[1]Plant data'!$A$1:$AB$315,4,0)</f>
        <v>red</v>
      </c>
      <c r="W448" t="str">
        <f>VLOOKUP($B448,'[1]Plant data'!$A$1:$AB$315,5,0)</f>
        <v>YES</v>
      </c>
      <c r="X448">
        <f>VLOOKUP($B448,'[1]Plant data'!$A$1:$AB$315,6,0)</f>
        <v>7.3</v>
      </c>
      <c r="Y448">
        <f>VLOOKUP($B448,'[1]Plant data'!$A$1:$AB$315,7,0)</f>
        <v>11.3</v>
      </c>
      <c r="Z448">
        <f>VLOOKUP($B448,'[1]Plant data'!$A$1:$AB$315,8,0)</f>
        <v>3.8</v>
      </c>
      <c r="AA448">
        <f>VLOOKUP($B448,'[1]Plant data'!$A$1:$AB$315,9,0)</f>
        <v>6.8</v>
      </c>
      <c r="AB448">
        <f>VLOOKUP($B448,'[1]Plant data'!$A$1:$AB$315,10,0)</f>
        <v>0.27</v>
      </c>
      <c r="AC448" t="str">
        <f>VLOOKUP($B448,'[1]Plant data'!$A$1:$AB$315,11,0)</f>
        <v>NA</v>
      </c>
      <c r="AD448" t="str">
        <f>VLOOKUP($B448,'[1]Plant data'!$A$1:$AB$315,12,0)</f>
        <v>NA</v>
      </c>
      <c r="AE448" t="str">
        <f>VLOOKUP($B448,'[1]Plant data'!$A$1:$AB$315,13,0)</f>
        <v>NA</v>
      </c>
      <c r="AF448" t="str">
        <f>VLOOKUP($B448,'[1]Plant data'!$A$1:$AB$315,14,0)</f>
        <v>NA</v>
      </c>
      <c r="AG448">
        <f>VLOOKUP($B448,'[1]Plant data'!$A$1:$AB$315,15,0)</f>
        <v>1.1000000000000001</v>
      </c>
      <c r="AH448" t="str">
        <f>VLOOKUP($B448,'[1]Plant data'!$A$1:$AB$315,16,0)</f>
        <v>NA</v>
      </c>
      <c r="AI448" t="str">
        <f>VLOOKUP($B448,'[1]Plant data'!$A$1:$AB$315,17,0)</f>
        <v>NA</v>
      </c>
      <c r="AJ448" t="str">
        <f>VLOOKUP($B448,'[1]Plant data'!$A$1:$AB$315,18,0)</f>
        <v>Motta Jr. 1981, ATLANTIC, FRUBASE</v>
      </c>
      <c r="AK448">
        <f>VLOOKUP($B448,'[1]Plant data'!$A$1:$AB$315,19,0)</f>
        <v>0.73</v>
      </c>
      <c r="AL448">
        <f>VLOOKUP($B448,'[1]Plant data'!$A$1:$AB$315,20,0)</f>
        <v>0.27</v>
      </c>
      <c r="AM448">
        <f>VLOOKUP($B448,'[1]Plant data'!$A$1:$AB$315,21,0)</f>
        <v>2.1999999999999999E-2</v>
      </c>
      <c r="AN448" t="str">
        <f>VLOOKUP($B448,'[1]Plant data'!$A$1:$AB$315,22,0)</f>
        <v>NA</v>
      </c>
      <c r="AO448" t="str">
        <f>VLOOKUP($B448,'[1]Plant data'!$A$1:$AB$315,23,0)</f>
        <v>NA</v>
      </c>
      <c r="AP448" t="str">
        <f>VLOOKUP($B448,'[1]Plant data'!$A$1:$AB$315,24,0)</f>
        <v>NA</v>
      </c>
      <c r="AQ448" t="str">
        <f>VLOOKUP($B448,'[1]Plant data'!$A$1:$AB$315,25,0)</f>
        <v>NA</v>
      </c>
      <c r="AR448" t="str">
        <f>VLOOKUP($B448,'[1]Plant data'!$A$1:$AB$315,26,0)</f>
        <v>NA</v>
      </c>
      <c r="AS448" t="str">
        <f>VLOOKUP($B448,'[1]Plant data'!$A$1:$AB$315,27,0)</f>
        <v>NA</v>
      </c>
      <c r="AT448" t="str">
        <f>VLOOKUP($B448,'[1]Plant data'!$A$1:$AB$315,28,0)</f>
        <v>Motta Jr. 1981, FRUBASE</v>
      </c>
    </row>
    <row r="449" spans="1:46">
      <c r="A449" s="21" t="s">
        <v>41</v>
      </c>
      <c r="B449" s="31" t="s">
        <v>64</v>
      </c>
      <c r="C449" s="16">
        <v>66</v>
      </c>
      <c r="D449" s="16">
        <v>254</v>
      </c>
      <c r="E449" s="23">
        <f>C449/D449</f>
        <v>0.25984251968503935</v>
      </c>
      <c r="F449" s="23" t="s">
        <v>19</v>
      </c>
      <c r="G449" s="41">
        <v>2.2000000000000002</v>
      </c>
      <c r="H449" s="41"/>
      <c r="I449" s="8">
        <f t="shared" si="36"/>
        <v>0.57165354330708662</v>
      </c>
      <c r="J449" s="16" t="s">
        <v>52</v>
      </c>
      <c r="K449" s="16" t="s">
        <v>53</v>
      </c>
      <c r="L449" s="16" t="s">
        <v>22</v>
      </c>
      <c r="M449" s="16" t="s">
        <v>30</v>
      </c>
      <c r="N449" s="17">
        <v>39</v>
      </c>
      <c r="O449" s="17">
        <v>8.2839869279999991</v>
      </c>
      <c r="P449" s="16" t="s">
        <v>24</v>
      </c>
      <c r="Q449" s="16" t="s">
        <v>25</v>
      </c>
      <c r="R449" s="16" t="s">
        <v>26</v>
      </c>
      <c r="S449" s="16" t="s">
        <v>31</v>
      </c>
      <c r="T449" t="str">
        <f>VLOOKUP(B449,'[1]Plant data'!$A$1:$AB$315,2,0)</f>
        <v>Araliaceae</v>
      </c>
      <c r="U449" t="str">
        <f>VLOOKUP($B449,'[1]Plant data'!$A$1:$AB$315,3,0)</f>
        <v>Didymopanax morototoni</v>
      </c>
      <c r="V449" t="str">
        <f>VLOOKUP($B449,'[1]Plant data'!$A$1:$AB$315,4,0)</f>
        <v>black</v>
      </c>
      <c r="W449" t="str">
        <f>VLOOKUP($B449,'[1]Plant data'!$A$1:$AB$315,5,0)</f>
        <v>YES</v>
      </c>
      <c r="X449">
        <f>VLOOKUP($B449,'[1]Plant data'!$A$1:$AB$315,6,0)</f>
        <v>6.8999999999999995</v>
      </c>
      <c r="Y449">
        <f>VLOOKUP($B449,'[1]Plant data'!$A$1:$AB$315,7,0)</f>
        <v>7.8999999999999995</v>
      </c>
      <c r="Z449">
        <f>VLOOKUP($B449,'[1]Plant data'!$A$1:$AB$315,8,0)</f>
        <v>4</v>
      </c>
      <c r="AA449">
        <f>VLOOKUP($B449,'[1]Plant data'!$A$1:$AB$315,9,0)</f>
        <v>5</v>
      </c>
      <c r="AB449">
        <f>VLOOKUP($B449,'[1]Plant data'!$A$1:$AB$315,10,0)</f>
        <v>0.505</v>
      </c>
      <c r="AC449" t="str">
        <f>VLOOKUP($B449,'[1]Plant data'!$A$1:$AB$315,11,0)</f>
        <v>NA</v>
      </c>
      <c r="AD449">
        <f>VLOOKUP($B449,'[1]Plant data'!$A$1:$AB$315,12,0)</f>
        <v>4.4999999999999998E-2</v>
      </c>
      <c r="AE449">
        <f>VLOOKUP($B449,'[1]Plant data'!$A$1:$AB$315,13,0)</f>
        <v>0.11600000000000001</v>
      </c>
      <c r="AF449">
        <f>VLOOKUP($B449,'[1]Plant data'!$A$1:$AB$315,14,0)</f>
        <v>1.4E-2</v>
      </c>
      <c r="AG449">
        <f>VLOOKUP($B449,'[1]Plant data'!$A$1:$AB$315,15,0)</f>
        <v>1.6</v>
      </c>
      <c r="AH449" t="str">
        <f>VLOOKUP($B449,'[1]Plant data'!$A$1:$AB$315,16,0)</f>
        <v>NA</v>
      </c>
      <c r="AI449">
        <f>VLOOKUP($B449,'[1]Plant data'!$A$1:$AB$315,17,0)</f>
        <v>8.2857142857142865</v>
      </c>
      <c r="AJ449" t="str">
        <f>VLOOKUP($B449,'[1]Plant data'!$A$1:$AB$315,18,0)</f>
        <v>ATLANTIC, Castro 2001, FRUBASE, Motta Jr. 1981</v>
      </c>
      <c r="AK449">
        <f>VLOOKUP($B449,'[1]Plant data'!$A$1:$AB$315,19,0)</f>
        <v>0.78</v>
      </c>
      <c r="AL449">
        <f>VLOOKUP($B449,'[1]Plant data'!$A$1:$AB$315,20,0)</f>
        <v>0.17900000000000002</v>
      </c>
      <c r="AM449">
        <f>VLOOKUP($B449,'[1]Plant data'!$A$1:$AB$315,21,0)</f>
        <v>0.11899999999999999</v>
      </c>
      <c r="AN449" t="str">
        <f>VLOOKUP($B449,'[1]Plant data'!$A$1:$AB$315,22,0)</f>
        <v>NA</v>
      </c>
      <c r="AO449" t="str">
        <f>VLOOKUP($B449,'[1]Plant data'!$A$1:$AB$315,23,0)</f>
        <v>NA</v>
      </c>
      <c r="AP449">
        <f>VLOOKUP($B449,'[1]Plant data'!$A$1:$AB$315,24,0)</f>
        <v>0.54600000000000004</v>
      </c>
      <c r="AQ449" t="str">
        <f>VLOOKUP($B449,'[1]Plant data'!$A$1:$AB$315,25,0)</f>
        <v>NA</v>
      </c>
      <c r="AR449" t="str">
        <f>VLOOKUP($B449,'[1]Plant data'!$A$1:$AB$315,26,0)</f>
        <v>NA</v>
      </c>
      <c r="AS449" t="str">
        <f>VLOOKUP($B449,'[1]Plant data'!$A$1:$AB$315,27,0)</f>
        <v>NA</v>
      </c>
      <c r="AT449" t="str">
        <f>VLOOKUP($B449,'[1]Plant data'!$A$1:$AB$315,28,0)</f>
        <v>Motta Jr. 1981, FRUBASE</v>
      </c>
    </row>
    <row r="450" spans="1:46">
      <c r="A450" s="21" t="s">
        <v>50</v>
      </c>
      <c r="B450" s="31" t="s">
        <v>64</v>
      </c>
      <c r="C450" s="16">
        <v>1</v>
      </c>
      <c r="D450" s="16">
        <v>254</v>
      </c>
      <c r="E450" s="23">
        <f>C450/D450</f>
        <v>3.937007874015748E-3</v>
      </c>
      <c r="F450" s="16" t="s">
        <v>19</v>
      </c>
      <c r="G450" s="41">
        <v>1.8</v>
      </c>
      <c r="H450" s="41"/>
      <c r="I450" s="8">
        <f t="shared" si="36"/>
        <v>7.0866141732283464E-3</v>
      </c>
      <c r="J450" s="16" t="s">
        <v>52</v>
      </c>
      <c r="K450" s="16" t="s">
        <v>53</v>
      </c>
      <c r="L450" s="16" t="s">
        <v>22</v>
      </c>
      <c r="M450" s="16" t="s">
        <v>47</v>
      </c>
      <c r="N450" s="17">
        <v>69.5</v>
      </c>
      <c r="O450" s="17">
        <v>13.253214290000001</v>
      </c>
      <c r="P450" s="16" t="s">
        <v>48</v>
      </c>
      <c r="Q450" s="16" t="s">
        <v>25</v>
      </c>
      <c r="R450" s="16" t="s">
        <v>26</v>
      </c>
      <c r="S450" s="16" t="s">
        <v>31</v>
      </c>
      <c r="T450" t="str">
        <f>VLOOKUP(B450,'[1]Plant data'!$A$1:$AB$315,2,0)</f>
        <v>Araliaceae</v>
      </c>
      <c r="U450" t="str">
        <f>VLOOKUP($B450,'[1]Plant data'!$A$1:$AB$315,3,0)</f>
        <v>Didymopanax morototoni</v>
      </c>
      <c r="V450" t="str">
        <f>VLOOKUP($B450,'[1]Plant data'!$A$1:$AB$315,4,0)</f>
        <v>black</v>
      </c>
      <c r="W450" t="str">
        <f>VLOOKUP($B450,'[1]Plant data'!$A$1:$AB$315,5,0)</f>
        <v>YES</v>
      </c>
      <c r="X450">
        <f>VLOOKUP($B450,'[1]Plant data'!$A$1:$AB$315,6,0)</f>
        <v>6.8999999999999995</v>
      </c>
      <c r="Y450">
        <f>VLOOKUP($B450,'[1]Plant data'!$A$1:$AB$315,7,0)</f>
        <v>7.8999999999999995</v>
      </c>
      <c r="Z450">
        <f>VLOOKUP($B450,'[1]Plant data'!$A$1:$AB$315,8,0)</f>
        <v>4</v>
      </c>
      <c r="AA450">
        <f>VLOOKUP($B450,'[1]Plant data'!$A$1:$AB$315,9,0)</f>
        <v>5</v>
      </c>
      <c r="AB450">
        <f>VLOOKUP($B450,'[1]Plant data'!$A$1:$AB$315,10,0)</f>
        <v>0.505</v>
      </c>
      <c r="AC450" t="str">
        <f>VLOOKUP($B450,'[1]Plant data'!$A$1:$AB$315,11,0)</f>
        <v>NA</v>
      </c>
      <c r="AD450">
        <f>VLOOKUP($B450,'[1]Plant data'!$A$1:$AB$315,12,0)</f>
        <v>4.4999999999999998E-2</v>
      </c>
      <c r="AE450">
        <f>VLOOKUP($B450,'[1]Plant data'!$A$1:$AB$315,13,0)</f>
        <v>0.11600000000000001</v>
      </c>
      <c r="AF450">
        <f>VLOOKUP($B450,'[1]Plant data'!$A$1:$AB$315,14,0)</f>
        <v>1.4E-2</v>
      </c>
      <c r="AG450">
        <f>VLOOKUP($B450,'[1]Plant data'!$A$1:$AB$315,15,0)</f>
        <v>1.6</v>
      </c>
      <c r="AH450" t="str">
        <f>VLOOKUP($B450,'[1]Plant data'!$A$1:$AB$315,16,0)</f>
        <v>NA</v>
      </c>
      <c r="AI450">
        <f>VLOOKUP($B450,'[1]Plant data'!$A$1:$AB$315,17,0)</f>
        <v>8.2857142857142865</v>
      </c>
      <c r="AJ450" t="str">
        <f>VLOOKUP($B450,'[1]Plant data'!$A$1:$AB$315,18,0)</f>
        <v>ATLANTIC, Castro 2001, FRUBASE, Motta Jr. 1981</v>
      </c>
      <c r="AK450">
        <f>VLOOKUP($B450,'[1]Plant data'!$A$1:$AB$315,19,0)</f>
        <v>0.78</v>
      </c>
      <c r="AL450">
        <f>VLOOKUP($B450,'[1]Plant data'!$A$1:$AB$315,20,0)</f>
        <v>0.17900000000000002</v>
      </c>
      <c r="AM450">
        <f>VLOOKUP($B450,'[1]Plant data'!$A$1:$AB$315,21,0)</f>
        <v>0.11899999999999999</v>
      </c>
      <c r="AN450" t="str">
        <f>VLOOKUP($B450,'[1]Plant data'!$A$1:$AB$315,22,0)</f>
        <v>NA</v>
      </c>
      <c r="AO450" t="str">
        <f>VLOOKUP($B450,'[1]Plant data'!$A$1:$AB$315,23,0)</f>
        <v>NA</v>
      </c>
      <c r="AP450">
        <f>VLOOKUP($B450,'[1]Plant data'!$A$1:$AB$315,24,0)</f>
        <v>0.54600000000000004</v>
      </c>
      <c r="AQ450" t="str">
        <f>VLOOKUP($B450,'[1]Plant data'!$A$1:$AB$315,25,0)</f>
        <v>NA</v>
      </c>
      <c r="AR450" t="str">
        <f>VLOOKUP($B450,'[1]Plant data'!$A$1:$AB$315,26,0)</f>
        <v>NA</v>
      </c>
      <c r="AS450" t="str">
        <f>VLOOKUP($B450,'[1]Plant data'!$A$1:$AB$315,27,0)</f>
        <v>NA</v>
      </c>
      <c r="AT450" t="str">
        <f>VLOOKUP($B450,'[1]Plant data'!$A$1:$AB$315,28,0)</f>
        <v>Motta Jr. 1981, FRUBASE</v>
      </c>
    </row>
    <row r="451" spans="1:46">
      <c r="A451" s="21" t="s">
        <v>104</v>
      </c>
      <c r="B451" s="31" t="s">
        <v>64</v>
      </c>
      <c r="C451" s="16">
        <v>1</v>
      </c>
      <c r="D451" s="16">
        <v>32</v>
      </c>
      <c r="E451" s="23">
        <f>C451/32</f>
        <v>3.125E-2</v>
      </c>
      <c r="F451" s="16">
        <v>15</v>
      </c>
      <c r="G451" s="19">
        <v>15</v>
      </c>
      <c r="H451" s="19"/>
      <c r="I451" s="8">
        <f t="shared" si="36"/>
        <v>0.46875</v>
      </c>
      <c r="J451" s="16" t="s">
        <v>224</v>
      </c>
      <c r="K451" s="16" t="s">
        <v>225</v>
      </c>
      <c r="L451" s="16" t="s">
        <v>93</v>
      </c>
      <c r="M451" s="16" t="s">
        <v>94</v>
      </c>
      <c r="N451" s="17">
        <v>343.5</v>
      </c>
      <c r="O451" s="17">
        <v>30.107272729999998</v>
      </c>
      <c r="P451" s="16" t="s">
        <v>48</v>
      </c>
      <c r="Q451" s="16" t="s">
        <v>25</v>
      </c>
      <c r="R451" s="16" t="s">
        <v>76</v>
      </c>
      <c r="S451" s="16" t="s">
        <v>27</v>
      </c>
      <c r="T451" t="str">
        <f>VLOOKUP(B451,'[1]Plant data'!$A$1:$AB$315,2,0)</f>
        <v>Araliaceae</v>
      </c>
      <c r="U451" t="str">
        <f>VLOOKUP($B451,'[1]Plant data'!$A$1:$AB$315,3,0)</f>
        <v>Didymopanax morototoni</v>
      </c>
      <c r="V451" t="str">
        <f>VLOOKUP($B451,'[1]Plant data'!$A$1:$AB$315,4,0)</f>
        <v>black</v>
      </c>
      <c r="W451" t="str">
        <f>VLOOKUP($B451,'[1]Plant data'!$A$1:$AB$315,5,0)</f>
        <v>YES</v>
      </c>
      <c r="X451">
        <f>VLOOKUP($B451,'[1]Plant data'!$A$1:$AB$315,6,0)</f>
        <v>6.8999999999999995</v>
      </c>
      <c r="Y451">
        <f>VLOOKUP($B451,'[1]Plant data'!$A$1:$AB$315,7,0)</f>
        <v>7.8999999999999995</v>
      </c>
      <c r="Z451">
        <f>VLOOKUP($B451,'[1]Plant data'!$A$1:$AB$315,8,0)</f>
        <v>4</v>
      </c>
      <c r="AA451">
        <f>VLOOKUP($B451,'[1]Plant data'!$A$1:$AB$315,9,0)</f>
        <v>5</v>
      </c>
      <c r="AB451">
        <f>VLOOKUP($B451,'[1]Plant data'!$A$1:$AB$315,10,0)</f>
        <v>0.505</v>
      </c>
      <c r="AC451" t="str">
        <f>VLOOKUP($B451,'[1]Plant data'!$A$1:$AB$315,11,0)</f>
        <v>NA</v>
      </c>
      <c r="AD451">
        <f>VLOOKUP($B451,'[1]Plant data'!$A$1:$AB$315,12,0)</f>
        <v>4.4999999999999998E-2</v>
      </c>
      <c r="AE451">
        <f>VLOOKUP($B451,'[1]Plant data'!$A$1:$AB$315,13,0)</f>
        <v>0.11600000000000001</v>
      </c>
      <c r="AF451">
        <f>VLOOKUP($B451,'[1]Plant data'!$A$1:$AB$315,14,0)</f>
        <v>1.4E-2</v>
      </c>
      <c r="AG451">
        <f>VLOOKUP($B451,'[1]Plant data'!$A$1:$AB$315,15,0)</f>
        <v>1.6</v>
      </c>
      <c r="AH451" t="str">
        <f>VLOOKUP($B451,'[1]Plant data'!$A$1:$AB$315,16,0)</f>
        <v>NA</v>
      </c>
      <c r="AI451">
        <f>VLOOKUP($B451,'[1]Plant data'!$A$1:$AB$315,17,0)</f>
        <v>8.2857142857142865</v>
      </c>
      <c r="AJ451" t="str">
        <f>VLOOKUP($B451,'[1]Plant data'!$A$1:$AB$315,18,0)</f>
        <v>ATLANTIC, Castro 2001, FRUBASE, Motta Jr. 1981</v>
      </c>
      <c r="AK451">
        <f>VLOOKUP($B451,'[1]Plant data'!$A$1:$AB$315,19,0)</f>
        <v>0.78</v>
      </c>
      <c r="AL451">
        <f>VLOOKUP($B451,'[1]Plant data'!$A$1:$AB$315,20,0)</f>
        <v>0.17900000000000002</v>
      </c>
      <c r="AM451">
        <f>VLOOKUP($B451,'[1]Plant data'!$A$1:$AB$315,21,0)</f>
        <v>0.11899999999999999</v>
      </c>
      <c r="AN451" t="str">
        <f>VLOOKUP($B451,'[1]Plant data'!$A$1:$AB$315,22,0)</f>
        <v>NA</v>
      </c>
      <c r="AO451" t="str">
        <f>VLOOKUP($B451,'[1]Plant data'!$A$1:$AB$315,23,0)</f>
        <v>NA</v>
      </c>
      <c r="AP451">
        <f>VLOOKUP($B451,'[1]Plant data'!$A$1:$AB$315,24,0)</f>
        <v>0.54600000000000004</v>
      </c>
      <c r="AQ451" t="str">
        <f>VLOOKUP($B451,'[1]Plant data'!$A$1:$AB$315,25,0)</f>
        <v>NA</v>
      </c>
      <c r="AR451" t="str">
        <f>VLOOKUP($B451,'[1]Plant data'!$A$1:$AB$315,26,0)</f>
        <v>NA</v>
      </c>
      <c r="AS451" t="str">
        <f>VLOOKUP($B451,'[1]Plant data'!$A$1:$AB$315,27,0)</f>
        <v>NA</v>
      </c>
      <c r="AT451" t="str">
        <f>VLOOKUP($B451,'[1]Plant data'!$A$1:$AB$315,28,0)</f>
        <v>Motta Jr. 1981, FRUBASE</v>
      </c>
    </row>
    <row r="452" spans="1:46">
      <c r="A452" s="21" t="s">
        <v>41</v>
      </c>
      <c r="B452" s="31" t="s">
        <v>64</v>
      </c>
      <c r="C452" s="16">
        <v>9</v>
      </c>
      <c r="D452" s="16">
        <v>32</v>
      </c>
      <c r="E452" s="23">
        <f>C452/32</f>
        <v>0.28125</v>
      </c>
      <c r="F452" s="23">
        <v>16</v>
      </c>
      <c r="G452" s="19">
        <v>2.2999999999999998</v>
      </c>
      <c r="H452" s="19"/>
      <c r="I452" s="8">
        <f t="shared" si="36"/>
        <v>0.64687499999999998</v>
      </c>
      <c r="J452" s="16" t="s">
        <v>224</v>
      </c>
      <c r="K452" s="16" t="s">
        <v>225</v>
      </c>
      <c r="L452" s="16" t="s">
        <v>22</v>
      </c>
      <c r="M452" s="16" t="s">
        <v>30</v>
      </c>
      <c r="N452" s="17">
        <v>39</v>
      </c>
      <c r="O452" s="17">
        <v>8.2839869279999991</v>
      </c>
      <c r="P452" s="16" t="s">
        <v>24</v>
      </c>
      <c r="Q452" s="16" t="s">
        <v>25</v>
      </c>
      <c r="R452" s="16" t="s">
        <v>26</v>
      </c>
      <c r="S452" s="16" t="s">
        <v>31</v>
      </c>
      <c r="T452" t="str">
        <f>VLOOKUP(B452,'[1]Plant data'!$A$1:$AB$315,2,0)</f>
        <v>Araliaceae</v>
      </c>
      <c r="U452" t="str">
        <f>VLOOKUP($B452,'[1]Plant data'!$A$1:$AB$315,3,0)</f>
        <v>Didymopanax morototoni</v>
      </c>
      <c r="V452" t="str">
        <f>VLOOKUP($B452,'[1]Plant data'!$A$1:$AB$315,4,0)</f>
        <v>black</v>
      </c>
      <c r="W452" t="str">
        <f>VLOOKUP($B452,'[1]Plant data'!$A$1:$AB$315,5,0)</f>
        <v>YES</v>
      </c>
      <c r="X452">
        <f>VLOOKUP($B452,'[1]Plant data'!$A$1:$AB$315,6,0)</f>
        <v>6.8999999999999995</v>
      </c>
      <c r="Y452">
        <f>VLOOKUP($B452,'[1]Plant data'!$A$1:$AB$315,7,0)</f>
        <v>7.8999999999999995</v>
      </c>
      <c r="Z452">
        <f>VLOOKUP($B452,'[1]Plant data'!$A$1:$AB$315,8,0)</f>
        <v>4</v>
      </c>
      <c r="AA452">
        <f>VLOOKUP($B452,'[1]Plant data'!$A$1:$AB$315,9,0)</f>
        <v>5</v>
      </c>
      <c r="AB452">
        <f>VLOOKUP($B452,'[1]Plant data'!$A$1:$AB$315,10,0)</f>
        <v>0.505</v>
      </c>
      <c r="AC452" t="str">
        <f>VLOOKUP($B452,'[1]Plant data'!$A$1:$AB$315,11,0)</f>
        <v>NA</v>
      </c>
      <c r="AD452">
        <f>VLOOKUP($B452,'[1]Plant data'!$A$1:$AB$315,12,0)</f>
        <v>4.4999999999999998E-2</v>
      </c>
      <c r="AE452">
        <f>VLOOKUP($B452,'[1]Plant data'!$A$1:$AB$315,13,0)</f>
        <v>0.11600000000000001</v>
      </c>
      <c r="AF452">
        <f>VLOOKUP($B452,'[1]Plant data'!$A$1:$AB$315,14,0)</f>
        <v>1.4E-2</v>
      </c>
      <c r="AG452">
        <f>VLOOKUP($B452,'[1]Plant data'!$A$1:$AB$315,15,0)</f>
        <v>1.6</v>
      </c>
      <c r="AH452" t="str">
        <f>VLOOKUP($B452,'[1]Plant data'!$A$1:$AB$315,16,0)</f>
        <v>NA</v>
      </c>
      <c r="AI452">
        <f>VLOOKUP($B452,'[1]Plant data'!$A$1:$AB$315,17,0)</f>
        <v>8.2857142857142865</v>
      </c>
      <c r="AJ452" t="str">
        <f>VLOOKUP($B452,'[1]Plant data'!$A$1:$AB$315,18,0)</f>
        <v>ATLANTIC, Castro 2001, FRUBASE, Motta Jr. 1981</v>
      </c>
      <c r="AK452">
        <f>VLOOKUP($B452,'[1]Plant data'!$A$1:$AB$315,19,0)</f>
        <v>0.78</v>
      </c>
      <c r="AL452">
        <f>VLOOKUP($B452,'[1]Plant data'!$A$1:$AB$315,20,0)</f>
        <v>0.17900000000000002</v>
      </c>
      <c r="AM452">
        <f>VLOOKUP($B452,'[1]Plant data'!$A$1:$AB$315,21,0)</f>
        <v>0.11899999999999999</v>
      </c>
      <c r="AN452" t="str">
        <f>VLOOKUP($B452,'[1]Plant data'!$A$1:$AB$315,22,0)</f>
        <v>NA</v>
      </c>
      <c r="AO452" t="str">
        <f>VLOOKUP($B452,'[1]Plant data'!$A$1:$AB$315,23,0)</f>
        <v>NA</v>
      </c>
      <c r="AP452">
        <f>VLOOKUP($B452,'[1]Plant data'!$A$1:$AB$315,24,0)</f>
        <v>0.54600000000000004</v>
      </c>
      <c r="AQ452" t="str">
        <f>VLOOKUP($B452,'[1]Plant data'!$A$1:$AB$315,25,0)</f>
        <v>NA</v>
      </c>
      <c r="AR452" t="str">
        <f>VLOOKUP($B452,'[1]Plant data'!$A$1:$AB$315,26,0)</f>
        <v>NA</v>
      </c>
      <c r="AS452" t="str">
        <f>VLOOKUP($B452,'[1]Plant data'!$A$1:$AB$315,27,0)</f>
        <v>NA</v>
      </c>
      <c r="AT452" t="str">
        <f>VLOOKUP($B452,'[1]Plant data'!$A$1:$AB$315,28,0)</f>
        <v>Motta Jr. 1981, FRUBASE</v>
      </c>
    </row>
    <row r="453" spans="1:46">
      <c r="A453" s="21" t="s">
        <v>43</v>
      </c>
      <c r="B453" s="31" t="s">
        <v>64</v>
      </c>
      <c r="C453" s="16">
        <v>12</v>
      </c>
      <c r="D453" s="16">
        <v>32</v>
      </c>
      <c r="E453" s="23">
        <f>C453/32</f>
        <v>0.375</v>
      </c>
      <c r="F453" s="23">
        <v>21</v>
      </c>
      <c r="G453" s="19">
        <v>2.1</v>
      </c>
      <c r="H453" s="19"/>
      <c r="I453" s="8">
        <f t="shared" si="36"/>
        <v>0.78750000000000009</v>
      </c>
      <c r="J453" s="16" t="s">
        <v>224</v>
      </c>
      <c r="K453" s="16" t="s">
        <v>225</v>
      </c>
      <c r="L453" s="16" t="s">
        <v>22</v>
      </c>
      <c r="M453" s="16" t="s">
        <v>30</v>
      </c>
      <c r="N453" s="17">
        <v>32.5</v>
      </c>
      <c r="O453" s="17">
        <v>8.9205555560000001</v>
      </c>
      <c r="P453" s="16" t="s">
        <v>24</v>
      </c>
      <c r="Q453" s="16" t="s">
        <v>25</v>
      </c>
      <c r="R453" s="16" t="s">
        <v>26</v>
      </c>
      <c r="S453" s="16" t="s">
        <v>31</v>
      </c>
      <c r="T453" t="str">
        <f>VLOOKUP(B453,'[1]Plant data'!$A$1:$AB$315,2,0)</f>
        <v>Araliaceae</v>
      </c>
      <c r="U453" t="str">
        <f>VLOOKUP($B453,'[1]Plant data'!$A$1:$AB$315,3,0)</f>
        <v>Didymopanax morototoni</v>
      </c>
      <c r="V453" t="str">
        <f>VLOOKUP($B453,'[1]Plant data'!$A$1:$AB$315,4,0)</f>
        <v>black</v>
      </c>
      <c r="W453" t="str">
        <f>VLOOKUP($B453,'[1]Plant data'!$A$1:$AB$315,5,0)</f>
        <v>YES</v>
      </c>
      <c r="X453">
        <f>VLOOKUP($B453,'[1]Plant data'!$A$1:$AB$315,6,0)</f>
        <v>6.8999999999999995</v>
      </c>
      <c r="Y453">
        <f>VLOOKUP($B453,'[1]Plant data'!$A$1:$AB$315,7,0)</f>
        <v>7.8999999999999995</v>
      </c>
      <c r="Z453">
        <f>VLOOKUP($B453,'[1]Plant data'!$A$1:$AB$315,8,0)</f>
        <v>4</v>
      </c>
      <c r="AA453">
        <f>VLOOKUP($B453,'[1]Plant data'!$A$1:$AB$315,9,0)</f>
        <v>5</v>
      </c>
      <c r="AB453">
        <f>VLOOKUP($B453,'[1]Plant data'!$A$1:$AB$315,10,0)</f>
        <v>0.505</v>
      </c>
      <c r="AC453" t="str">
        <f>VLOOKUP($B453,'[1]Plant data'!$A$1:$AB$315,11,0)</f>
        <v>NA</v>
      </c>
      <c r="AD453">
        <f>VLOOKUP($B453,'[1]Plant data'!$A$1:$AB$315,12,0)</f>
        <v>4.4999999999999998E-2</v>
      </c>
      <c r="AE453">
        <f>VLOOKUP($B453,'[1]Plant data'!$A$1:$AB$315,13,0)</f>
        <v>0.11600000000000001</v>
      </c>
      <c r="AF453">
        <f>VLOOKUP($B453,'[1]Plant data'!$A$1:$AB$315,14,0)</f>
        <v>1.4E-2</v>
      </c>
      <c r="AG453">
        <f>VLOOKUP($B453,'[1]Plant data'!$A$1:$AB$315,15,0)</f>
        <v>1.6</v>
      </c>
      <c r="AH453" t="str">
        <f>VLOOKUP($B453,'[1]Plant data'!$A$1:$AB$315,16,0)</f>
        <v>NA</v>
      </c>
      <c r="AI453">
        <f>VLOOKUP($B453,'[1]Plant data'!$A$1:$AB$315,17,0)</f>
        <v>8.2857142857142865</v>
      </c>
      <c r="AJ453" t="str">
        <f>VLOOKUP($B453,'[1]Plant data'!$A$1:$AB$315,18,0)</f>
        <v>ATLANTIC, Castro 2001, FRUBASE, Motta Jr. 1981</v>
      </c>
      <c r="AK453">
        <f>VLOOKUP($B453,'[1]Plant data'!$A$1:$AB$315,19,0)</f>
        <v>0.78</v>
      </c>
      <c r="AL453">
        <f>VLOOKUP($B453,'[1]Plant data'!$A$1:$AB$315,20,0)</f>
        <v>0.17900000000000002</v>
      </c>
      <c r="AM453">
        <f>VLOOKUP($B453,'[1]Plant data'!$A$1:$AB$315,21,0)</f>
        <v>0.11899999999999999</v>
      </c>
      <c r="AN453" t="str">
        <f>VLOOKUP($B453,'[1]Plant data'!$A$1:$AB$315,22,0)</f>
        <v>NA</v>
      </c>
      <c r="AO453" t="str">
        <f>VLOOKUP($B453,'[1]Plant data'!$A$1:$AB$315,23,0)</f>
        <v>NA</v>
      </c>
      <c r="AP453">
        <f>VLOOKUP($B453,'[1]Plant data'!$A$1:$AB$315,24,0)</f>
        <v>0.54600000000000004</v>
      </c>
      <c r="AQ453" t="str">
        <f>VLOOKUP($B453,'[1]Plant data'!$A$1:$AB$315,25,0)</f>
        <v>NA</v>
      </c>
      <c r="AR453" t="str">
        <f>VLOOKUP($B453,'[1]Plant data'!$A$1:$AB$315,26,0)</f>
        <v>NA</v>
      </c>
      <c r="AS453" t="str">
        <f>VLOOKUP($B453,'[1]Plant data'!$A$1:$AB$315,27,0)</f>
        <v>NA</v>
      </c>
      <c r="AT453" t="str">
        <f>VLOOKUP($B453,'[1]Plant data'!$A$1:$AB$315,28,0)</f>
        <v>Motta Jr. 1981, FRUBASE</v>
      </c>
    </row>
    <row r="454" spans="1:46">
      <c r="A454" s="21" t="s">
        <v>46</v>
      </c>
      <c r="B454" s="31" t="s">
        <v>64</v>
      </c>
      <c r="C454" s="16">
        <v>11</v>
      </c>
      <c r="D454" s="16">
        <v>32</v>
      </c>
      <c r="E454" s="23">
        <f>C454/32</f>
        <v>0.34375</v>
      </c>
      <c r="F454" s="16">
        <v>29</v>
      </c>
      <c r="G454" s="19">
        <v>2.6</v>
      </c>
      <c r="H454" s="19"/>
      <c r="I454" s="8">
        <f t="shared" si="36"/>
        <v>0.89375000000000004</v>
      </c>
      <c r="J454" s="16" t="s">
        <v>224</v>
      </c>
      <c r="K454" s="16" t="s">
        <v>225</v>
      </c>
      <c r="L454" s="16" t="s">
        <v>22</v>
      </c>
      <c r="M454" s="16" t="s">
        <v>47</v>
      </c>
      <c r="N454" s="17">
        <v>54</v>
      </c>
      <c r="O454" s="17">
        <v>11.14875</v>
      </c>
      <c r="P454" s="16" t="s">
        <v>48</v>
      </c>
      <c r="Q454" s="16" t="s">
        <v>49</v>
      </c>
      <c r="R454" s="16" t="s">
        <v>26</v>
      </c>
      <c r="S454" s="16" t="s">
        <v>31</v>
      </c>
      <c r="T454" t="str">
        <f>VLOOKUP(B454,'[1]Plant data'!$A$1:$AB$315,2,0)</f>
        <v>Araliaceae</v>
      </c>
      <c r="U454" t="str">
        <f>VLOOKUP($B454,'[1]Plant data'!$A$1:$AB$315,3,0)</f>
        <v>Didymopanax morototoni</v>
      </c>
      <c r="V454" t="str">
        <f>VLOOKUP($B454,'[1]Plant data'!$A$1:$AB$315,4,0)</f>
        <v>black</v>
      </c>
      <c r="W454" t="str">
        <f>VLOOKUP($B454,'[1]Plant data'!$A$1:$AB$315,5,0)</f>
        <v>YES</v>
      </c>
      <c r="X454">
        <f>VLOOKUP($B454,'[1]Plant data'!$A$1:$AB$315,6,0)</f>
        <v>6.8999999999999995</v>
      </c>
      <c r="Y454">
        <f>VLOOKUP($B454,'[1]Plant data'!$A$1:$AB$315,7,0)</f>
        <v>7.8999999999999995</v>
      </c>
      <c r="Z454">
        <f>VLOOKUP($B454,'[1]Plant data'!$A$1:$AB$315,8,0)</f>
        <v>4</v>
      </c>
      <c r="AA454">
        <f>VLOOKUP($B454,'[1]Plant data'!$A$1:$AB$315,9,0)</f>
        <v>5</v>
      </c>
      <c r="AB454">
        <f>VLOOKUP($B454,'[1]Plant data'!$A$1:$AB$315,10,0)</f>
        <v>0.505</v>
      </c>
      <c r="AC454" t="str">
        <f>VLOOKUP($B454,'[1]Plant data'!$A$1:$AB$315,11,0)</f>
        <v>NA</v>
      </c>
      <c r="AD454">
        <f>VLOOKUP($B454,'[1]Plant data'!$A$1:$AB$315,12,0)</f>
        <v>4.4999999999999998E-2</v>
      </c>
      <c r="AE454">
        <f>VLOOKUP($B454,'[1]Plant data'!$A$1:$AB$315,13,0)</f>
        <v>0.11600000000000001</v>
      </c>
      <c r="AF454">
        <f>VLOOKUP($B454,'[1]Plant data'!$A$1:$AB$315,14,0)</f>
        <v>1.4E-2</v>
      </c>
      <c r="AG454">
        <f>VLOOKUP($B454,'[1]Plant data'!$A$1:$AB$315,15,0)</f>
        <v>1.6</v>
      </c>
      <c r="AH454" t="str">
        <f>VLOOKUP($B454,'[1]Plant data'!$A$1:$AB$315,16,0)</f>
        <v>NA</v>
      </c>
      <c r="AI454">
        <f>VLOOKUP($B454,'[1]Plant data'!$A$1:$AB$315,17,0)</f>
        <v>8.2857142857142865</v>
      </c>
      <c r="AJ454" t="str">
        <f>VLOOKUP($B454,'[1]Plant data'!$A$1:$AB$315,18,0)</f>
        <v>ATLANTIC, Castro 2001, FRUBASE, Motta Jr. 1981</v>
      </c>
      <c r="AK454">
        <f>VLOOKUP($B454,'[1]Plant data'!$A$1:$AB$315,19,0)</f>
        <v>0.78</v>
      </c>
      <c r="AL454">
        <f>VLOOKUP($B454,'[1]Plant data'!$A$1:$AB$315,20,0)</f>
        <v>0.17900000000000002</v>
      </c>
      <c r="AM454">
        <f>VLOOKUP($B454,'[1]Plant data'!$A$1:$AB$315,21,0)</f>
        <v>0.11899999999999999</v>
      </c>
      <c r="AN454" t="str">
        <f>VLOOKUP($B454,'[1]Plant data'!$A$1:$AB$315,22,0)</f>
        <v>NA</v>
      </c>
      <c r="AO454" t="str">
        <f>VLOOKUP($B454,'[1]Plant data'!$A$1:$AB$315,23,0)</f>
        <v>NA</v>
      </c>
      <c r="AP454">
        <f>VLOOKUP($B454,'[1]Plant data'!$A$1:$AB$315,24,0)</f>
        <v>0.54600000000000004</v>
      </c>
      <c r="AQ454" t="str">
        <f>VLOOKUP($B454,'[1]Plant data'!$A$1:$AB$315,25,0)</f>
        <v>NA</v>
      </c>
      <c r="AR454" t="str">
        <f>VLOOKUP($B454,'[1]Plant data'!$A$1:$AB$315,26,0)</f>
        <v>NA</v>
      </c>
      <c r="AS454" t="str">
        <f>VLOOKUP($B454,'[1]Plant data'!$A$1:$AB$315,27,0)</f>
        <v>NA</v>
      </c>
      <c r="AT454" t="str">
        <f>VLOOKUP($B454,'[1]Plant data'!$A$1:$AB$315,28,0)</f>
        <v>Motta Jr. 1981, FRUBASE</v>
      </c>
    </row>
    <row r="455" spans="1:46">
      <c r="A455" s="21" t="s">
        <v>50</v>
      </c>
      <c r="B455" s="31" t="s">
        <v>64</v>
      </c>
      <c r="C455" s="16">
        <v>2</v>
      </c>
      <c r="D455" s="16">
        <v>32</v>
      </c>
      <c r="E455" s="23">
        <f>C455/32</f>
        <v>6.25E-2</v>
      </c>
      <c r="F455" s="23">
        <v>1</v>
      </c>
      <c r="G455" s="19">
        <v>1</v>
      </c>
      <c r="H455" s="19"/>
      <c r="I455" s="8">
        <f t="shared" si="36"/>
        <v>6.25E-2</v>
      </c>
      <c r="J455" s="16" t="s">
        <v>224</v>
      </c>
      <c r="K455" s="16" t="s">
        <v>225</v>
      </c>
      <c r="L455" s="16" t="s">
        <v>22</v>
      </c>
      <c r="M455" s="16" t="s">
        <v>47</v>
      </c>
      <c r="N455" s="17">
        <v>69.5</v>
      </c>
      <c r="O455" s="17">
        <v>13.253214290000001</v>
      </c>
      <c r="P455" s="16" t="s">
        <v>48</v>
      </c>
      <c r="Q455" s="16" t="s">
        <v>25</v>
      </c>
      <c r="R455" s="16" t="s">
        <v>26</v>
      </c>
      <c r="S455" s="16" t="s">
        <v>31</v>
      </c>
      <c r="T455" t="str">
        <f>VLOOKUP(B455,'[1]Plant data'!$A$1:$AB$315,2,0)</f>
        <v>Araliaceae</v>
      </c>
      <c r="U455" t="str">
        <f>VLOOKUP($B455,'[1]Plant data'!$A$1:$AB$315,3,0)</f>
        <v>Didymopanax morototoni</v>
      </c>
      <c r="V455" t="str">
        <f>VLOOKUP($B455,'[1]Plant data'!$A$1:$AB$315,4,0)</f>
        <v>black</v>
      </c>
      <c r="W455" t="str">
        <f>VLOOKUP($B455,'[1]Plant data'!$A$1:$AB$315,5,0)</f>
        <v>YES</v>
      </c>
      <c r="X455">
        <f>VLOOKUP($B455,'[1]Plant data'!$A$1:$AB$315,6,0)</f>
        <v>6.8999999999999995</v>
      </c>
      <c r="Y455">
        <f>VLOOKUP($B455,'[1]Plant data'!$A$1:$AB$315,7,0)</f>
        <v>7.8999999999999995</v>
      </c>
      <c r="Z455">
        <f>VLOOKUP($B455,'[1]Plant data'!$A$1:$AB$315,8,0)</f>
        <v>4</v>
      </c>
      <c r="AA455">
        <f>VLOOKUP($B455,'[1]Plant data'!$A$1:$AB$315,9,0)</f>
        <v>5</v>
      </c>
      <c r="AB455">
        <f>VLOOKUP($B455,'[1]Plant data'!$A$1:$AB$315,10,0)</f>
        <v>0.505</v>
      </c>
      <c r="AC455" t="str">
        <f>VLOOKUP($B455,'[1]Plant data'!$A$1:$AB$315,11,0)</f>
        <v>NA</v>
      </c>
      <c r="AD455">
        <f>VLOOKUP($B455,'[1]Plant data'!$A$1:$AB$315,12,0)</f>
        <v>4.4999999999999998E-2</v>
      </c>
      <c r="AE455">
        <f>VLOOKUP($B455,'[1]Plant data'!$A$1:$AB$315,13,0)</f>
        <v>0.11600000000000001</v>
      </c>
      <c r="AF455">
        <f>VLOOKUP($B455,'[1]Plant data'!$A$1:$AB$315,14,0)</f>
        <v>1.4E-2</v>
      </c>
      <c r="AG455">
        <f>VLOOKUP($B455,'[1]Plant data'!$A$1:$AB$315,15,0)</f>
        <v>1.6</v>
      </c>
      <c r="AH455" t="str">
        <f>VLOOKUP($B455,'[1]Plant data'!$A$1:$AB$315,16,0)</f>
        <v>NA</v>
      </c>
      <c r="AI455">
        <f>VLOOKUP($B455,'[1]Plant data'!$A$1:$AB$315,17,0)</f>
        <v>8.2857142857142865</v>
      </c>
      <c r="AJ455" t="str">
        <f>VLOOKUP($B455,'[1]Plant data'!$A$1:$AB$315,18,0)</f>
        <v>ATLANTIC, Castro 2001, FRUBASE, Motta Jr. 1981</v>
      </c>
      <c r="AK455">
        <f>VLOOKUP($B455,'[1]Plant data'!$A$1:$AB$315,19,0)</f>
        <v>0.78</v>
      </c>
      <c r="AL455">
        <f>VLOOKUP($B455,'[1]Plant data'!$A$1:$AB$315,20,0)</f>
        <v>0.17900000000000002</v>
      </c>
      <c r="AM455">
        <f>VLOOKUP($B455,'[1]Plant data'!$A$1:$AB$315,21,0)</f>
        <v>0.11899999999999999</v>
      </c>
      <c r="AN455" t="str">
        <f>VLOOKUP($B455,'[1]Plant data'!$A$1:$AB$315,22,0)</f>
        <v>NA</v>
      </c>
      <c r="AO455" t="str">
        <f>VLOOKUP($B455,'[1]Plant data'!$A$1:$AB$315,23,0)</f>
        <v>NA</v>
      </c>
      <c r="AP455">
        <f>VLOOKUP($B455,'[1]Plant data'!$A$1:$AB$315,24,0)</f>
        <v>0.54600000000000004</v>
      </c>
      <c r="AQ455" t="str">
        <f>VLOOKUP($B455,'[1]Plant data'!$A$1:$AB$315,25,0)</f>
        <v>NA</v>
      </c>
      <c r="AR455" t="str">
        <f>VLOOKUP($B455,'[1]Plant data'!$A$1:$AB$315,26,0)</f>
        <v>NA</v>
      </c>
      <c r="AS455" t="str">
        <f>VLOOKUP($B455,'[1]Plant data'!$A$1:$AB$315,27,0)</f>
        <v>NA</v>
      </c>
      <c r="AT455" t="str">
        <f>VLOOKUP($B455,'[1]Plant data'!$A$1:$AB$315,28,0)</f>
        <v>Motta Jr. 1981, FRUBASE</v>
      </c>
    </row>
    <row r="456" spans="1:46">
      <c r="A456" s="5" t="s">
        <v>32</v>
      </c>
      <c r="B456" s="33" t="s">
        <v>40</v>
      </c>
      <c r="C456" s="7">
        <v>1</v>
      </c>
      <c r="D456" s="7">
        <v>10</v>
      </c>
      <c r="E456" s="8">
        <f>C456/D456</f>
        <v>0.1</v>
      </c>
      <c r="F456" t="s">
        <v>19</v>
      </c>
      <c r="G456" s="41">
        <v>2.75</v>
      </c>
      <c r="H456" s="41"/>
      <c r="I456" s="8">
        <f t="shared" si="36"/>
        <v>0.27500000000000002</v>
      </c>
      <c r="J456" s="10" t="s">
        <v>20</v>
      </c>
      <c r="K456" t="s">
        <v>21</v>
      </c>
      <c r="L456" t="s">
        <v>22</v>
      </c>
      <c r="M456" t="s">
        <v>30</v>
      </c>
      <c r="N456" s="11">
        <v>18</v>
      </c>
      <c r="O456" s="11">
        <v>5.1684999999999999</v>
      </c>
      <c r="P456" t="s">
        <v>24</v>
      </c>
      <c r="Q456" s="13" t="s">
        <v>25</v>
      </c>
      <c r="R456" s="13" t="s">
        <v>26</v>
      </c>
      <c r="S456" s="13" t="s">
        <v>31</v>
      </c>
      <c r="T456" t="str">
        <f>VLOOKUP(B456,'[1]Plant data'!$A$1:$AB$315,2,0)</f>
        <v>Anacardiaceae</v>
      </c>
      <c r="U456" t="str">
        <f>VLOOKUP($B456,'[1]Plant data'!$A$1:$AB$315,3,0)</f>
        <v>NA</v>
      </c>
      <c r="V456" t="str">
        <f>VLOOKUP($B456,'[1]Plant data'!$A$1:$AB$315,4,0)</f>
        <v>red</v>
      </c>
      <c r="W456" t="str">
        <f>VLOOKUP($B456,'[1]Plant data'!$A$1:$AB$315,5,0)</f>
        <v>YES</v>
      </c>
      <c r="X456">
        <f>VLOOKUP($B456,'[1]Plant data'!$A$1:$AB$315,6,0)</f>
        <v>5.1733333333333329</v>
      </c>
      <c r="Y456">
        <f>VLOOKUP($B456,'[1]Plant data'!$A$1:$AB$315,7,0)</f>
        <v>5.0959999999999992</v>
      </c>
      <c r="Z456">
        <f>VLOOKUP($B456,'[1]Plant data'!$A$1:$AB$315,8,0)</f>
        <v>3.5525000000000002</v>
      </c>
      <c r="AA456">
        <f>VLOOKUP($B456,'[1]Plant data'!$A$1:$AB$315,9,0)</f>
        <v>3.5100000000000002</v>
      </c>
      <c r="AB456">
        <f>VLOOKUP($B456,'[1]Plant data'!$A$1:$AB$315,10,0)</f>
        <v>2.82256E-2</v>
      </c>
      <c r="AC456">
        <f>VLOOKUP($B456,'[1]Plant data'!$A$1:$AB$315,11,0)</f>
        <v>0.01</v>
      </c>
      <c r="AD456">
        <f>VLOOKUP($B456,'[1]Plant data'!$A$1:$AB$315,12,0)</f>
        <v>1.3157999999999998E-2</v>
      </c>
      <c r="AE456">
        <f>VLOOKUP($B456,'[1]Plant data'!$A$1:$AB$315,13,0)</f>
        <v>7.4514000000000004E-3</v>
      </c>
      <c r="AF456">
        <f>VLOOKUP($B456,'[1]Plant data'!$A$1:$AB$315,14,0)</f>
        <v>1.1774E-2</v>
      </c>
      <c r="AG456">
        <f>VLOOKUP($B456,'[1]Plant data'!$A$1:$AB$315,15,0)</f>
        <v>1</v>
      </c>
      <c r="AH456" t="str">
        <f>VLOOKUP($B456,'[1]Plant data'!$A$1:$AB$315,16,0)</f>
        <v>NA</v>
      </c>
      <c r="AI456">
        <f>VLOOKUP($B456,'[1]Plant data'!$A$1:$AB$315,17,0)</f>
        <v>0.5455367759470019</v>
      </c>
      <c r="AJ456" t="str">
        <f>VLOOKUP($B456,'[1]Plant data'!$A$1:$AB$315,18,0)</f>
        <v>ATLANTIC, Cazetta 2007, Erica&amp;Wesley, Krugel &amp; Behr 1998, Alves 2008, Angel-de-Oliveira 1999</v>
      </c>
      <c r="AK456">
        <f>VLOOKUP($B456,'[1]Plant data'!$A$1:$AB$315,19,0)</f>
        <v>0.65910000000000002</v>
      </c>
      <c r="AL456">
        <f>VLOOKUP($B456,'[1]Plant data'!$A$1:$AB$315,20,0)</f>
        <v>5.4699999999999999E-2</v>
      </c>
      <c r="AM456">
        <f>VLOOKUP($B456,'[1]Plant data'!$A$1:$AB$315,21,0)</f>
        <v>6.8600000000000008E-2</v>
      </c>
      <c r="AN456">
        <f>VLOOKUP($B456,'[1]Plant data'!$A$1:$AB$315,22,0)</f>
        <v>8.6999999999999994E-3</v>
      </c>
      <c r="AO456" t="str">
        <f>VLOOKUP($B456,'[1]Plant data'!$A$1:$AB$315,23,0)</f>
        <v>NA</v>
      </c>
      <c r="AP456" t="str">
        <f>VLOOKUP($B456,'[1]Plant data'!$A$1:$AB$315,24,0)</f>
        <v>NA</v>
      </c>
      <c r="AQ456" t="str">
        <f>VLOOKUP($B456,'[1]Plant data'!$A$1:$AB$315,25,0)</f>
        <v>NA</v>
      </c>
      <c r="AR456" t="str">
        <f>VLOOKUP($B456,'[1]Plant data'!$A$1:$AB$315,26,0)</f>
        <v>NA</v>
      </c>
      <c r="AS456" t="str">
        <f>VLOOKUP($B456,'[1]Plant data'!$A$1:$AB$315,27,0)</f>
        <v>NA</v>
      </c>
      <c r="AT456" t="str">
        <f>VLOOKUP($B456,'[1]Plant data'!$A$1:$AB$315,28,0)</f>
        <v>Cazetta 2007</v>
      </c>
    </row>
    <row r="457" spans="1:46">
      <c r="A457" s="5" t="s">
        <v>41</v>
      </c>
      <c r="B457" s="33" t="s">
        <v>40</v>
      </c>
      <c r="C457" s="7">
        <v>3</v>
      </c>
      <c r="D457" s="7">
        <v>10</v>
      </c>
      <c r="E457" s="8">
        <f>C457/D457</f>
        <v>0.3</v>
      </c>
      <c r="F457" t="s">
        <v>19</v>
      </c>
      <c r="G457" s="41">
        <v>7.2855555555555549</v>
      </c>
      <c r="H457" s="41"/>
      <c r="I457" s="8">
        <f t="shared" si="36"/>
        <v>2.1856666666666662</v>
      </c>
      <c r="J457" s="10" t="s">
        <v>20</v>
      </c>
      <c r="K457" t="s">
        <v>21</v>
      </c>
      <c r="L457" t="s">
        <v>22</v>
      </c>
      <c r="M457" t="s">
        <v>30</v>
      </c>
      <c r="N457" s="11">
        <v>39</v>
      </c>
      <c r="O457" s="11">
        <v>8.2839869279999991</v>
      </c>
      <c r="P457" t="s">
        <v>24</v>
      </c>
      <c r="Q457" t="s">
        <v>25</v>
      </c>
      <c r="R457" t="s">
        <v>26</v>
      </c>
      <c r="S457" t="s">
        <v>31</v>
      </c>
      <c r="T457" t="str">
        <f>VLOOKUP(B457,'[1]Plant data'!$A$1:$AB$315,2,0)</f>
        <v>Anacardiaceae</v>
      </c>
      <c r="U457" t="str">
        <f>VLOOKUP($B457,'[1]Plant data'!$A$1:$AB$315,3,0)</f>
        <v>NA</v>
      </c>
      <c r="V457" t="str">
        <f>VLOOKUP($B457,'[1]Plant data'!$A$1:$AB$315,4,0)</f>
        <v>red</v>
      </c>
      <c r="W457" t="str">
        <f>VLOOKUP($B457,'[1]Plant data'!$A$1:$AB$315,5,0)</f>
        <v>YES</v>
      </c>
      <c r="X457">
        <f>VLOOKUP($B457,'[1]Plant data'!$A$1:$AB$315,6,0)</f>
        <v>5.1733333333333329</v>
      </c>
      <c r="Y457">
        <f>VLOOKUP($B457,'[1]Plant data'!$A$1:$AB$315,7,0)</f>
        <v>5.0959999999999992</v>
      </c>
      <c r="Z457">
        <f>VLOOKUP($B457,'[1]Plant data'!$A$1:$AB$315,8,0)</f>
        <v>3.5525000000000002</v>
      </c>
      <c r="AA457">
        <f>VLOOKUP($B457,'[1]Plant data'!$A$1:$AB$315,9,0)</f>
        <v>3.5100000000000002</v>
      </c>
      <c r="AB457">
        <f>VLOOKUP($B457,'[1]Plant data'!$A$1:$AB$315,10,0)</f>
        <v>2.82256E-2</v>
      </c>
      <c r="AC457">
        <f>VLOOKUP($B457,'[1]Plant data'!$A$1:$AB$315,11,0)</f>
        <v>0.01</v>
      </c>
      <c r="AD457">
        <f>VLOOKUP($B457,'[1]Plant data'!$A$1:$AB$315,12,0)</f>
        <v>1.3157999999999998E-2</v>
      </c>
      <c r="AE457">
        <f>VLOOKUP($B457,'[1]Plant data'!$A$1:$AB$315,13,0)</f>
        <v>7.4514000000000004E-3</v>
      </c>
      <c r="AF457">
        <f>VLOOKUP($B457,'[1]Plant data'!$A$1:$AB$315,14,0)</f>
        <v>1.1774E-2</v>
      </c>
      <c r="AG457">
        <f>VLOOKUP($B457,'[1]Plant data'!$A$1:$AB$315,15,0)</f>
        <v>1</v>
      </c>
      <c r="AH457" t="str">
        <f>VLOOKUP($B457,'[1]Plant data'!$A$1:$AB$315,16,0)</f>
        <v>NA</v>
      </c>
      <c r="AI457">
        <f>VLOOKUP($B457,'[1]Plant data'!$A$1:$AB$315,17,0)</f>
        <v>0.5455367759470019</v>
      </c>
      <c r="AJ457" t="str">
        <f>VLOOKUP($B457,'[1]Plant data'!$A$1:$AB$315,18,0)</f>
        <v>ATLANTIC, Cazetta 2007, Erica&amp;Wesley, Krugel &amp; Behr 1998, Alves 2008, Angel-de-Oliveira 1999</v>
      </c>
      <c r="AK457">
        <f>VLOOKUP($B457,'[1]Plant data'!$A$1:$AB$315,19,0)</f>
        <v>0.65910000000000002</v>
      </c>
      <c r="AL457">
        <f>VLOOKUP($B457,'[1]Plant data'!$A$1:$AB$315,20,0)</f>
        <v>5.4699999999999999E-2</v>
      </c>
      <c r="AM457">
        <f>VLOOKUP($B457,'[1]Plant data'!$A$1:$AB$315,21,0)</f>
        <v>6.8600000000000008E-2</v>
      </c>
      <c r="AN457">
        <f>VLOOKUP($B457,'[1]Plant data'!$A$1:$AB$315,22,0)</f>
        <v>8.6999999999999994E-3</v>
      </c>
      <c r="AO457" t="str">
        <f>VLOOKUP($B457,'[1]Plant data'!$A$1:$AB$315,23,0)</f>
        <v>NA</v>
      </c>
      <c r="AP457" t="str">
        <f>VLOOKUP($B457,'[1]Plant data'!$A$1:$AB$315,24,0)</f>
        <v>NA</v>
      </c>
      <c r="AQ457" t="str">
        <f>VLOOKUP($B457,'[1]Plant data'!$A$1:$AB$315,25,0)</f>
        <v>NA</v>
      </c>
      <c r="AR457" t="str">
        <f>VLOOKUP($B457,'[1]Plant data'!$A$1:$AB$315,26,0)</f>
        <v>NA</v>
      </c>
      <c r="AS457" t="str">
        <f>VLOOKUP($B457,'[1]Plant data'!$A$1:$AB$315,27,0)</f>
        <v>NA</v>
      </c>
      <c r="AT457" t="str">
        <f>VLOOKUP($B457,'[1]Plant data'!$A$1:$AB$315,28,0)</f>
        <v>Cazetta 2007</v>
      </c>
    </row>
    <row r="458" spans="1:46">
      <c r="A458" s="5" t="s">
        <v>43</v>
      </c>
      <c r="B458" s="33" t="s">
        <v>40</v>
      </c>
      <c r="C458" s="7">
        <v>5</v>
      </c>
      <c r="D458" s="7">
        <v>10</v>
      </c>
      <c r="E458" s="8">
        <f>C458/D458</f>
        <v>0.5</v>
      </c>
      <c r="F458" t="s">
        <v>19</v>
      </c>
      <c r="G458" s="41">
        <v>7.2855555555555549</v>
      </c>
      <c r="H458" s="41"/>
      <c r="I458" s="8">
        <f t="shared" si="36"/>
        <v>3.6427777777777774</v>
      </c>
      <c r="J458" s="10" t="s">
        <v>20</v>
      </c>
      <c r="K458" t="s">
        <v>21</v>
      </c>
      <c r="L458" t="s">
        <v>22</v>
      </c>
      <c r="M458" t="s">
        <v>30</v>
      </c>
      <c r="N458" s="11">
        <v>32.5</v>
      </c>
      <c r="O458" s="11">
        <v>8.9205555560000001</v>
      </c>
      <c r="P458" t="s">
        <v>24</v>
      </c>
      <c r="Q458" t="s">
        <v>25</v>
      </c>
      <c r="R458" t="s">
        <v>26</v>
      </c>
      <c r="S458" t="s">
        <v>31</v>
      </c>
      <c r="T458" t="str">
        <f>VLOOKUP(B458,'[1]Plant data'!$A$1:$AB$315,2,0)</f>
        <v>Anacardiaceae</v>
      </c>
      <c r="U458" t="str">
        <f>VLOOKUP($B458,'[1]Plant data'!$A$1:$AB$315,3,0)</f>
        <v>NA</v>
      </c>
      <c r="V458" t="str">
        <f>VLOOKUP($B458,'[1]Plant data'!$A$1:$AB$315,4,0)</f>
        <v>red</v>
      </c>
      <c r="W458" t="str">
        <f>VLOOKUP($B458,'[1]Plant data'!$A$1:$AB$315,5,0)</f>
        <v>YES</v>
      </c>
      <c r="X458">
        <f>VLOOKUP($B458,'[1]Plant data'!$A$1:$AB$315,6,0)</f>
        <v>5.1733333333333329</v>
      </c>
      <c r="Y458">
        <f>VLOOKUP($B458,'[1]Plant data'!$A$1:$AB$315,7,0)</f>
        <v>5.0959999999999992</v>
      </c>
      <c r="Z458">
        <f>VLOOKUP($B458,'[1]Plant data'!$A$1:$AB$315,8,0)</f>
        <v>3.5525000000000002</v>
      </c>
      <c r="AA458">
        <f>VLOOKUP($B458,'[1]Plant data'!$A$1:$AB$315,9,0)</f>
        <v>3.5100000000000002</v>
      </c>
      <c r="AB458">
        <f>VLOOKUP($B458,'[1]Plant data'!$A$1:$AB$315,10,0)</f>
        <v>2.82256E-2</v>
      </c>
      <c r="AC458">
        <f>VLOOKUP($B458,'[1]Plant data'!$A$1:$AB$315,11,0)</f>
        <v>0.01</v>
      </c>
      <c r="AD458">
        <f>VLOOKUP($B458,'[1]Plant data'!$A$1:$AB$315,12,0)</f>
        <v>1.3157999999999998E-2</v>
      </c>
      <c r="AE458">
        <f>VLOOKUP($B458,'[1]Plant data'!$A$1:$AB$315,13,0)</f>
        <v>7.4514000000000004E-3</v>
      </c>
      <c r="AF458">
        <f>VLOOKUP($B458,'[1]Plant data'!$A$1:$AB$315,14,0)</f>
        <v>1.1774E-2</v>
      </c>
      <c r="AG458">
        <f>VLOOKUP($B458,'[1]Plant data'!$A$1:$AB$315,15,0)</f>
        <v>1</v>
      </c>
      <c r="AH458" t="str">
        <f>VLOOKUP($B458,'[1]Plant data'!$A$1:$AB$315,16,0)</f>
        <v>NA</v>
      </c>
      <c r="AI458">
        <f>VLOOKUP($B458,'[1]Plant data'!$A$1:$AB$315,17,0)</f>
        <v>0.5455367759470019</v>
      </c>
      <c r="AJ458" t="str">
        <f>VLOOKUP($B458,'[1]Plant data'!$A$1:$AB$315,18,0)</f>
        <v>ATLANTIC, Cazetta 2007, Erica&amp;Wesley, Krugel &amp; Behr 1998, Alves 2008, Angel-de-Oliveira 1999</v>
      </c>
      <c r="AK458">
        <f>VLOOKUP($B458,'[1]Plant data'!$A$1:$AB$315,19,0)</f>
        <v>0.65910000000000002</v>
      </c>
      <c r="AL458">
        <f>VLOOKUP($B458,'[1]Plant data'!$A$1:$AB$315,20,0)</f>
        <v>5.4699999999999999E-2</v>
      </c>
      <c r="AM458">
        <f>VLOOKUP($B458,'[1]Plant data'!$A$1:$AB$315,21,0)</f>
        <v>6.8600000000000008E-2</v>
      </c>
      <c r="AN458">
        <f>VLOOKUP($B458,'[1]Plant data'!$A$1:$AB$315,22,0)</f>
        <v>8.6999999999999994E-3</v>
      </c>
      <c r="AO458" t="str">
        <f>VLOOKUP($B458,'[1]Plant data'!$A$1:$AB$315,23,0)</f>
        <v>NA</v>
      </c>
      <c r="AP458" t="str">
        <f>VLOOKUP($B458,'[1]Plant data'!$A$1:$AB$315,24,0)</f>
        <v>NA</v>
      </c>
      <c r="AQ458" t="str">
        <f>VLOOKUP($B458,'[1]Plant data'!$A$1:$AB$315,25,0)</f>
        <v>NA</v>
      </c>
      <c r="AR458" t="str">
        <f>VLOOKUP($B458,'[1]Plant data'!$A$1:$AB$315,26,0)</f>
        <v>NA</v>
      </c>
      <c r="AS458" t="str">
        <f>VLOOKUP($B458,'[1]Plant data'!$A$1:$AB$315,27,0)</f>
        <v>NA</v>
      </c>
      <c r="AT458" t="str">
        <f>VLOOKUP($B458,'[1]Plant data'!$A$1:$AB$315,28,0)</f>
        <v>Cazetta 2007</v>
      </c>
    </row>
    <row r="459" spans="1:46">
      <c r="A459" s="5" t="s">
        <v>46</v>
      </c>
      <c r="B459" s="33" t="s">
        <v>40</v>
      </c>
      <c r="C459" s="7">
        <v>3</v>
      </c>
      <c r="D459" s="7">
        <v>10</v>
      </c>
      <c r="E459" s="8">
        <f>C459/D459</f>
        <v>0.3</v>
      </c>
      <c r="F459" t="s">
        <v>19</v>
      </c>
      <c r="G459" s="41">
        <v>10.75</v>
      </c>
      <c r="H459" s="41"/>
      <c r="I459" s="8">
        <f t="shared" si="36"/>
        <v>3.2250000000000001</v>
      </c>
      <c r="J459" s="10" t="s">
        <v>20</v>
      </c>
      <c r="K459" t="s">
        <v>21</v>
      </c>
      <c r="L459" t="s">
        <v>22</v>
      </c>
      <c r="M459" t="s">
        <v>47</v>
      </c>
      <c r="N459" s="11">
        <v>54</v>
      </c>
      <c r="O459" s="11">
        <v>11.14875</v>
      </c>
      <c r="P459" t="s">
        <v>48</v>
      </c>
      <c r="Q459" t="s">
        <v>49</v>
      </c>
      <c r="R459" t="s">
        <v>26</v>
      </c>
      <c r="S459" t="s">
        <v>31</v>
      </c>
      <c r="T459" t="str">
        <f>VLOOKUP(B459,'[1]Plant data'!$A$1:$AB$315,2,0)</f>
        <v>Anacardiaceae</v>
      </c>
      <c r="U459" t="str">
        <f>VLOOKUP($B459,'[1]Plant data'!$A$1:$AB$315,3,0)</f>
        <v>NA</v>
      </c>
      <c r="V459" t="str">
        <f>VLOOKUP($B459,'[1]Plant data'!$A$1:$AB$315,4,0)</f>
        <v>red</v>
      </c>
      <c r="W459" t="str">
        <f>VLOOKUP($B459,'[1]Plant data'!$A$1:$AB$315,5,0)</f>
        <v>YES</v>
      </c>
      <c r="X459">
        <f>VLOOKUP($B459,'[1]Plant data'!$A$1:$AB$315,6,0)</f>
        <v>5.1733333333333329</v>
      </c>
      <c r="Y459">
        <f>VLOOKUP($B459,'[1]Plant data'!$A$1:$AB$315,7,0)</f>
        <v>5.0959999999999992</v>
      </c>
      <c r="Z459">
        <f>VLOOKUP($B459,'[1]Plant data'!$A$1:$AB$315,8,0)</f>
        <v>3.5525000000000002</v>
      </c>
      <c r="AA459">
        <f>VLOOKUP($B459,'[1]Plant data'!$A$1:$AB$315,9,0)</f>
        <v>3.5100000000000002</v>
      </c>
      <c r="AB459">
        <f>VLOOKUP($B459,'[1]Plant data'!$A$1:$AB$315,10,0)</f>
        <v>2.82256E-2</v>
      </c>
      <c r="AC459">
        <f>VLOOKUP($B459,'[1]Plant data'!$A$1:$AB$315,11,0)</f>
        <v>0.01</v>
      </c>
      <c r="AD459">
        <f>VLOOKUP($B459,'[1]Plant data'!$A$1:$AB$315,12,0)</f>
        <v>1.3157999999999998E-2</v>
      </c>
      <c r="AE459">
        <f>VLOOKUP($B459,'[1]Plant data'!$A$1:$AB$315,13,0)</f>
        <v>7.4514000000000004E-3</v>
      </c>
      <c r="AF459">
        <f>VLOOKUP($B459,'[1]Plant data'!$A$1:$AB$315,14,0)</f>
        <v>1.1774E-2</v>
      </c>
      <c r="AG459">
        <f>VLOOKUP($B459,'[1]Plant data'!$A$1:$AB$315,15,0)</f>
        <v>1</v>
      </c>
      <c r="AH459" t="str">
        <f>VLOOKUP($B459,'[1]Plant data'!$A$1:$AB$315,16,0)</f>
        <v>NA</v>
      </c>
      <c r="AI459">
        <f>VLOOKUP($B459,'[1]Plant data'!$A$1:$AB$315,17,0)</f>
        <v>0.5455367759470019</v>
      </c>
      <c r="AJ459" t="str">
        <f>VLOOKUP($B459,'[1]Plant data'!$A$1:$AB$315,18,0)</f>
        <v>ATLANTIC, Cazetta 2007, Erica&amp;Wesley, Krugel &amp; Behr 1998, Alves 2008, Angel-de-Oliveira 1999</v>
      </c>
      <c r="AK459">
        <f>VLOOKUP($B459,'[1]Plant data'!$A$1:$AB$315,19,0)</f>
        <v>0.65910000000000002</v>
      </c>
      <c r="AL459">
        <f>VLOOKUP($B459,'[1]Plant data'!$A$1:$AB$315,20,0)</f>
        <v>5.4699999999999999E-2</v>
      </c>
      <c r="AM459">
        <f>VLOOKUP($B459,'[1]Plant data'!$A$1:$AB$315,21,0)</f>
        <v>6.8600000000000008E-2</v>
      </c>
      <c r="AN459">
        <f>VLOOKUP($B459,'[1]Plant data'!$A$1:$AB$315,22,0)</f>
        <v>8.6999999999999994E-3</v>
      </c>
      <c r="AO459" t="str">
        <f>VLOOKUP($B459,'[1]Plant data'!$A$1:$AB$315,23,0)</f>
        <v>NA</v>
      </c>
      <c r="AP459" t="str">
        <f>VLOOKUP($B459,'[1]Plant data'!$A$1:$AB$315,24,0)</f>
        <v>NA</v>
      </c>
      <c r="AQ459" t="str">
        <f>VLOOKUP($B459,'[1]Plant data'!$A$1:$AB$315,25,0)</f>
        <v>NA</v>
      </c>
      <c r="AR459" t="str">
        <f>VLOOKUP($B459,'[1]Plant data'!$A$1:$AB$315,26,0)</f>
        <v>NA</v>
      </c>
      <c r="AS459" t="str">
        <f>VLOOKUP($B459,'[1]Plant data'!$A$1:$AB$315,27,0)</f>
        <v>NA</v>
      </c>
      <c r="AT459" t="str">
        <f>VLOOKUP($B459,'[1]Plant data'!$A$1:$AB$315,28,0)</f>
        <v>Cazetta 2007</v>
      </c>
    </row>
    <row r="460" spans="1:46">
      <c r="A460" s="5" t="s">
        <v>50</v>
      </c>
      <c r="B460" s="33" t="s">
        <v>40</v>
      </c>
      <c r="C460" s="7">
        <v>2</v>
      </c>
      <c r="D460" s="7">
        <v>10</v>
      </c>
      <c r="E460" s="8">
        <f>C460/D460</f>
        <v>0.2</v>
      </c>
      <c r="F460" t="s">
        <v>19</v>
      </c>
      <c r="G460" s="41">
        <v>10.75</v>
      </c>
      <c r="H460" s="41"/>
      <c r="I460" s="8">
        <f t="shared" si="36"/>
        <v>2.15</v>
      </c>
      <c r="J460" s="10" t="s">
        <v>20</v>
      </c>
      <c r="K460" t="s">
        <v>21</v>
      </c>
      <c r="L460" t="s">
        <v>22</v>
      </c>
      <c r="M460" t="s">
        <v>47</v>
      </c>
      <c r="N460" s="11">
        <v>69.5</v>
      </c>
      <c r="O460" s="11">
        <v>13.253214290000001</v>
      </c>
      <c r="P460" t="s">
        <v>48</v>
      </c>
      <c r="Q460" t="s">
        <v>25</v>
      </c>
      <c r="R460" t="s">
        <v>26</v>
      </c>
      <c r="S460" t="s">
        <v>31</v>
      </c>
      <c r="T460" t="str">
        <f>VLOOKUP(B460,'[1]Plant data'!$A$1:$AB$315,2,0)</f>
        <v>Anacardiaceae</v>
      </c>
      <c r="U460" t="str">
        <f>VLOOKUP($B460,'[1]Plant data'!$A$1:$AB$315,3,0)</f>
        <v>NA</v>
      </c>
      <c r="V460" t="str">
        <f>VLOOKUP($B460,'[1]Plant data'!$A$1:$AB$315,4,0)</f>
        <v>red</v>
      </c>
      <c r="W460" t="str">
        <f>VLOOKUP($B460,'[1]Plant data'!$A$1:$AB$315,5,0)</f>
        <v>YES</v>
      </c>
      <c r="X460">
        <f>VLOOKUP($B460,'[1]Plant data'!$A$1:$AB$315,6,0)</f>
        <v>5.1733333333333329</v>
      </c>
      <c r="Y460">
        <f>VLOOKUP($B460,'[1]Plant data'!$A$1:$AB$315,7,0)</f>
        <v>5.0959999999999992</v>
      </c>
      <c r="Z460">
        <f>VLOOKUP($B460,'[1]Plant data'!$A$1:$AB$315,8,0)</f>
        <v>3.5525000000000002</v>
      </c>
      <c r="AA460">
        <f>VLOOKUP($B460,'[1]Plant data'!$A$1:$AB$315,9,0)</f>
        <v>3.5100000000000002</v>
      </c>
      <c r="AB460">
        <f>VLOOKUP($B460,'[1]Plant data'!$A$1:$AB$315,10,0)</f>
        <v>2.82256E-2</v>
      </c>
      <c r="AC460">
        <f>VLOOKUP($B460,'[1]Plant data'!$A$1:$AB$315,11,0)</f>
        <v>0.01</v>
      </c>
      <c r="AD460">
        <f>VLOOKUP($B460,'[1]Plant data'!$A$1:$AB$315,12,0)</f>
        <v>1.3157999999999998E-2</v>
      </c>
      <c r="AE460">
        <f>VLOOKUP($B460,'[1]Plant data'!$A$1:$AB$315,13,0)</f>
        <v>7.4514000000000004E-3</v>
      </c>
      <c r="AF460">
        <f>VLOOKUP($B460,'[1]Plant data'!$A$1:$AB$315,14,0)</f>
        <v>1.1774E-2</v>
      </c>
      <c r="AG460">
        <f>VLOOKUP($B460,'[1]Plant data'!$A$1:$AB$315,15,0)</f>
        <v>1</v>
      </c>
      <c r="AH460" t="str">
        <f>VLOOKUP($B460,'[1]Plant data'!$A$1:$AB$315,16,0)</f>
        <v>NA</v>
      </c>
      <c r="AI460">
        <f>VLOOKUP($B460,'[1]Plant data'!$A$1:$AB$315,17,0)</f>
        <v>0.5455367759470019</v>
      </c>
      <c r="AJ460" t="str">
        <f>VLOOKUP($B460,'[1]Plant data'!$A$1:$AB$315,18,0)</f>
        <v>ATLANTIC, Cazetta 2007, Erica&amp;Wesley, Krugel &amp; Behr 1998, Alves 2008, Angel-de-Oliveira 1999</v>
      </c>
      <c r="AK460">
        <f>VLOOKUP($B460,'[1]Plant data'!$A$1:$AB$315,19,0)</f>
        <v>0.65910000000000002</v>
      </c>
      <c r="AL460">
        <f>VLOOKUP($B460,'[1]Plant data'!$A$1:$AB$315,20,0)</f>
        <v>5.4699999999999999E-2</v>
      </c>
      <c r="AM460">
        <f>VLOOKUP($B460,'[1]Plant data'!$A$1:$AB$315,21,0)</f>
        <v>6.8600000000000008E-2</v>
      </c>
      <c r="AN460">
        <f>VLOOKUP($B460,'[1]Plant data'!$A$1:$AB$315,22,0)</f>
        <v>8.6999999999999994E-3</v>
      </c>
      <c r="AO460" t="str">
        <f>VLOOKUP($B460,'[1]Plant data'!$A$1:$AB$315,23,0)</f>
        <v>NA</v>
      </c>
      <c r="AP460" t="str">
        <f>VLOOKUP($B460,'[1]Plant data'!$A$1:$AB$315,24,0)</f>
        <v>NA</v>
      </c>
      <c r="AQ460" t="str">
        <f>VLOOKUP($B460,'[1]Plant data'!$A$1:$AB$315,25,0)</f>
        <v>NA</v>
      </c>
      <c r="AR460" t="str">
        <f>VLOOKUP($B460,'[1]Plant data'!$A$1:$AB$315,26,0)</f>
        <v>NA</v>
      </c>
      <c r="AS460" t="str">
        <f>VLOOKUP($B460,'[1]Plant data'!$A$1:$AB$315,27,0)</f>
        <v>NA</v>
      </c>
      <c r="AT460" t="str">
        <f>VLOOKUP($B460,'[1]Plant data'!$A$1:$AB$315,28,0)</f>
        <v>Cazetta 2007</v>
      </c>
    </row>
    <row r="461" spans="1:46">
      <c r="A461" s="5" t="s">
        <v>70</v>
      </c>
      <c r="B461" s="33" t="s">
        <v>40</v>
      </c>
      <c r="C461" s="7">
        <v>1</v>
      </c>
      <c r="D461" s="7">
        <v>17.399999999999999</v>
      </c>
      <c r="E461" s="8">
        <f>(C461/17.4)/2</f>
        <v>2.8735632183908049E-2</v>
      </c>
      <c r="F461" t="s">
        <v>19</v>
      </c>
      <c r="G461" s="9" t="s">
        <v>19</v>
      </c>
      <c r="H461" s="9"/>
      <c r="I461" s="8" t="s">
        <v>19</v>
      </c>
      <c r="J461" s="25" t="s">
        <v>67</v>
      </c>
      <c r="K461" s="25" t="s">
        <v>68</v>
      </c>
      <c r="L461" t="s">
        <v>22</v>
      </c>
      <c r="M461" t="s">
        <v>23</v>
      </c>
      <c r="N461" s="11">
        <v>15</v>
      </c>
      <c r="O461" s="11">
        <v>6.9235714289999999</v>
      </c>
      <c r="P461" t="s">
        <v>24</v>
      </c>
      <c r="Q461" t="s">
        <v>25</v>
      </c>
      <c r="R461" t="s">
        <v>26</v>
      </c>
      <c r="S461" t="s">
        <v>27</v>
      </c>
      <c r="T461" t="str">
        <f>VLOOKUP(B461,'[1]Plant data'!$A$1:$AB$315,2,0)</f>
        <v>Anacardiaceae</v>
      </c>
      <c r="U461" t="str">
        <f>VLOOKUP($B461,'[1]Plant data'!$A$1:$AB$315,3,0)</f>
        <v>NA</v>
      </c>
      <c r="V461" t="str">
        <f>VLOOKUP($B461,'[1]Plant data'!$A$1:$AB$315,4,0)</f>
        <v>red</v>
      </c>
      <c r="W461" t="str">
        <f>VLOOKUP($B461,'[1]Plant data'!$A$1:$AB$315,5,0)</f>
        <v>YES</v>
      </c>
      <c r="X461">
        <f>VLOOKUP($B461,'[1]Plant data'!$A$1:$AB$315,6,0)</f>
        <v>5.1733333333333329</v>
      </c>
      <c r="Y461">
        <f>VLOOKUP($B461,'[1]Plant data'!$A$1:$AB$315,7,0)</f>
        <v>5.0959999999999992</v>
      </c>
      <c r="Z461">
        <f>VLOOKUP($B461,'[1]Plant data'!$A$1:$AB$315,8,0)</f>
        <v>3.5525000000000002</v>
      </c>
      <c r="AA461">
        <f>VLOOKUP($B461,'[1]Plant data'!$A$1:$AB$315,9,0)</f>
        <v>3.5100000000000002</v>
      </c>
      <c r="AB461">
        <f>VLOOKUP($B461,'[1]Plant data'!$A$1:$AB$315,10,0)</f>
        <v>2.82256E-2</v>
      </c>
      <c r="AC461">
        <f>VLOOKUP($B461,'[1]Plant data'!$A$1:$AB$315,11,0)</f>
        <v>0.01</v>
      </c>
      <c r="AD461">
        <f>VLOOKUP($B461,'[1]Plant data'!$A$1:$AB$315,12,0)</f>
        <v>1.3157999999999998E-2</v>
      </c>
      <c r="AE461">
        <f>VLOOKUP($B461,'[1]Plant data'!$A$1:$AB$315,13,0)</f>
        <v>7.4514000000000004E-3</v>
      </c>
      <c r="AF461">
        <f>VLOOKUP($B461,'[1]Plant data'!$A$1:$AB$315,14,0)</f>
        <v>1.1774E-2</v>
      </c>
      <c r="AG461">
        <f>VLOOKUP($B461,'[1]Plant data'!$A$1:$AB$315,15,0)</f>
        <v>1</v>
      </c>
      <c r="AH461" t="str">
        <f>VLOOKUP($B461,'[1]Plant data'!$A$1:$AB$315,16,0)</f>
        <v>NA</v>
      </c>
      <c r="AI461">
        <f>VLOOKUP($B461,'[1]Plant data'!$A$1:$AB$315,17,0)</f>
        <v>0.5455367759470019</v>
      </c>
      <c r="AJ461" t="str">
        <f>VLOOKUP($B461,'[1]Plant data'!$A$1:$AB$315,18,0)</f>
        <v>ATLANTIC, Cazetta 2007, Erica&amp;Wesley, Krugel &amp; Behr 1998, Alves 2008, Angel-de-Oliveira 1999</v>
      </c>
      <c r="AK461">
        <f>VLOOKUP($B461,'[1]Plant data'!$A$1:$AB$315,19,0)</f>
        <v>0.65910000000000002</v>
      </c>
      <c r="AL461">
        <f>VLOOKUP($B461,'[1]Plant data'!$A$1:$AB$315,20,0)</f>
        <v>5.4699999999999999E-2</v>
      </c>
      <c r="AM461">
        <f>VLOOKUP($B461,'[1]Plant data'!$A$1:$AB$315,21,0)</f>
        <v>6.8600000000000008E-2</v>
      </c>
      <c r="AN461">
        <f>VLOOKUP($B461,'[1]Plant data'!$A$1:$AB$315,22,0)</f>
        <v>8.6999999999999994E-3</v>
      </c>
      <c r="AO461" t="str">
        <f>VLOOKUP($B461,'[1]Plant data'!$A$1:$AB$315,23,0)</f>
        <v>NA</v>
      </c>
      <c r="AP461" t="str">
        <f>VLOOKUP($B461,'[1]Plant data'!$A$1:$AB$315,24,0)</f>
        <v>NA</v>
      </c>
      <c r="AQ461" t="str">
        <f>VLOOKUP($B461,'[1]Plant data'!$A$1:$AB$315,25,0)</f>
        <v>NA</v>
      </c>
      <c r="AR461" t="str">
        <f>VLOOKUP($B461,'[1]Plant data'!$A$1:$AB$315,26,0)</f>
        <v>NA</v>
      </c>
      <c r="AS461" t="str">
        <f>VLOOKUP($B461,'[1]Plant data'!$A$1:$AB$315,27,0)</f>
        <v>NA</v>
      </c>
      <c r="AT461" t="str">
        <f>VLOOKUP($B461,'[1]Plant data'!$A$1:$AB$315,28,0)</f>
        <v>Cazetta 2007</v>
      </c>
    </row>
    <row r="462" spans="1:46">
      <c r="A462" s="5" t="s">
        <v>28</v>
      </c>
      <c r="B462" s="34" t="s">
        <v>40</v>
      </c>
      <c r="C462" s="7">
        <v>1</v>
      </c>
      <c r="D462" s="7">
        <v>20</v>
      </c>
      <c r="E462" s="8">
        <f>C462/D462</f>
        <v>0.05</v>
      </c>
      <c r="F462">
        <v>2</v>
      </c>
      <c r="G462" s="9">
        <f>F462/C462</f>
        <v>2</v>
      </c>
      <c r="H462" s="9"/>
      <c r="I462" s="8">
        <f t="shared" ref="I462:I469" si="37">E462*G462</f>
        <v>0.1</v>
      </c>
      <c r="J462" t="s">
        <v>79</v>
      </c>
      <c r="K462" t="s">
        <v>80</v>
      </c>
      <c r="L462" t="s">
        <v>22</v>
      </c>
      <c r="M462" t="s">
        <v>30</v>
      </c>
      <c r="N462" s="11">
        <v>18</v>
      </c>
      <c r="O462" s="11">
        <v>7.4188405800000004</v>
      </c>
      <c r="P462" t="s">
        <v>24</v>
      </c>
      <c r="Q462" s="13" t="s">
        <v>25</v>
      </c>
      <c r="R462" s="13" t="s">
        <v>26</v>
      </c>
      <c r="S462" s="13" t="s">
        <v>31</v>
      </c>
      <c r="T462" t="str">
        <f>VLOOKUP(B462,'[1]Plant data'!$A$1:$AB$315,2,0)</f>
        <v>Anacardiaceae</v>
      </c>
      <c r="U462" t="str">
        <f>VLOOKUP($B462,'[1]Plant data'!$A$1:$AB$315,3,0)</f>
        <v>NA</v>
      </c>
      <c r="V462" t="str">
        <f>VLOOKUP($B462,'[1]Plant data'!$A$1:$AB$315,4,0)</f>
        <v>red</v>
      </c>
      <c r="W462" t="str">
        <f>VLOOKUP($B462,'[1]Plant data'!$A$1:$AB$315,5,0)</f>
        <v>YES</v>
      </c>
      <c r="X462">
        <f>VLOOKUP($B462,'[1]Plant data'!$A$1:$AB$315,6,0)</f>
        <v>5.1733333333333329</v>
      </c>
      <c r="Y462">
        <f>VLOOKUP($B462,'[1]Plant data'!$A$1:$AB$315,7,0)</f>
        <v>5.0959999999999992</v>
      </c>
      <c r="Z462">
        <f>VLOOKUP($B462,'[1]Plant data'!$A$1:$AB$315,8,0)</f>
        <v>3.5525000000000002</v>
      </c>
      <c r="AA462">
        <f>VLOOKUP($B462,'[1]Plant data'!$A$1:$AB$315,9,0)</f>
        <v>3.5100000000000002</v>
      </c>
      <c r="AB462">
        <f>VLOOKUP($B462,'[1]Plant data'!$A$1:$AB$315,10,0)</f>
        <v>2.82256E-2</v>
      </c>
      <c r="AC462">
        <f>VLOOKUP($B462,'[1]Plant data'!$A$1:$AB$315,11,0)</f>
        <v>0.01</v>
      </c>
      <c r="AD462">
        <f>VLOOKUP($B462,'[1]Plant data'!$A$1:$AB$315,12,0)</f>
        <v>1.3157999999999998E-2</v>
      </c>
      <c r="AE462">
        <f>VLOOKUP($B462,'[1]Plant data'!$A$1:$AB$315,13,0)</f>
        <v>7.4514000000000004E-3</v>
      </c>
      <c r="AF462">
        <f>VLOOKUP($B462,'[1]Plant data'!$A$1:$AB$315,14,0)</f>
        <v>1.1774E-2</v>
      </c>
      <c r="AG462">
        <f>VLOOKUP($B462,'[1]Plant data'!$A$1:$AB$315,15,0)</f>
        <v>1</v>
      </c>
      <c r="AH462" t="str">
        <f>VLOOKUP($B462,'[1]Plant data'!$A$1:$AB$315,16,0)</f>
        <v>NA</v>
      </c>
      <c r="AI462">
        <f>VLOOKUP($B462,'[1]Plant data'!$A$1:$AB$315,17,0)</f>
        <v>0.5455367759470019</v>
      </c>
      <c r="AJ462" t="str">
        <f>VLOOKUP($B462,'[1]Plant data'!$A$1:$AB$315,18,0)</f>
        <v>ATLANTIC, Cazetta 2007, Erica&amp;Wesley, Krugel &amp; Behr 1998, Alves 2008, Angel-de-Oliveira 1999</v>
      </c>
      <c r="AK462">
        <f>VLOOKUP($B462,'[1]Plant data'!$A$1:$AB$315,19,0)</f>
        <v>0.65910000000000002</v>
      </c>
      <c r="AL462">
        <f>VLOOKUP($B462,'[1]Plant data'!$A$1:$AB$315,20,0)</f>
        <v>5.4699999999999999E-2</v>
      </c>
      <c r="AM462">
        <f>VLOOKUP($B462,'[1]Plant data'!$A$1:$AB$315,21,0)</f>
        <v>6.8600000000000008E-2</v>
      </c>
      <c r="AN462">
        <f>VLOOKUP($B462,'[1]Plant data'!$A$1:$AB$315,22,0)</f>
        <v>8.6999999999999994E-3</v>
      </c>
      <c r="AO462" t="str">
        <f>VLOOKUP($B462,'[1]Plant data'!$A$1:$AB$315,23,0)</f>
        <v>NA</v>
      </c>
      <c r="AP462" t="str">
        <f>VLOOKUP($B462,'[1]Plant data'!$A$1:$AB$315,24,0)</f>
        <v>NA</v>
      </c>
      <c r="AQ462" t="str">
        <f>VLOOKUP($B462,'[1]Plant data'!$A$1:$AB$315,25,0)</f>
        <v>NA</v>
      </c>
      <c r="AR462" t="str">
        <f>VLOOKUP($B462,'[1]Plant data'!$A$1:$AB$315,26,0)</f>
        <v>NA</v>
      </c>
      <c r="AS462" t="str">
        <f>VLOOKUP($B462,'[1]Plant data'!$A$1:$AB$315,27,0)</f>
        <v>NA</v>
      </c>
      <c r="AT462" t="str">
        <f>VLOOKUP($B462,'[1]Plant data'!$A$1:$AB$315,28,0)</f>
        <v>Cazetta 2007</v>
      </c>
    </row>
    <row r="463" spans="1:46">
      <c r="A463" s="5" t="s">
        <v>43</v>
      </c>
      <c r="B463" s="32" t="s">
        <v>40</v>
      </c>
      <c r="C463">
        <v>71</v>
      </c>
      <c r="D463">
        <v>102</v>
      </c>
      <c r="E463" s="8">
        <f>C463/102</f>
        <v>0.69607843137254899</v>
      </c>
      <c r="F463" s="8" t="s">
        <v>19</v>
      </c>
      <c r="G463" s="19">
        <v>13.69</v>
      </c>
      <c r="H463" s="19"/>
      <c r="I463" s="8">
        <f t="shared" si="37"/>
        <v>9.5293137254901961</v>
      </c>
      <c r="J463" t="s">
        <v>141</v>
      </c>
      <c r="K463" t="s">
        <v>142</v>
      </c>
      <c r="L463" t="s">
        <v>22</v>
      </c>
      <c r="M463" t="s">
        <v>30</v>
      </c>
      <c r="N463" s="11">
        <v>32.5</v>
      </c>
      <c r="O463" s="11">
        <v>8.9205555560000001</v>
      </c>
      <c r="P463" t="s">
        <v>24</v>
      </c>
      <c r="Q463" t="s">
        <v>25</v>
      </c>
      <c r="R463" t="s">
        <v>26</v>
      </c>
      <c r="S463" t="s">
        <v>31</v>
      </c>
      <c r="T463" t="str">
        <f>VLOOKUP(B463,'[1]Plant data'!$A$1:$AB$315,2,0)</f>
        <v>Anacardiaceae</v>
      </c>
      <c r="U463" t="str">
        <f>VLOOKUP($B463,'[1]Plant data'!$A$1:$AB$315,3,0)</f>
        <v>NA</v>
      </c>
      <c r="V463" t="str">
        <f>VLOOKUP($B463,'[1]Plant data'!$A$1:$AB$315,4,0)</f>
        <v>red</v>
      </c>
      <c r="W463" t="str">
        <f>VLOOKUP($B463,'[1]Plant data'!$A$1:$AB$315,5,0)</f>
        <v>YES</v>
      </c>
      <c r="X463">
        <f>VLOOKUP($B463,'[1]Plant data'!$A$1:$AB$315,6,0)</f>
        <v>5.1733333333333329</v>
      </c>
      <c r="Y463">
        <f>VLOOKUP($B463,'[1]Plant data'!$A$1:$AB$315,7,0)</f>
        <v>5.0959999999999992</v>
      </c>
      <c r="Z463">
        <f>VLOOKUP($B463,'[1]Plant data'!$A$1:$AB$315,8,0)</f>
        <v>3.5525000000000002</v>
      </c>
      <c r="AA463">
        <f>VLOOKUP($B463,'[1]Plant data'!$A$1:$AB$315,9,0)</f>
        <v>3.5100000000000002</v>
      </c>
      <c r="AB463">
        <f>VLOOKUP($B463,'[1]Plant data'!$A$1:$AB$315,10,0)</f>
        <v>2.82256E-2</v>
      </c>
      <c r="AC463">
        <f>VLOOKUP($B463,'[1]Plant data'!$A$1:$AB$315,11,0)</f>
        <v>0.01</v>
      </c>
      <c r="AD463">
        <f>VLOOKUP($B463,'[1]Plant data'!$A$1:$AB$315,12,0)</f>
        <v>1.3157999999999998E-2</v>
      </c>
      <c r="AE463">
        <f>VLOOKUP($B463,'[1]Plant data'!$A$1:$AB$315,13,0)</f>
        <v>7.4514000000000004E-3</v>
      </c>
      <c r="AF463">
        <f>VLOOKUP($B463,'[1]Plant data'!$A$1:$AB$315,14,0)</f>
        <v>1.1774E-2</v>
      </c>
      <c r="AG463">
        <f>VLOOKUP($B463,'[1]Plant data'!$A$1:$AB$315,15,0)</f>
        <v>1</v>
      </c>
      <c r="AH463" t="str">
        <f>VLOOKUP($B463,'[1]Plant data'!$A$1:$AB$315,16,0)</f>
        <v>NA</v>
      </c>
      <c r="AI463">
        <f>VLOOKUP($B463,'[1]Plant data'!$A$1:$AB$315,17,0)</f>
        <v>0.5455367759470019</v>
      </c>
      <c r="AJ463" t="str">
        <f>VLOOKUP($B463,'[1]Plant data'!$A$1:$AB$315,18,0)</f>
        <v>ATLANTIC, Cazetta 2007, Erica&amp;Wesley, Krugel &amp; Behr 1998, Alves 2008, Angel-de-Oliveira 1999</v>
      </c>
      <c r="AK463">
        <f>VLOOKUP($B463,'[1]Plant data'!$A$1:$AB$315,19,0)</f>
        <v>0.65910000000000002</v>
      </c>
      <c r="AL463">
        <f>VLOOKUP($B463,'[1]Plant data'!$A$1:$AB$315,20,0)</f>
        <v>5.4699999999999999E-2</v>
      </c>
      <c r="AM463">
        <f>VLOOKUP($B463,'[1]Plant data'!$A$1:$AB$315,21,0)</f>
        <v>6.8600000000000008E-2</v>
      </c>
      <c r="AN463">
        <f>VLOOKUP($B463,'[1]Plant data'!$A$1:$AB$315,22,0)</f>
        <v>8.6999999999999994E-3</v>
      </c>
      <c r="AO463" t="str">
        <f>VLOOKUP($B463,'[1]Plant data'!$A$1:$AB$315,23,0)</f>
        <v>NA</v>
      </c>
      <c r="AP463" t="str">
        <f>VLOOKUP($B463,'[1]Plant data'!$A$1:$AB$315,24,0)</f>
        <v>NA</v>
      </c>
      <c r="AQ463" t="str">
        <f>VLOOKUP($B463,'[1]Plant data'!$A$1:$AB$315,25,0)</f>
        <v>NA</v>
      </c>
      <c r="AR463" t="str">
        <f>VLOOKUP($B463,'[1]Plant data'!$A$1:$AB$315,26,0)</f>
        <v>NA</v>
      </c>
      <c r="AS463" t="str">
        <f>VLOOKUP($B463,'[1]Plant data'!$A$1:$AB$315,27,0)</f>
        <v>NA</v>
      </c>
      <c r="AT463" t="str">
        <f>VLOOKUP($B463,'[1]Plant data'!$A$1:$AB$315,28,0)</f>
        <v>Cazetta 2007</v>
      </c>
    </row>
    <row r="464" spans="1:46">
      <c r="A464" s="5" t="s">
        <v>50</v>
      </c>
      <c r="B464" s="32" t="s">
        <v>40</v>
      </c>
      <c r="C464">
        <v>21</v>
      </c>
      <c r="D464">
        <v>102</v>
      </c>
      <c r="E464" s="8">
        <f>C464/102</f>
        <v>0.20588235294117646</v>
      </c>
      <c r="F464" s="8" t="s">
        <v>19</v>
      </c>
      <c r="G464" s="19">
        <v>16.5</v>
      </c>
      <c r="H464" s="19"/>
      <c r="I464" s="8">
        <f t="shared" si="37"/>
        <v>3.3970588235294117</v>
      </c>
      <c r="J464" t="s">
        <v>141</v>
      </c>
      <c r="K464" t="s">
        <v>142</v>
      </c>
      <c r="L464" t="s">
        <v>22</v>
      </c>
      <c r="M464" t="s">
        <v>47</v>
      </c>
      <c r="N464" s="11">
        <v>69.5</v>
      </c>
      <c r="O464" s="11">
        <v>13.253214290000001</v>
      </c>
      <c r="P464" t="s">
        <v>48</v>
      </c>
      <c r="Q464" t="s">
        <v>25</v>
      </c>
      <c r="R464" t="s">
        <v>26</v>
      </c>
      <c r="S464" t="s">
        <v>31</v>
      </c>
      <c r="T464" t="str">
        <f>VLOOKUP(B464,'[1]Plant data'!$A$1:$AB$315,2,0)</f>
        <v>Anacardiaceae</v>
      </c>
      <c r="U464" t="str">
        <f>VLOOKUP($B464,'[1]Plant data'!$A$1:$AB$315,3,0)</f>
        <v>NA</v>
      </c>
      <c r="V464" t="str">
        <f>VLOOKUP($B464,'[1]Plant data'!$A$1:$AB$315,4,0)</f>
        <v>red</v>
      </c>
      <c r="W464" t="str">
        <f>VLOOKUP($B464,'[1]Plant data'!$A$1:$AB$315,5,0)</f>
        <v>YES</v>
      </c>
      <c r="X464">
        <f>VLOOKUP($B464,'[1]Plant data'!$A$1:$AB$315,6,0)</f>
        <v>5.1733333333333329</v>
      </c>
      <c r="Y464">
        <f>VLOOKUP($B464,'[1]Plant data'!$A$1:$AB$315,7,0)</f>
        <v>5.0959999999999992</v>
      </c>
      <c r="Z464">
        <f>VLOOKUP($B464,'[1]Plant data'!$A$1:$AB$315,8,0)</f>
        <v>3.5525000000000002</v>
      </c>
      <c r="AA464">
        <f>VLOOKUP($B464,'[1]Plant data'!$A$1:$AB$315,9,0)</f>
        <v>3.5100000000000002</v>
      </c>
      <c r="AB464">
        <f>VLOOKUP($B464,'[1]Plant data'!$A$1:$AB$315,10,0)</f>
        <v>2.82256E-2</v>
      </c>
      <c r="AC464">
        <f>VLOOKUP($B464,'[1]Plant data'!$A$1:$AB$315,11,0)</f>
        <v>0.01</v>
      </c>
      <c r="AD464">
        <f>VLOOKUP($B464,'[1]Plant data'!$A$1:$AB$315,12,0)</f>
        <v>1.3157999999999998E-2</v>
      </c>
      <c r="AE464">
        <f>VLOOKUP($B464,'[1]Plant data'!$A$1:$AB$315,13,0)</f>
        <v>7.4514000000000004E-3</v>
      </c>
      <c r="AF464">
        <f>VLOOKUP($B464,'[1]Plant data'!$A$1:$AB$315,14,0)</f>
        <v>1.1774E-2</v>
      </c>
      <c r="AG464">
        <f>VLOOKUP($B464,'[1]Plant data'!$A$1:$AB$315,15,0)</f>
        <v>1</v>
      </c>
      <c r="AH464" t="str">
        <f>VLOOKUP($B464,'[1]Plant data'!$A$1:$AB$315,16,0)</f>
        <v>NA</v>
      </c>
      <c r="AI464">
        <f>VLOOKUP($B464,'[1]Plant data'!$A$1:$AB$315,17,0)</f>
        <v>0.5455367759470019</v>
      </c>
      <c r="AJ464" t="str">
        <f>VLOOKUP($B464,'[1]Plant data'!$A$1:$AB$315,18,0)</f>
        <v>ATLANTIC, Cazetta 2007, Erica&amp;Wesley, Krugel &amp; Behr 1998, Alves 2008, Angel-de-Oliveira 1999</v>
      </c>
      <c r="AK464">
        <f>VLOOKUP($B464,'[1]Plant data'!$A$1:$AB$315,19,0)</f>
        <v>0.65910000000000002</v>
      </c>
      <c r="AL464">
        <f>VLOOKUP($B464,'[1]Plant data'!$A$1:$AB$315,20,0)</f>
        <v>5.4699999999999999E-2</v>
      </c>
      <c r="AM464">
        <f>VLOOKUP($B464,'[1]Plant data'!$A$1:$AB$315,21,0)</f>
        <v>6.8600000000000008E-2</v>
      </c>
      <c r="AN464">
        <f>VLOOKUP($B464,'[1]Plant data'!$A$1:$AB$315,22,0)</f>
        <v>8.6999999999999994E-3</v>
      </c>
      <c r="AO464" t="str">
        <f>VLOOKUP($B464,'[1]Plant data'!$A$1:$AB$315,23,0)</f>
        <v>NA</v>
      </c>
      <c r="AP464" t="str">
        <f>VLOOKUP($B464,'[1]Plant data'!$A$1:$AB$315,24,0)</f>
        <v>NA</v>
      </c>
      <c r="AQ464" t="str">
        <f>VLOOKUP($B464,'[1]Plant data'!$A$1:$AB$315,25,0)</f>
        <v>NA</v>
      </c>
      <c r="AR464" t="str">
        <f>VLOOKUP($B464,'[1]Plant data'!$A$1:$AB$315,26,0)</f>
        <v>NA</v>
      </c>
      <c r="AS464" t="str">
        <f>VLOOKUP($B464,'[1]Plant data'!$A$1:$AB$315,27,0)</f>
        <v>NA</v>
      </c>
      <c r="AT464" t="str">
        <f>VLOOKUP($B464,'[1]Plant data'!$A$1:$AB$315,28,0)</f>
        <v>Cazetta 2007</v>
      </c>
    </row>
    <row r="465" spans="1:46">
      <c r="A465" s="18" t="s">
        <v>28</v>
      </c>
      <c r="B465" s="33" t="s">
        <v>40</v>
      </c>
      <c r="C465" s="25">
        <v>6</v>
      </c>
      <c r="D465" s="25">
        <v>5</v>
      </c>
      <c r="E465" s="26">
        <f>C465/D465</f>
        <v>1.2</v>
      </c>
      <c r="F465" s="25" t="s">
        <v>19</v>
      </c>
      <c r="G465" s="19">
        <f>(4+5)/2</f>
        <v>4.5</v>
      </c>
      <c r="H465" s="19"/>
      <c r="I465" s="8">
        <f t="shared" si="37"/>
        <v>5.3999999999999995</v>
      </c>
      <c r="J465" t="s">
        <v>180</v>
      </c>
      <c r="K465" t="s">
        <v>181</v>
      </c>
      <c r="L465" t="s">
        <v>22</v>
      </c>
      <c r="M465" t="s">
        <v>30</v>
      </c>
      <c r="N465" s="11">
        <v>18</v>
      </c>
      <c r="O465" s="11">
        <v>7.4188405800000004</v>
      </c>
      <c r="P465" t="s">
        <v>24</v>
      </c>
      <c r="Q465" s="13" t="s">
        <v>25</v>
      </c>
      <c r="R465" s="13" t="s">
        <v>26</v>
      </c>
      <c r="S465" s="13" t="s">
        <v>31</v>
      </c>
      <c r="T465" t="str">
        <f>VLOOKUP(B465,'[1]Plant data'!$A$1:$AB$315,2,0)</f>
        <v>Anacardiaceae</v>
      </c>
      <c r="U465" t="str">
        <f>VLOOKUP($B465,'[1]Plant data'!$A$1:$AB$315,3,0)</f>
        <v>NA</v>
      </c>
      <c r="V465" t="str">
        <f>VLOOKUP($B465,'[1]Plant data'!$A$1:$AB$315,4,0)</f>
        <v>red</v>
      </c>
      <c r="W465" t="str">
        <f>VLOOKUP($B465,'[1]Plant data'!$A$1:$AB$315,5,0)</f>
        <v>YES</v>
      </c>
      <c r="X465">
        <f>VLOOKUP($B465,'[1]Plant data'!$A$1:$AB$315,6,0)</f>
        <v>5.1733333333333329</v>
      </c>
      <c r="Y465">
        <f>VLOOKUP($B465,'[1]Plant data'!$A$1:$AB$315,7,0)</f>
        <v>5.0959999999999992</v>
      </c>
      <c r="Z465">
        <f>VLOOKUP($B465,'[1]Plant data'!$A$1:$AB$315,8,0)</f>
        <v>3.5525000000000002</v>
      </c>
      <c r="AA465">
        <f>VLOOKUP($B465,'[1]Plant data'!$A$1:$AB$315,9,0)</f>
        <v>3.5100000000000002</v>
      </c>
      <c r="AB465">
        <f>VLOOKUP($B465,'[1]Plant data'!$A$1:$AB$315,10,0)</f>
        <v>2.82256E-2</v>
      </c>
      <c r="AC465">
        <f>VLOOKUP($B465,'[1]Plant data'!$A$1:$AB$315,11,0)</f>
        <v>0.01</v>
      </c>
      <c r="AD465">
        <f>VLOOKUP($B465,'[1]Plant data'!$A$1:$AB$315,12,0)</f>
        <v>1.3157999999999998E-2</v>
      </c>
      <c r="AE465">
        <f>VLOOKUP($B465,'[1]Plant data'!$A$1:$AB$315,13,0)</f>
        <v>7.4514000000000004E-3</v>
      </c>
      <c r="AF465">
        <f>VLOOKUP($B465,'[1]Plant data'!$A$1:$AB$315,14,0)</f>
        <v>1.1774E-2</v>
      </c>
      <c r="AG465">
        <f>VLOOKUP($B465,'[1]Plant data'!$A$1:$AB$315,15,0)</f>
        <v>1</v>
      </c>
      <c r="AH465" t="str">
        <f>VLOOKUP($B465,'[1]Plant data'!$A$1:$AB$315,16,0)</f>
        <v>NA</v>
      </c>
      <c r="AI465">
        <f>VLOOKUP($B465,'[1]Plant data'!$A$1:$AB$315,17,0)</f>
        <v>0.5455367759470019</v>
      </c>
      <c r="AJ465" t="str">
        <f>VLOOKUP($B465,'[1]Plant data'!$A$1:$AB$315,18,0)</f>
        <v>ATLANTIC, Cazetta 2007, Erica&amp;Wesley, Krugel &amp; Behr 1998, Alves 2008, Angel-de-Oliveira 1999</v>
      </c>
      <c r="AK465">
        <f>VLOOKUP($B465,'[1]Plant data'!$A$1:$AB$315,19,0)</f>
        <v>0.65910000000000002</v>
      </c>
      <c r="AL465">
        <f>VLOOKUP($B465,'[1]Plant data'!$A$1:$AB$315,20,0)</f>
        <v>5.4699999999999999E-2</v>
      </c>
      <c r="AM465">
        <f>VLOOKUP($B465,'[1]Plant data'!$A$1:$AB$315,21,0)</f>
        <v>6.8600000000000008E-2</v>
      </c>
      <c r="AN465">
        <f>VLOOKUP($B465,'[1]Plant data'!$A$1:$AB$315,22,0)</f>
        <v>8.6999999999999994E-3</v>
      </c>
      <c r="AO465" t="str">
        <f>VLOOKUP($B465,'[1]Plant data'!$A$1:$AB$315,23,0)</f>
        <v>NA</v>
      </c>
      <c r="AP465" t="str">
        <f>VLOOKUP($B465,'[1]Plant data'!$A$1:$AB$315,24,0)</f>
        <v>NA</v>
      </c>
      <c r="AQ465" t="str">
        <f>VLOOKUP($B465,'[1]Plant data'!$A$1:$AB$315,25,0)</f>
        <v>NA</v>
      </c>
      <c r="AR465" t="str">
        <f>VLOOKUP($B465,'[1]Plant data'!$A$1:$AB$315,26,0)</f>
        <v>NA</v>
      </c>
      <c r="AS465" t="str">
        <f>VLOOKUP($B465,'[1]Plant data'!$A$1:$AB$315,27,0)</f>
        <v>NA</v>
      </c>
      <c r="AT465" t="str">
        <f>VLOOKUP($B465,'[1]Plant data'!$A$1:$AB$315,28,0)</f>
        <v>Cazetta 2007</v>
      </c>
    </row>
    <row r="466" spans="1:46">
      <c r="A466" s="5" t="s">
        <v>43</v>
      </c>
      <c r="B466" s="32" t="s">
        <v>40</v>
      </c>
      <c r="C466" s="7">
        <v>21</v>
      </c>
      <c r="D466" s="7">
        <v>5</v>
      </c>
      <c r="E466" s="8">
        <f>C466/5</f>
        <v>4.2</v>
      </c>
      <c r="F466" t="s">
        <v>19</v>
      </c>
      <c r="G466" s="19">
        <v>4.5</v>
      </c>
      <c r="H466" s="19"/>
      <c r="I466" s="8">
        <f t="shared" si="37"/>
        <v>18.900000000000002</v>
      </c>
      <c r="J466" s="25" t="s">
        <v>180</v>
      </c>
      <c r="K466" s="25" t="s">
        <v>181</v>
      </c>
      <c r="L466" t="s">
        <v>22</v>
      </c>
      <c r="M466" t="s">
        <v>30</v>
      </c>
      <c r="N466" s="11">
        <v>32.5</v>
      </c>
      <c r="O466" s="11">
        <v>8.9205555560000001</v>
      </c>
      <c r="P466" t="s">
        <v>24</v>
      </c>
      <c r="Q466" t="s">
        <v>25</v>
      </c>
      <c r="R466" t="s">
        <v>26</v>
      </c>
      <c r="S466" t="s">
        <v>31</v>
      </c>
      <c r="T466" t="str">
        <f>VLOOKUP(B466,'[1]Plant data'!$A$1:$AB$315,2,0)</f>
        <v>Anacardiaceae</v>
      </c>
      <c r="U466" t="str">
        <f>VLOOKUP($B466,'[1]Plant data'!$A$1:$AB$315,3,0)</f>
        <v>NA</v>
      </c>
      <c r="V466" t="str">
        <f>VLOOKUP($B466,'[1]Plant data'!$A$1:$AB$315,4,0)</f>
        <v>red</v>
      </c>
      <c r="W466" t="str">
        <f>VLOOKUP($B466,'[1]Plant data'!$A$1:$AB$315,5,0)</f>
        <v>YES</v>
      </c>
      <c r="X466">
        <f>VLOOKUP($B466,'[1]Plant data'!$A$1:$AB$315,6,0)</f>
        <v>5.1733333333333329</v>
      </c>
      <c r="Y466">
        <f>VLOOKUP($B466,'[1]Plant data'!$A$1:$AB$315,7,0)</f>
        <v>5.0959999999999992</v>
      </c>
      <c r="Z466">
        <f>VLOOKUP($B466,'[1]Plant data'!$A$1:$AB$315,8,0)</f>
        <v>3.5525000000000002</v>
      </c>
      <c r="AA466">
        <f>VLOOKUP($B466,'[1]Plant data'!$A$1:$AB$315,9,0)</f>
        <v>3.5100000000000002</v>
      </c>
      <c r="AB466">
        <f>VLOOKUP($B466,'[1]Plant data'!$A$1:$AB$315,10,0)</f>
        <v>2.82256E-2</v>
      </c>
      <c r="AC466">
        <f>VLOOKUP($B466,'[1]Plant data'!$A$1:$AB$315,11,0)</f>
        <v>0.01</v>
      </c>
      <c r="AD466">
        <f>VLOOKUP($B466,'[1]Plant data'!$A$1:$AB$315,12,0)</f>
        <v>1.3157999999999998E-2</v>
      </c>
      <c r="AE466">
        <f>VLOOKUP($B466,'[1]Plant data'!$A$1:$AB$315,13,0)</f>
        <v>7.4514000000000004E-3</v>
      </c>
      <c r="AF466">
        <f>VLOOKUP($B466,'[1]Plant data'!$A$1:$AB$315,14,0)</f>
        <v>1.1774E-2</v>
      </c>
      <c r="AG466">
        <f>VLOOKUP($B466,'[1]Plant data'!$A$1:$AB$315,15,0)</f>
        <v>1</v>
      </c>
      <c r="AH466" t="str">
        <f>VLOOKUP($B466,'[1]Plant data'!$A$1:$AB$315,16,0)</f>
        <v>NA</v>
      </c>
      <c r="AI466">
        <f>VLOOKUP($B466,'[1]Plant data'!$A$1:$AB$315,17,0)</f>
        <v>0.5455367759470019</v>
      </c>
      <c r="AJ466" t="str">
        <f>VLOOKUP($B466,'[1]Plant data'!$A$1:$AB$315,18,0)</f>
        <v>ATLANTIC, Cazetta 2007, Erica&amp;Wesley, Krugel &amp; Behr 1998, Alves 2008, Angel-de-Oliveira 1999</v>
      </c>
      <c r="AK466">
        <f>VLOOKUP($B466,'[1]Plant data'!$A$1:$AB$315,19,0)</f>
        <v>0.65910000000000002</v>
      </c>
      <c r="AL466">
        <f>VLOOKUP($B466,'[1]Plant data'!$A$1:$AB$315,20,0)</f>
        <v>5.4699999999999999E-2</v>
      </c>
      <c r="AM466">
        <f>VLOOKUP($B466,'[1]Plant data'!$A$1:$AB$315,21,0)</f>
        <v>6.8600000000000008E-2</v>
      </c>
      <c r="AN466">
        <f>VLOOKUP($B466,'[1]Plant data'!$A$1:$AB$315,22,0)</f>
        <v>8.6999999999999994E-3</v>
      </c>
      <c r="AO466" t="str">
        <f>VLOOKUP($B466,'[1]Plant data'!$A$1:$AB$315,23,0)</f>
        <v>NA</v>
      </c>
      <c r="AP466" t="str">
        <f>VLOOKUP($B466,'[1]Plant data'!$A$1:$AB$315,24,0)</f>
        <v>NA</v>
      </c>
      <c r="AQ466" t="str">
        <f>VLOOKUP($B466,'[1]Plant data'!$A$1:$AB$315,25,0)</f>
        <v>NA</v>
      </c>
      <c r="AR466" t="str">
        <f>VLOOKUP($B466,'[1]Plant data'!$A$1:$AB$315,26,0)</f>
        <v>NA</v>
      </c>
      <c r="AS466" t="str">
        <f>VLOOKUP($B466,'[1]Plant data'!$A$1:$AB$315,27,0)</f>
        <v>NA</v>
      </c>
      <c r="AT466" t="str">
        <f>VLOOKUP($B466,'[1]Plant data'!$A$1:$AB$315,28,0)</f>
        <v>Cazetta 2007</v>
      </c>
    </row>
    <row r="467" spans="1:46">
      <c r="A467" s="5" t="s">
        <v>50</v>
      </c>
      <c r="B467" s="32" t="s">
        <v>40</v>
      </c>
      <c r="C467" s="7">
        <v>1</v>
      </c>
      <c r="D467" s="7">
        <v>5</v>
      </c>
      <c r="E467" s="8">
        <f>C467/5</f>
        <v>0.2</v>
      </c>
      <c r="F467" t="s">
        <v>19</v>
      </c>
      <c r="G467" s="41">
        <v>10.75</v>
      </c>
      <c r="H467" s="41"/>
      <c r="I467" s="8">
        <f t="shared" si="37"/>
        <v>2.15</v>
      </c>
      <c r="J467" s="25" t="s">
        <v>180</v>
      </c>
      <c r="K467" s="25" t="s">
        <v>181</v>
      </c>
      <c r="L467" t="s">
        <v>22</v>
      </c>
      <c r="M467" t="s">
        <v>47</v>
      </c>
      <c r="N467" s="11">
        <v>69.5</v>
      </c>
      <c r="O467" s="11">
        <v>13.253214290000001</v>
      </c>
      <c r="P467" t="s">
        <v>48</v>
      </c>
      <c r="Q467" t="s">
        <v>25</v>
      </c>
      <c r="R467" t="s">
        <v>26</v>
      </c>
      <c r="S467" t="s">
        <v>31</v>
      </c>
      <c r="T467" t="str">
        <f>VLOOKUP(B467,'[1]Plant data'!$A$1:$AB$315,2,0)</f>
        <v>Anacardiaceae</v>
      </c>
      <c r="U467" t="str">
        <f>VLOOKUP($B467,'[1]Plant data'!$A$1:$AB$315,3,0)</f>
        <v>NA</v>
      </c>
      <c r="V467" t="str">
        <f>VLOOKUP($B467,'[1]Plant data'!$A$1:$AB$315,4,0)</f>
        <v>red</v>
      </c>
      <c r="W467" t="str">
        <f>VLOOKUP($B467,'[1]Plant data'!$A$1:$AB$315,5,0)</f>
        <v>YES</v>
      </c>
      <c r="X467">
        <f>VLOOKUP($B467,'[1]Plant data'!$A$1:$AB$315,6,0)</f>
        <v>5.1733333333333329</v>
      </c>
      <c r="Y467">
        <f>VLOOKUP($B467,'[1]Plant data'!$A$1:$AB$315,7,0)</f>
        <v>5.0959999999999992</v>
      </c>
      <c r="Z467">
        <f>VLOOKUP($B467,'[1]Plant data'!$A$1:$AB$315,8,0)</f>
        <v>3.5525000000000002</v>
      </c>
      <c r="AA467">
        <f>VLOOKUP($B467,'[1]Plant data'!$A$1:$AB$315,9,0)</f>
        <v>3.5100000000000002</v>
      </c>
      <c r="AB467">
        <f>VLOOKUP($B467,'[1]Plant data'!$A$1:$AB$315,10,0)</f>
        <v>2.82256E-2</v>
      </c>
      <c r="AC467">
        <f>VLOOKUP($B467,'[1]Plant data'!$A$1:$AB$315,11,0)</f>
        <v>0.01</v>
      </c>
      <c r="AD467">
        <f>VLOOKUP($B467,'[1]Plant data'!$A$1:$AB$315,12,0)</f>
        <v>1.3157999999999998E-2</v>
      </c>
      <c r="AE467">
        <f>VLOOKUP($B467,'[1]Plant data'!$A$1:$AB$315,13,0)</f>
        <v>7.4514000000000004E-3</v>
      </c>
      <c r="AF467">
        <f>VLOOKUP($B467,'[1]Plant data'!$A$1:$AB$315,14,0)</f>
        <v>1.1774E-2</v>
      </c>
      <c r="AG467">
        <f>VLOOKUP($B467,'[1]Plant data'!$A$1:$AB$315,15,0)</f>
        <v>1</v>
      </c>
      <c r="AH467" t="str">
        <f>VLOOKUP($B467,'[1]Plant data'!$A$1:$AB$315,16,0)</f>
        <v>NA</v>
      </c>
      <c r="AI467">
        <f>VLOOKUP($B467,'[1]Plant data'!$A$1:$AB$315,17,0)</f>
        <v>0.5455367759470019</v>
      </c>
      <c r="AJ467" t="str">
        <f>VLOOKUP($B467,'[1]Plant data'!$A$1:$AB$315,18,0)</f>
        <v>ATLANTIC, Cazetta 2007, Erica&amp;Wesley, Krugel &amp; Behr 1998, Alves 2008, Angel-de-Oliveira 1999</v>
      </c>
      <c r="AK467">
        <f>VLOOKUP($B467,'[1]Plant data'!$A$1:$AB$315,19,0)</f>
        <v>0.65910000000000002</v>
      </c>
      <c r="AL467">
        <f>VLOOKUP($B467,'[1]Plant data'!$A$1:$AB$315,20,0)</f>
        <v>5.4699999999999999E-2</v>
      </c>
      <c r="AM467">
        <f>VLOOKUP($B467,'[1]Plant data'!$A$1:$AB$315,21,0)</f>
        <v>6.8600000000000008E-2</v>
      </c>
      <c r="AN467">
        <f>VLOOKUP($B467,'[1]Plant data'!$A$1:$AB$315,22,0)</f>
        <v>8.6999999999999994E-3</v>
      </c>
      <c r="AO467" t="str">
        <f>VLOOKUP($B467,'[1]Plant data'!$A$1:$AB$315,23,0)</f>
        <v>NA</v>
      </c>
      <c r="AP467" t="str">
        <f>VLOOKUP($B467,'[1]Plant data'!$A$1:$AB$315,24,0)</f>
        <v>NA</v>
      </c>
      <c r="AQ467" t="str">
        <f>VLOOKUP($B467,'[1]Plant data'!$A$1:$AB$315,25,0)</f>
        <v>NA</v>
      </c>
      <c r="AR467" t="str">
        <f>VLOOKUP($B467,'[1]Plant data'!$A$1:$AB$315,26,0)</f>
        <v>NA</v>
      </c>
      <c r="AS467" t="str">
        <f>VLOOKUP($B467,'[1]Plant data'!$A$1:$AB$315,27,0)</f>
        <v>NA</v>
      </c>
      <c r="AT467" t="str">
        <f>VLOOKUP($B467,'[1]Plant data'!$A$1:$AB$315,28,0)</f>
        <v>Cazetta 2007</v>
      </c>
    </row>
    <row r="468" spans="1:46">
      <c r="A468" s="5" t="s">
        <v>43</v>
      </c>
      <c r="B468" s="37" t="s">
        <v>40</v>
      </c>
      <c r="C468" s="16">
        <v>6</v>
      </c>
      <c r="D468" s="16">
        <v>10</v>
      </c>
      <c r="E468" s="8">
        <f>C468/10</f>
        <v>0.6</v>
      </c>
      <c r="F468">
        <v>22</v>
      </c>
      <c r="G468" s="19">
        <f>F468/C468</f>
        <v>3.6666666666666665</v>
      </c>
      <c r="H468" s="19"/>
      <c r="I468" s="8">
        <f t="shared" si="37"/>
        <v>2.1999999999999997</v>
      </c>
      <c r="J468" s="24" t="s">
        <v>274</v>
      </c>
      <c r="K468" s="25" t="s">
        <v>275</v>
      </c>
      <c r="L468" t="s">
        <v>22</v>
      </c>
      <c r="M468" t="s">
        <v>30</v>
      </c>
      <c r="N468" s="11">
        <v>32.5</v>
      </c>
      <c r="O468" s="11">
        <v>8.9205555560000001</v>
      </c>
      <c r="P468" t="s">
        <v>24</v>
      </c>
      <c r="Q468" t="s">
        <v>25</v>
      </c>
      <c r="R468" t="s">
        <v>26</v>
      </c>
      <c r="S468" t="s">
        <v>31</v>
      </c>
      <c r="T468" t="str">
        <f>VLOOKUP(B468,'[1]Plant data'!$A$1:$AB$315,2,0)</f>
        <v>Anacardiaceae</v>
      </c>
      <c r="U468" t="str">
        <f>VLOOKUP($B468,'[1]Plant data'!$A$1:$AB$315,3,0)</f>
        <v>NA</v>
      </c>
      <c r="V468" t="str">
        <f>VLOOKUP($B468,'[1]Plant data'!$A$1:$AB$315,4,0)</f>
        <v>red</v>
      </c>
      <c r="W468" t="str">
        <f>VLOOKUP($B468,'[1]Plant data'!$A$1:$AB$315,5,0)</f>
        <v>YES</v>
      </c>
      <c r="X468">
        <f>VLOOKUP($B468,'[1]Plant data'!$A$1:$AB$315,6,0)</f>
        <v>5.1733333333333329</v>
      </c>
      <c r="Y468">
        <f>VLOOKUP($B468,'[1]Plant data'!$A$1:$AB$315,7,0)</f>
        <v>5.0959999999999992</v>
      </c>
      <c r="Z468">
        <f>VLOOKUP($B468,'[1]Plant data'!$A$1:$AB$315,8,0)</f>
        <v>3.5525000000000002</v>
      </c>
      <c r="AA468">
        <f>VLOOKUP($B468,'[1]Plant data'!$A$1:$AB$315,9,0)</f>
        <v>3.5100000000000002</v>
      </c>
      <c r="AB468">
        <f>VLOOKUP($B468,'[1]Plant data'!$A$1:$AB$315,10,0)</f>
        <v>2.82256E-2</v>
      </c>
      <c r="AC468">
        <f>VLOOKUP($B468,'[1]Plant data'!$A$1:$AB$315,11,0)</f>
        <v>0.01</v>
      </c>
      <c r="AD468">
        <f>VLOOKUP($B468,'[1]Plant data'!$A$1:$AB$315,12,0)</f>
        <v>1.3157999999999998E-2</v>
      </c>
      <c r="AE468">
        <f>VLOOKUP($B468,'[1]Plant data'!$A$1:$AB$315,13,0)</f>
        <v>7.4514000000000004E-3</v>
      </c>
      <c r="AF468">
        <f>VLOOKUP($B468,'[1]Plant data'!$A$1:$AB$315,14,0)</f>
        <v>1.1774E-2</v>
      </c>
      <c r="AG468">
        <f>VLOOKUP($B468,'[1]Plant data'!$A$1:$AB$315,15,0)</f>
        <v>1</v>
      </c>
      <c r="AH468" t="str">
        <f>VLOOKUP($B468,'[1]Plant data'!$A$1:$AB$315,16,0)</f>
        <v>NA</v>
      </c>
      <c r="AI468">
        <f>VLOOKUP($B468,'[1]Plant data'!$A$1:$AB$315,17,0)</f>
        <v>0.5455367759470019</v>
      </c>
      <c r="AJ468" t="str">
        <f>VLOOKUP($B468,'[1]Plant data'!$A$1:$AB$315,18,0)</f>
        <v>ATLANTIC, Cazetta 2007, Erica&amp;Wesley, Krugel &amp; Behr 1998, Alves 2008, Angel-de-Oliveira 1999</v>
      </c>
      <c r="AK468">
        <f>VLOOKUP($B468,'[1]Plant data'!$A$1:$AB$315,19,0)</f>
        <v>0.65910000000000002</v>
      </c>
      <c r="AL468">
        <f>VLOOKUP($B468,'[1]Plant data'!$A$1:$AB$315,20,0)</f>
        <v>5.4699999999999999E-2</v>
      </c>
      <c r="AM468">
        <f>VLOOKUP($B468,'[1]Plant data'!$A$1:$AB$315,21,0)</f>
        <v>6.8600000000000008E-2</v>
      </c>
      <c r="AN468">
        <f>VLOOKUP($B468,'[1]Plant data'!$A$1:$AB$315,22,0)</f>
        <v>8.6999999999999994E-3</v>
      </c>
      <c r="AO468" t="str">
        <f>VLOOKUP($B468,'[1]Plant data'!$A$1:$AB$315,23,0)</f>
        <v>NA</v>
      </c>
      <c r="AP468" t="str">
        <f>VLOOKUP($B468,'[1]Plant data'!$A$1:$AB$315,24,0)</f>
        <v>NA</v>
      </c>
      <c r="AQ468" t="str">
        <f>VLOOKUP($B468,'[1]Plant data'!$A$1:$AB$315,25,0)</f>
        <v>NA</v>
      </c>
      <c r="AR468" t="str">
        <f>VLOOKUP($B468,'[1]Plant data'!$A$1:$AB$315,26,0)</f>
        <v>NA</v>
      </c>
      <c r="AS468" t="str">
        <f>VLOOKUP($B468,'[1]Plant data'!$A$1:$AB$315,27,0)</f>
        <v>NA</v>
      </c>
      <c r="AT468" t="str">
        <f>VLOOKUP($B468,'[1]Plant data'!$A$1:$AB$315,28,0)</f>
        <v>Cazetta 2007</v>
      </c>
    </row>
    <row r="469" spans="1:46">
      <c r="A469" s="5" t="s">
        <v>50</v>
      </c>
      <c r="B469" s="14" t="s">
        <v>40</v>
      </c>
      <c r="C469" s="7">
        <v>1</v>
      </c>
      <c r="D469" s="16">
        <v>10</v>
      </c>
      <c r="E469" s="8">
        <f>C469/10</f>
        <v>0.1</v>
      </c>
      <c r="F469">
        <v>5</v>
      </c>
      <c r="G469" s="9">
        <v>5</v>
      </c>
      <c r="H469" s="9"/>
      <c r="I469" s="8">
        <f t="shared" si="37"/>
        <v>0.5</v>
      </c>
      <c r="J469" s="25" t="s">
        <v>274</v>
      </c>
      <c r="K469" s="25" t="s">
        <v>275</v>
      </c>
      <c r="L469" t="s">
        <v>22</v>
      </c>
      <c r="M469" t="s">
        <v>47</v>
      </c>
      <c r="N469" s="11">
        <v>69.5</v>
      </c>
      <c r="O469" s="11">
        <v>13.253214290000001</v>
      </c>
      <c r="P469" t="s">
        <v>48</v>
      </c>
      <c r="Q469" t="s">
        <v>25</v>
      </c>
      <c r="R469" t="s">
        <v>26</v>
      </c>
      <c r="S469" t="s">
        <v>31</v>
      </c>
      <c r="T469" t="str">
        <f>VLOOKUP(B469,'[1]Plant data'!$A$1:$AB$315,2,0)</f>
        <v>Anacardiaceae</v>
      </c>
      <c r="U469" t="str">
        <f>VLOOKUP($B469,'[1]Plant data'!$A$1:$AB$315,3,0)</f>
        <v>NA</v>
      </c>
      <c r="V469" t="str">
        <f>VLOOKUP($B469,'[1]Plant data'!$A$1:$AB$315,4,0)</f>
        <v>red</v>
      </c>
      <c r="W469" t="str">
        <f>VLOOKUP($B469,'[1]Plant data'!$A$1:$AB$315,5,0)</f>
        <v>YES</v>
      </c>
      <c r="X469">
        <f>VLOOKUP($B469,'[1]Plant data'!$A$1:$AB$315,6,0)</f>
        <v>5.1733333333333329</v>
      </c>
      <c r="Y469">
        <f>VLOOKUP($B469,'[1]Plant data'!$A$1:$AB$315,7,0)</f>
        <v>5.0959999999999992</v>
      </c>
      <c r="Z469">
        <f>VLOOKUP($B469,'[1]Plant data'!$A$1:$AB$315,8,0)</f>
        <v>3.5525000000000002</v>
      </c>
      <c r="AA469">
        <f>VLOOKUP($B469,'[1]Plant data'!$A$1:$AB$315,9,0)</f>
        <v>3.5100000000000002</v>
      </c>
      <c r="AB469">
        <f>VLOOKUP($B469,'[1]Plant data'!$A$1:$AB$315,10,0)</f>
        <v>2.82256E-2</v>
      </c>
      <c r="AC469">
        <f>VLOOKUP($B469,'[1]Plant data'!$A$1:$AB$315,11,0)</f>
        <v>0.01</v>
      </c>
      <c r="AD469">
        <f>VLOOKUP($B469,'[1]Plant data'!$A$1:$AB$315,12,0)</f>
        <v>1.3157999999999998E-2</v>
      </c>
      <c r="AE469">
        <f>VLOOKUP($B469,'[1]Plant data'!$A$1:$AB$315,13,0)</f>
        <v>7.4514000000000004E-3</v>
      </c>
      <c r="AF469">
        <f>VLOOKUP($B469,'[1]Plant data'!$A$1:$AB$315,14,0)</f>
        <v>1.1774E-2</v>
      </c>
      <c r="AG469">
        <f>VLOOKUP($B469,'[1]Plant data'!$A$1:$AB$315,15,0)</f>
        <v>1</v>
      </c>
      <c r="AH469" t="str">
        <f>VLOOKUP($B469,'[1]Plant data'!$A$1:$AB$315,16,0)</f>
        <v>NA</v>
      </c>
      <c r="AI469">
        <f>VLOOKUP($B469,'[1]Plant data'!$A$1:$AB$315,17,0)</f>
        <v>0.5455367759470019</v>
      </c>
      <c r="AJ469" t="str">
        <f>VLOOKUP($B469,'[1]Plant data'!$A$1:$AB$315,18,0)</f>
        <v>ATLANTIC, Cazetta 2007, Erica&amp;Wesley, Krugel &amp; Behr 1998, Alves 2008, Angel-de-Oliveira 1999</v>
      </c>
      <c r="AK469">
        <f>VLOOKUP($B469,'[1]Plant data'!$A$1:$AB$315,19,0)</f>
        <v>0.65910000000000002</v>
      </c>
      <c r="AL469">
        <f>VLOOKUP($B469,'[1]Plant data'!$A$1:$AB$315,20,0)</f>
        <v>5.4699999999999999E-2</v>
      </c>
      <c r="AM469">
        <f>VLOOKUP($B469,'[1]Plant data'!$A$1:$AB$315,21,0)</f>
        <v>6.8600000000000008E-2</v>
      </c>
      <c r="AN469">
        <f>VLOOKUP($B469,'[1]Plant data'!$A$1:$AB$315,22,0)</f>
        <v>8.6999999999999994E-3</v>
      </c>
      <c r="AO469" t="str">
        <f>VLOOKUP($B469,'[1]Plant data'!$A$1:$AB$315,23,0)</f>
        <v>NA</v>
      </c>
      <c r="AP469" t="str">
        <f>VLOOKUP($B469,'[1]Plant data'!$A$1:$AB$315,24,0)</f>
        <v>NA</v>
      </c>
      <c r="AQ469" t="str">
        <f>VLOOKUP($B469,'[1]Plant data'!$A$1:$AB$315,25,0)</f>
        <v>NA</v>
      </c>
      <c r="AR469" t="str">
        <f>VLOOKUP($B469,'[1]Plant data'!$A$1:$AB$315,26,0)</f>
        <v>NA</v>
      </c>
      <c r="AS469" t="str">
        <f>VLOOKUP($B469,'[1]Plant data'!$A$1:$AB$315,27,0)</f>
        <v>NA</v>
      </c>
      <c r="AT469" t="str">
        <f>VLOOKUP($B469,'[1]Plant data'!$A$1:$AB$315,28,0)</f>
        <v>Cazetta 2007</v>
      </c>
    </row>
    <row r="470" spans="1:46">
      <c r="A470" s="5" t="s">
        <v>43</v>
      </c>
      <c r="B470" s="32" t="s">
        <v>149</v>
      </c>
      <c r="C470">
        <v>2</v>
      </c>
      <c r="D470" s="7">
        <v>250</v>
      </c>
      <c r="E470" s="8">
        <f>C470/250</f>
        <v>8.0000000000000002E-3</v>
      </c>
      <c r="F470" s="8" t="s">
        <v>19</v>
      </c>
      <c r="G470" s="9" t="s">
        <v>19</v>
      </c>
      <c r="H470" s="9"/>
      <c r="I470" s="8" t="s">
        <v>19</v>
      </c>
      <c r="J470" s="25" t="s">
        <v>146</v>
      </c>
      <c r="K470" s="25" t="s">
        <v>147</v>
      </c>
      <c r="L470" t="s">
        <v>22</v>
      </c>
      <c r="M470" t="s">
        <v>30</v>
      </c>
      <c r="N470" s="11">
        <v>32.5</v>
      </c>
      <c r="O470" s="11">
        <v>8.9205555560000001</v>
      </c>
      <c r="P470" t="s">
        <v>24</v>
      </c>
      <c r="Q470" t="s">
        <v>25</v>
      </c>
      <c r="R470" t="s">
        <v>26</v>
      </c>
      <c r="S470" t="s">
        <v>31</v>
      </c>
      <c r="T470" t="str">
        <f>VLOOKUP(B470,'[1]Plant data'!$A$1:$AB$315,2,0)</f>
        <v>Fabaceae</v>
      </c>
      <c r="U470" t="str">
        <f>VLOOKUP($B470,'[1]Plant data'!$A$1:$AB$315,3,0)</f>
        <v>NA</v>
      </c>
      <c r="V470" t="str">
        <f>VLOOKUP($B470,'[1]Plant data'!$A$1:$AB$315,4,0)</f>
        <v>green</v>
      </c>
      <c r="W470" t="str">
        <f>VLOOKUP($B470,'[1]Plant data'!$A$1:$AB$315,5,0)</f>
        <v>YES</v>
      </c>
      <c r="X470" t="str">
        <f>VLOOKUP($B470,'[1]Plant data'!$A$1:$AB$315,6,0)</f>
        <v>NA</v>
      </c>
      <c r="Y470" t="str">
        <f>VLOOKUP($B470,'[1]Plant data'!$A$1:$AB$315,7,0)</f>
        <v>NA</v>
      </c>
      <c r="Z470" t="str">
        <f>VLOOKUP($B470,'[1]Plant data'!$A$1:$AB$315,8,0)</f>
        <v>NA</v>
      </c>
      <c r="AA470" t="str">
        <f>VLOOKUP($B470,'[1]Plant data'!$A$1:$AB$315,9,0)</f>
        <v>NA</v>
      </c>
      <c r="AB470" t="str">
        <f>VLOOKUP($B470,'[1]Plant data'!$A$1:$AB$315,10,0)</f>
        <v>NA</v>
      </c>
      <c r="AC470" t="str">
        <f>VLOOKUP($B470,'[1]Plant data'!$A$1:$AB$315,11,0)</f>
        <v>NA</v>
      </c>
      <c r="AD470" t="str">
        <f>VLOOKUP($B470,'[1]Plant data'!$A$1:$AB$315,12,0)</f>
        <v>NA</v>
      </c>
      <c r="AE470" t="str">
        <f>VLOOKUP($B470,'[1]Plant data'!$A$1:$AB$315,13,0)</f>
        <v>NA</v>
      </c>
      <c r="AF470" t="str">
        <f>VLOOKUP($B470,'[1]Plant data'!$A$1:$AB$315,14,0)</f>
        <v>NA</v>
      </c>
      <c r="AG470" t="str">
        <f>VLOOKUP($B470,'[1]Plant data'!$A$1:$AB$315,15,0)</f>
        <v>NA</v>
      </c>
      <c r="AH470" t="str">
        <f>VLOOKUP($B470,'[1]Plant data'!$A$1:$AB$315,16,0)</f>
        <v>NA</v>
      </c>
      <c r="AI470" t="str">
        <f>VLOOKUP($B470,'[1]Plant data'!$A$1:$AB$315,17,0)</f>
        <v>NA</v>
      </c>
      <c r="AJ470" t="str">
        <f>VLOOKUP($B470,'[1]Plant data'!$A$1:$AB$315,18,0)</f>
        <v>NA</v>
      </c>
      <c r="AK470" t="str">
        <f>VLOOKUP($B470,'[1]Plant data'!$A$1:$AB$315,19,0)</f>
        <v>NA</v>
      </c>
      <c r="AL470" t="str">
        <f>VLOOKUP($B470,'[1]Plant data'!$A$1:$AB$315,20,0)</f>
        <v>NA</v>
      </c>
      <c r="AM470" t="str">
        <f>VLOOKUP($B470,'[1]Plant data'!$A$1:$AB$315,21,0)</f>
        <v>NA</v>
      </c>
      <c r="AN470" t="str">
        <f>VLOOKUP($B470,'[1]Plant data'!$A$1:$AB$315,22,0)</f>
        <v>NA</v>
      </c>
      <c r="AO470" t="str">
        <f>VLOOKUP($B470,'[1]Plant data'!$A$1:$AB$315,23,0)</f>
        <v>NA</v>
      </c>
      <c r="AP470" t="str">
        <f>VLOOKUP($B470,'[1]Plant data'!$A$1:$AB$315,24,0)</f>
        <v>NA</v>
      </c>
      <c r="AQ470" t="str">
        <f>VLOOKUP($B470,'[1]Plant data'!$A$1:$AB$315,25,0)</f>
        <v>NA</v>
      </c>
      <c r="AR470" t="str">
        <f>VLOOKUP($B470,'[1]Plant data'!$A$1:$AB$315,26,0)</f>
        <v>NA</v>
      </c>
      <c r="AS470" t="str">
        <f>VLOOKUP($B470,'[1]Plant data'!$A$1:$AB$315,27,0)</f>
        <v>NA</v>
      </c>
      <c r="AT470" t="str">
        <f>VLOOKUP($B470,'[1]Plant data'!$A$1:$AB$315,28,0)</f>
        <v>NA</v>
      </c>
    </row>
    <row r="471" spans="1:46">
      <c r="A471" s="5" t="s">
        <v>17</v>
      </c>
      <c r="B471" s="34" t="s">
        <v>279</v>
      </c>
      <c r="C471" s="7">
        <v>4</v>
      </c>
      <c r="D471" s="7">
        <v>28</v>
      </c>
      <c r="E471" s="8">
        <v>0.1429</v>
      </c>
      <c r="F471">
        <v>11</v>
      </c>
      <c r="G471" s="9">
        <f t="shared" ref="G471:G478" si="38">F471/C471</f>
        <v>2.75</v>
      </c>
      <c r="H471" s="9"/>
      <c r="I471" s="8">
        <f t="shared" ref="I471:I476" si="39">E471*G471</f>
        <v>0.39297500000000002</v>
      </c>
      <c r="J471" s="10" t="s">
        <v>277</v>
      </c>
      <c r="K471" t="s">
        <v>92</v>
      </c>
      <c r="L471" t="s">
        <v>22</v>
      </c>
      <c r="M471" t="s">
        <v>23</v>
      </c>
      <c r="N471" s="11">
        <v>14.4</v>
      </c>
      <c r="O471" s="11">
        <v>7.69</v>
      </c>
      <c r="P471" t="s">
        <v>24</v>
      </c>
      <c r="Q471" t="s">
        <v>25</v>
      </c>
      <c r="R471" t="s">
        <v>26</v>
      </c>
      <c r="S471" t="s">
        <v>27</v>
      </c>
      <c r="T471" t="str">
        <f>VLOOKUP(B471,'[1]Plant data'!$A$1:$AB$315,2,0)</f>
        <v>Elaeocarpaceae</v>
      </c>
      <c r="U471" t="str">
        <f>VLOOKUP($B471,'[1]Plant data'!$A$1:$AB$315,3,0)</f>
        <v>NA</v>
      </c>
      <c r="V471" t="str">
        <f>VLOOKUP($B471,'[1]Plant data'!$A$1:$AB$315,4,0)</f>
        <v>multicolor</v>
      </c>
      <c r="W471" t="str">
        <f>VLOOKUP($B471,'[1]Plant data'!$A$1:$AB$315,5,0)</f>
        <v>YES</v>
      </c>
      <c r="X471">
        <f>VLOOKUP($B471,'[1]Plant data'!$A$1:$AB$315,6,0)</f>
        <v>7</v>
      </c>
      <c r="Y471">
        <f>VLOOKUP($B471,'[1]Plant data'!$A$1:$AB$315,7,0)</f>
        <v>12</v>
      </c>
      <c r="Z471">
        <f>VLOOKUP($B471,'[1]Plant data'!$A$1:$AB$315,8,0)</f>
        <v>6</v>
      </c>
      <c r="AA471">
        <f>VLOOKUP($B471,'[1]Plant data'!$A$1:$AB$315,9,0)</f>
        <v>11</v>
      </c>
      <c r="AB471">
        <f>VLOOKUP($B471,'[1]Plant data'!$A$1:$AB$315,10,0)</f>
        <v>0.3</v>
      </c>
      <c r="AC471" t="str">
        <f>VLOOKUP($B471,'[1]Plant data'!$A$1:$AB$315,11,0)</f>
        <v>NA</v>
      </c>
      <c r="AD471">
        <f>VLOOKUP($B471,'[1]Plant data'!$A$1:$AB$315,12,0)</f>
        <v>0.2</v>
      </c>
      <c r="AE471" t="str">
        <f>VLOOKUP($B471,'[1]Plant data'!$A$1:$AB$315,13,0)</f>
        <v>NA</v>
      </c>
      <c r="AF471" t="str">
        <f>VLOOKUP($B471,'[1]Plant data'!$A$1:$AB$315,14,0)</f>
        <v>NA</v>
      </c>
      <c r="AG471">
        <f>VLOOKUP($B471,'[1]Plant data'!$A$1:$AB$315,15,0)</f>
        <v>1</v>
      </c>
      <c r="AH471" t="str">
        <f>VLOOKUP($B471,'[1]Plant data'!$A$1:$AB$315,16,0)</f>
        <v>NA</v>
      </c>
      <c r="AI471" t="str">
        <f>VLOOKUP($B471,'[1]Plant data'!$A$1:$AB$315,17,0)</f>
        <v>NA</v>
      </c>
      <c r="AJ471" t="str">
        <f>VLOOKUP($B471,'[1]Plant data'!$A$1:$AB$315,18,0)</f>
        <v>Intervales_morfo</v>
      </c>
      <c r="AK471">
        <f>VLOOKUP($B471,'[1]Plant data'!$A$1:$AB$315,19,0)</f>
        <v>0.90900000000000003</v>
      </c>
      <c r="AL471">
        <f>VLOOKUP($B471,'[1]Plant data'!$A$1:$AB$315,20,0)</f>
        <v>2.5000000000000001E-2</v>
      </c>
      <c r="AM471">
        <f>VLOOKUP($B471,'[1]Plant data'!$A$1:$AB$315,21,0)</f>
        <v>6.9000000000000006E-2</v>
      </c>
      <c r="AN471" t="str">
        <f>VLOOKUP($B471,'[1]Plant data'!$A$1:$AB$315,22,0)</f>
        <v>NA</v>
      </c>
      <c r="AO471" t="str">
        <f>VLOOKUP($B471,'[1]Plant data'!$A$1:$AB$315,23,0)</f>
        <v>NA</v>
      </c>
      <c r="AP471" t="str">
        <f>VLOOKUP($B471,'[1]Plant data'!$A$1:$AB$315,24,0)</f>
        <v>NA</v>
      </c>
      <c r="AQ471">
        <f>VLOOKUP($B471,'[1]Plant data'!$A$1:$AB$315,25,0)</f>
        <v>0.877</v>
      </c>
      <c r="AR471">
        <f>VLOOKUP($B471,'[1]Plant data'!$A$1:$AB$315,26,0)</f>
        <v>2.8999999999999998E-2</v>
      </c>
      <c r="AS471" t="str">
        <f>VLOOKUP($B471,'[1]Plant data'!$A$1:$AB$315,27,0)</f>
        <v>NA</v>
      </c>
      <c r="AT471" t="str">
        <f>VLOOKUP($B471,'[1]Plant data'!$A$1:$AB$315,28,0)</f>
        <v>Saibadela</v>
      </c>
    </row>
    <row r="472" spans="1:46">
      <c r="A472" s="5" t="s">
        <v>105</v>
      </c>
      <c r="B472" s="32" t="s">
        <v>279</v>
      </c>
      <c r="C472" s="7">
        <v>7</v>
      </c>
      <c r="D472" s="7">
        <v>28</v>
      </c>
      <c r="E472" s="8">
        <v>0.25</v>
      </c>
      <c r="F472">
        <v>10</v>
      </c>
      <c r="G472" s="9">
        <f t="shared" si="38"/>
        <v>1.4285714285714286</v>
      </c>
      <c r="H472" s="9"/>
      <c r="I472" s="8">
        <f t="shared" si="39"/>
        <v>0.35714285714285715</v>
      </c>
      <c r="J472" t="s">
        <v>277</v>
      </c>
      <c r="K472" t="s">
        <v>92</v>
      </c>
      <c r="L472" t="s">
        <v>93</v>
      </c>
      <c r="M472" t="s">
        <v>94</v>
      </c>
      <c r="N472" s="11">
        <v>164</v>
      </c>
      <c r="O472" s="11">
        <v>25.039000000000001</v>
      </c>
      <c r="P472" t="s">
        <v>48</v>
      </c>
      <c r="Q472" t="s">
        <v>25</v>
      </c>
      <c r="R472" t="s">
        <v>26</v>
      </c>
      <c r="S472" t="s">
        <v>27</v>
      </c>
      <c r="T472" t="str">
        <f>VLOOKUP(B472,'[1]Plant data'!$A$1:$AB$315,2,0)</f>
        <v>Elaeocarpaceae</v>
      </c>
      <c r="U472" t="str">
        <f>VLOOKUP($B472,'[1]Plant data'!$A$1:$AB$315,3,0)</f>
        <v>NA</v>
      </c>
      <c r="V472" t="str">
        <f>VLOOKUP($B472,'[1]Plant data'!$A$1:$AB$315,4,0)</f>
        <v>multicolor</v>
      </c>
      <c r="W472" t="str">
        <f>VLOOKUP($B472,'[1]Plant data'!$A$1:$AB$315,5,0)</f>
        <v>YES</v>
      </c>
      <c r="X472">
        <f>VLOOKUP($B472,'[1]Plant data'!$A$1:$AB$315,6,0)</f>
        <v>7</v>
      </c>
      <c r="Y472">
        <f>VLOOKUP($B472,'[1]Plant data'!$A$1:$AB$315,7,0)</f>
        <v>12</v>
      </c>
      <c r="Z472">
        <f>VLOOKUP($B472,'[1]Plant data'!$A$1:$AB$315,8,0)</f>
        <v>6</v>
      </c>
      <c r="AA472">
        <f>VLOOKUP($B472,'[1]Plant data'!$A$1:$AB$315,9,0)</f>
        <v>11</v>
      </c>
      <c r="AB472">
        <f>VLOOKUP($B472,'[1]Plant data'!$A$1:$AB$315,10,0)</f>
        <v>0.3</v>
      </c>
      <c r="AC472" t="str">
        <f>VLOOKUP($B472,'[1]Plant data'!$A$1:$AB$315,11,0)</f>
        <v>NA</v>
      </c>
      <c r="AD472">
        <f>VLOOKUP($B472,'[1]Plant data'!$A$1:$AB$315,12,0)</f>
        <v>0.2</v>
      </c>
      <c r="AE472" t="str">
        <f>VLOOKUP($B472,'[1]Plant data'!$A$1:$AB$315,13,0)</f>
        <v>NA</v>
      </c>
      <c r="AF472" t="str">
        <f>VLOOKUP($B472,'[1]Plant data'!$A$1:$AB$315,14,0)</f>
        <v>NA</v>
      </c>
      <c r="AG472">
        <f>VLOOKUP($B472,'[1]Plant data'!$A$1:$AB$315,15,0)</f>
        <v>1</v>
      </c>
      <c r="AH472" t="str">
        <f>VLOOKUP($B472,'[1]Plant data'!$A$1:$AB$315,16,0)</f>
        <v>NA</v>
      </c>
      <c r="AI472" t="str">
        <f>VLOOKUP($B472,'[1]Plant data'!$A$1:$AB$315,17,0)</f>
        <v>NA</v>
      </c>
      <c r="AJ472" t="str">
        <f>VLOOKUP($B472,'[1]Plant data'!$A$1:$AB$315,18,0)</f>
        <v>Intervales_morfo</v>
      </c>
      <c r="AK472">
        <f>VLOOKUP($B472,'[1]Plant data'!$A$1:$AB$315,19,0)</f>
        <v>0.90900000000000003</v>
      </c>
      <c r="AL472">
        <f>VLOOKUP($B472,'[1]Plant data'!$A$1:$AB$315,20,0)</f>
        <v>2.5000000000000001E-2</v>
      </c>
      <c r="AM472">
        <f>VLOOKUP($B472,'[1]Plant data'!$A$1:$AB$315,21,0)</f>
        <v>6.9000000000000006E-2</v>
      </c>
      <c r="AN472" t="str">
        <f>VLOOKUP($B472,'[1]Plant data'!$A$1:$AB$315,22,0)</f>
        <v>NA</v>
      </c>
      <c r="AO472" t="str">
        <f>VLOOKUP($B472,'[1]Plant data'!$A$1:$AB$315,23,0)</f>
        <v>NA</v>
      </c>
      <c r="AP472" t="str">
        <f>VLOOKUP($B472,'[1]Plant data'!$A$1:$AB$315,24,0)</f>
        <v>NA</v>
      </c>
      <c r="AQ472">
        <f>VLOOKUP($B472,'[1]Plant data'!$A$1:$AB$315,25,0)</f>
        <v>0.877</v>
      </c>
      <c r="AR472">
        <f>VLOOKUP($B472,'[1]Plant data'!$A$1:$AB$315,26,0)</f>
        <v>2.8999999999999998E-2</v>
      </c>
      <c r="AS472" t="str">
        <f>VLOOKUP($B472,'[1]Plant data'!$A$1:$AB$315,27,0)</f>
        <v>NA</v>
      </c>
      <c r="AT472" t="str">
        <f>VLOOKUP($B472,'[1]Plant data'!$A$1:$AB$315,28,0)</f>
        <v>Saibadela</v>
      </c>
    </row>
    <row r="473" spans="1:46">
      <c r="A473" s="5" t="s">
        <v>28</v>
      </c>
      <c r="B473" s="32" t="s">
        <v>279</v>
      </c>
      <c r="C473">
        <v>2</v>
      </c>
      <c r="D473">
        <v>28</v>
      </c>
      <c r="E473" s="8">
        <f>C473/D473</f>
        <v>7.1428571428571425E-2</v>
      </c>
      <c r="F473">
        <v>2</v>
      </c>
      <c r="G473" s="9">
        <f t="shared" si="38"/>
        <v>1</v>
      </c>
      <c r="H473" s="9"/>
      <c r="I473" s="8">
        <f t="shared" si="39"/>
        <v>7.1428571428571425E-2</v>
      </c>
      <c r="J473" t="s">
        <v>277</v>
      </c>
      <c r="K473" t="s">
        <v>92</v>
      </c>
      <c r="L473" t="s">
        <v>22</v>
      </c>
      <c r="M473" t="s">
        <v>30</v>
      </c>
      <c r="N473" s="11">
        <v>18</v>
      </c>
      <c r="O473" s="11">
        <v>7.4188405800000004</v>
      </c>
      <c r="P473" t="s">
        <v>24</v>
      </c>
      <c r="Q473" s="13" t="s">
        <v>25</v>
      </c>
      <c r="R473" s="13" t="s">
        <v>26</v>
      </c>
      <c r="S473" s="13" t="s">
        <v>31</v>
      </c>
      <c r="T473" t="str">
        <f>VLOOKUP(B473,'[1]Plant data'!$A$1:$AB$315,2,0)</f>
        <v>Elaeocarpaceae</v>
      </c>
      <c r="U473" t="str">
        <f>VLOOKUP($B473,'[1]Plant data'!$A$1:$AB$315,3,0)</f>
        <v>NA</v>
      </c>
      <c r="V473" t="str">
        <f>VLOOKUP($B473,'[1]Plant data'!$A$1:$AB$315,4,0)</f>
        <v>multicolor</v>
      </c>
      <c r="W473" t="str">
        <f>VLOOKUP($B473,'[1]Plant data'!$A$1:$AB$315,5,0)</f>
        <v>YES</v>
      </c>
      <c r="X473">
        <f>VLOOKUP($B473,'[1]Plant data'!$A$1:$AB$315,6,0)</f>
        <v>7</v>
      </c>
      <c r="Y473">
        <f>VLOOKUP($B473,'[1]Plant data'!$A$1:$AB$315,7,0)</f>
        <v>12</v>
      </c>
      <c r="Z473">
        <f>VLOOKUP($B473,'[1]Plant data'!$A$1:$AB$315,8,0)</f>
        <v>6</v>
      </c>
      <c r="AA473">
        <f>VLOOKUP($B473,'[1]Plant data'!$A$1:$AB$315,9,0)</f>
        <v>11</v>
      </c>
      <c r="AB473">
        <f>VLOOKUP($B473,'[1]Plant data'!$A$1:$AB$315,10,0)</f>
        <v>0.3</v>
      </c>
      <c r="AC473" t="str">
        <f>VLOOKUP($B473,'[1]Plant data'!$A$1:$AB$315,11,0)</f>
        <v>NA</v>
      </c>
      <c r="AD473">
        <f>VLOOKUP($B473,'[1]Plant data'!$A$1:$AB$315,12,0)</f>
        <v>0.2</v>
      </c>
      <c r="AE473" t="str">
        <f>VLOOKUP($B473,'[1]Plant data'!$A$1:$AB$315,13,0)</f>
        <v>NA</v>
      </c>
      <c r="AF473" t="str">
        <f>VLOOKUP($B473,'[1]Plant data'!$A$1:$AB$315,14,0)</f>
        <v>NA</v>
      </c>
      <c r="AG473">
        <f>VLOOKUP($B473,'[1]Plant data'!$A$1:$AB$315,15,0)</f>
        <v>1</v>
      </c>
      <c r="AH473" t="str">
        <f>VLOOKUP($B473,'[1]Plant data'!$A$1:$AB$315,16,0)</f>
        <v>NA</v>
      </c>
      <c r="AI473" t="str">
        <f>VLOOKUP($B473,'[1]Plant data'!$A$1:$AB$315,17,0)</f>
        <v>NA</v>
      </c>
      <c r="AJ473" t="str">
        <f>VLOOKUP($B473,'[1]Plant data'!$A$1:$AB$315,18,0)</f>
        <v>Intervales_morfo</v>
      </c>
      <c r="AK473">
        <f>VLOOKUP($B473,'[1]Plant data'!$A$1:$AB$315,19,0)</f>
        <v>0.90900000000000003</v>
      </c>
      <c r="AL473">
        <f>VLOOKUP($B473,'[1]Plant data'!$A$1:$AB$315,20,0)</f>
        <v>2.5000000000000001E-2</v>
      </c>
      <c r="AM473">
        <f>VLOOKUP($B473,'[1]Plant data'!$A$1:$AB$315,21,0)</f>
        <v>6.9000000000000006E-2</v>
      </c>
      <c r="AN473" t="str">
        <f>VLOOKUP($B473,'[1]Plant data'!$A$1:$AB$315,22,0)</f>
        <v>NA</v>
      </c>
      <c r="AO473" t="str">
        <f>VLOOKUP($B473,'[1]Plant data'!$A$1:$AB$315,23,0)</f>
        <v>NA</v>
      </c>
      <c r="AP473" t="str">
        <f>VLOOKUP($B473,'[1]Plant data'!$A$1:$AB$315,24,0)</f>
        <v>NA</v>
      </c>
      <c r="AQ473">
        <f>VLOOKUP($B473,'[1]Plant data'!$A$1:$AB$315,25,0)</f>
        <v>0.877</v>
      </c>
      <c r="AR473">
        <f>VLOOKUP($B473,'[1]Plant data'!$A$1:$AB$315,26,0)</f>
        <v>2.8999999999999998E-2</v>
      </c>
      <c r="AS473" t="str">
        <f>VLOOKUP($B473,'[1]Plant data'!$A$1:$AB$315,27,0)</f>
        <v>NA</v>
      </c>
      <c r="AT473" t="str">
        <f>VLOOKUP($B473,'[1]Plant data'!$A$1:$AB$315,28,0)</f>
        <v>Saibadela</v>
      </c>
    </row>
    <row r="474" spans="1:46">
      <c r="A474" s="5" t="s">
        <v>32</v>
      </c>
      <c r="B474" s="32" t="s">
        <v>279</v>
      </c>
      <c r="C474">
        <v>2</v>
      </c>
      <c r="D474">
        <v>28</v>
      </c>
      <c r="E474" s="8">
        <f>C474/D474</f>
        <v>7.1428571428571425E-2</v>
      </c>
      <c r="F474">
        <v>8</v>
      </c>
      <c r="G474" s="9">
        <f t="shared" si="38"/>
        <v>4</v>
      </c>
      <c r="H474" s="9"/>
      <c r="I474" s="8">
        <f t="shared" si="39"/>
        <v>0.2857142857142857</v>
      </c>
      <c r="J474" s="10" t="s">
        <v>277</v>
      </c>
      <c r="K474" t="s">
        <v>92</v>
      </c>
      <c r="L474" t="s">
        <v>22</v>
      </c>
      <c r="M474" t="s">
        <v>30</v>
      </c>
      <c r="N474" s="11">
        <v>18</v>
      </c>
      <c r="O474" s="11">
        <v>5.1684999999999999</v>
      </c>
      <c r="P474" t="s">
        <v>24</v>
      </c>
      <c r="Q474" s="13" t="s">
        <v>25</v>
      </c>
      <c r="R474" s="13" t="s">
        <v>26</v>
      </c>
      <c r="S474" s="13" t="s">
        <v>31</v>
      </c>
      <c r="T474" t="str">
        <f>VLOOKUP(B474,'[1]Plant data'!$A$1:$AB$315,2,0)</f>
        <v>Elaeocarpaceae</v>
      </c>
      <c r="U474" t="str">
        <f>VLOOKUP($B474,'[1]Plant data'!$A$1:$AB$315,3,0)</f>
        <v>NA</v>
      </c>
      <c r="V474" t="str">
        <f>VLOOKUP($B474,'[1]Plant data'!$A$1:$AB$315,4,0)</f>
        <v>multicolor</v>
      </c>
      <c r="W474" t="str">
        <f>VLOOKUP($B474,'[1]Plant data'!$A$1:$AB$315,5,0)</f>
        <v>YES</v>
      </c>
      <c r="X474">
        <f>VLOOKUP($B474,'[1]Plant data'!$A$1:$AB$315,6,0)</f>
        <v>7</v>
      </c>
      <c r="Y474">
        <f>VLOOKUP($B474,'[1]Plant data'!$A$1:$AB$315,7,0)</f>
        <v>12</v>
      </c>
      <c r="Z474">
        <f>VLOOKUP($B474,'[1]Plant data'!$A$1:$AB$315,8,0)</f>
        <v>6</v>
      </c>
      <c r="AA474">
        <f>VLOOKUP($B474,'[1]Plant data'!$A$1:$AB$315,9,0)</f>
        <v>11</v>
      </c>
      <c r="AB474">
        <f>VLOOKUP($B474,'[1]Plant data'!$A$1:$AB$315,10,0)</f>
        <v>0.3</v>
      </c>
      <c r="AC474" t="str">
        <f>VLOOKUP($B474,'[1]Plant data'!$A$1:$AB$315,11,0)</f>
        <v>NA</v>
      </c>
      <c r="AD474">
        <f>VLOOKUP($B474,'[1]Plant data'!$A$1:$AB$315,12,0)</f>
        <v>0.2</v>
      </c>
      <c r="AE474" t="str">
        <f>VLOOKUP($B474,'[1]Plant data'!$A$1:$AB$315,13,0)</f>
        <v>NA</v>
      </c>
      <c r="AF474" t="str">
        <f>VLOOKUP($B474,'[1]Plant data'!$A$1:$AB$315,14,0)</f>
        <v>NA</v>
      </c>
      <c r="AG474">
        <f>VLOOKUP($B474,'[1]Plant data'!$A$1:$AB$315,15,0)</f>
        <v>1</v>
      </c>
      <c r="AH474" t="str">
        <f>VLOOKUP($B474,'[1]Plant data'!$A$1:$AB$315,16,0)</f>
        <v>NA</v>
      </c>
      <c r="AI474" t="str">
        <f>VLOOKUP($B474,'[1]Plant data'!$A$1:$AB$315,17,0)</f>
        <v>NA</v>
      </c>
      <c r="AJ474" t="str">
        <f>VLOOKUP($B474,'[1]Plant data'!$A$1:$AB$315,18,0)</f>
        <v>Intervales_morfo</v>
      </c>
      <c r="AK474">
        <f>VLOOKUP($B474,'[1]Plant data'!$A$1:$AB$315,19,0)</f>
        <v>0.90900000000000003</v>
      </c>
      <c r="AL474">
        <f>VLOOKUP($B474,'[1]Plant data'!$A$1:$AB$315,20,0)</f>
        <v>2.5000000000000001E-2</v>
      </c>
      <c r="AM474">
        <f>VLOOKUP($B474,'[1]Plant data'!$A$1:$AB$315,21,0)</f>
        <v>6.9000000000000006E-2</v>
      </c>
      <c r="AN474" t="str">
        <f>VLOOKUP($B474,'[1]Plant data'!$A$1:$AB$315,22,0)</f>
        <v>NA</v>
      </c>
      <c r="AO474" t="str">
        <f>VLOOKUP($B474,'[1]Plant data'!$A$1:$AB$315,23,0)</f>
        <v>NA</v>
      </c>
      <c r="AP474" t="str">
        <f>VLOOKUP($B474,'[1]Plant data'!$A$1:$AB$315,24,0)</f>
        <v>NA</v>
      </c>
      <c r="AQ474">
        <f>VLOOKUP($B474,'[1]Plant data'!$A$1:$AB$315,25,0)</f>
        <v>0.877</v>
      </c>
      <c r="AR474">
        <f>VLOOKUP($B474,'[1]Plant data'!$A$1:$AB$315,26,0)</f>
        <v>2.8999999999999998E-2</v>
      </c>
      <c r="AS474" t="str">
        <f>VLOOKUP($B474,'[1]Plant data'!$A$1:$AB$315,27,0)</f>
        <v>NA</v>
      </c>
      <c r="AT474" t="str">
        <f>VLOOKUP($B474,'[1]Plant data'!$A$1:$AB$315,28,0)</f>
        <v>Saibadela</v>
      </c>
    </row>
    <row r="475" spans="1:46">
      <c r="A475" s="5" t="s">
        <v>62</v>
      </c>
      <c r="B475" s="33" t="s">
        <v>279</v>
      </c>
      <c r="C475" s="7">
        <v>3</v>
      </c>
      <c r="D475" s="7">
        <v>28</v>
      </c>
      <c r="E475" s="8">
        <v>0.1071</v>
      </c>
      <c r="F475">
        <v>7</v>
      </c>
      <c r="G475" s="9">
        <f t="shared" si="38"/>
        <v>2.3333333333333335</v>
      </c>
      <c r="H475" s="9"/>
      <c r="I475" s="8">
        <f t="shared" si="39"/>
        <v>0.24990000000000001</v>
      </c>
      <c r="J475" t="s">
        <v>277</v>
      </c>
      <c r="K475" t="s">
        <v>92</v>
      </c>
      <c r="L475" t="s">
        <v>22</v>
      </c>
      <c r="M475" t="s">
        <v>30</v>
      </c>
      <c r="N475" s="11">
        <v>18.7</v>
      </c>
      <c r="O475" s="11">
        <v>6.1185714290000002</v>
      </c>
      <c r="P475" t="s">
        <v>24</v>
      </c>
      <c r="Q475" t="s">
        <v>25</v>
      </c>
      <c r="R475" t="s">
        <v>26</v>
      </c>
      <c r="S475" t="s">
        <v>31</v>
      </c>
      <c r="T475" t="str">
        <f>VLOOKUP(B475,'[1]Plant data'!$A$1:$AB$315,2,0)</f>
        <v>Elaeocarpaceae</v>
      </c>
      <c r="U475" t="str">
        <f>VLOOKUP($B475,'[1]Plant data'!$A$1:$AB$315,3,0)</f>
        <v>NA</v>
      </c>
      <c r="V475" t="str">
        <f>VLOOKUP($B475,'[1]Plant data'!$A$1:$AB$315,4,0)</f>
        <v>multicolor</v>
      </c>
      <c r="W475" t="str">
        <f>VLOOKUP($B475,'[1]Plant data'!$A$1:$AB$315,5,0)</f>
        <v>YES</v>
      </c>
      <c r="X475">
        <f>VLOOKUP($B475,'[1]Plant data'!$A$1:$AB$315,6,0)</f>
        <v>7</v>
      </c>
      <c r="Y475">
        <f>VLOOKUP($B475,'[1]Plant data'!$A$1:$AB$315,7,0)</f>
        <v>12</v>
      </c>
      <c r="Z475">
        <f>VLOOKUP($B475,'[1]Plant data'!$A$1:$AB$315,8,0)</f>
        <v>6</v>
      </c>
      <c r="AA475">
        <f>VLOOKUP($B475,'[1]Plant data'!$A$1:$AB$315,9,0)</f>
        <v>11</v>
      </c>
      <c r="AB475">
        <f>VLOOKUP($B475,'[1]Plant data'!$A$1:$AB$315,10,0)</f>
        <v>0.3</v>
      </c>
      <c r="AC475" t="str">
        <f>VLOOKUP($B475,'[1]Plant data'!$A$1:$AB$315,11,0)</f>
        <v>NA</v>
      </c>
      <c r="AD475">
        <f>VLOOKUP($B475,'[1]Plant data'!$A$1:$AB$315,12,0)</f>
        <v>0.2</v>
      </c>
      <c r="AE475" t="str">
        <f>VLOOKUP($B475,'[1]Plant data'!$A$1:$AB$315,13,0)</f>
        <v>NA</v>
      </c>
      <c r="AF475" t="str">
        <f>VLOOKUP($B475,'[1]Plant data'!$A$1:$AB$315,14,0)</f>
        <v>NA</v>
      </c>
      <c r="AG475">
        <f>VLOOKUP($B475,'[1]Plant data'!$A$1:$AB$315,15,0)</f>
        <v>1</v>
      </c>
      <c r="AH475" t="str">
        <f>VLOOKUP($B475,'[1]Plant data'!$A$1:$AB$315,16,0)</f>
        <v>NA</v>
      </c>
      <c r="AI475" t="str">
        <f>VLOOKUP($B475,'[1]Plant data'!$A$1:$AB$315,17,0)</f>
        <v>NA</v>
      </c>
      <c r="AJ475" t="str">
        <f>VLOOKUP($B475,'[1]Plant data'!$A$1:$AB$315,18,0)</f>
        <v>Intervales_morfo</v>
      </c>
      <c r="AK475">
        <f>VLOOKUP($B475,'[1]Plant data'!$A$1:$AB$315,19,0)</f>
        <v>0.90900000000000003</v>
      </c>
      <c r="AL475">
        <f>VLOOKUP($B475,'[1]Plant data'!$A$1:$AB$315,20,0)</f>
        <v>2.5000000000000001E-2</v>
      </c>
      <c r="AM475">
        <f>VLOOKUP($B475,'[1]Plant data'!$A$1:$AB$315,21,0)</f>
        <v>6.9000000000000006E-2</v>
      </c>
      <c r="AN475" t="str">
        <f>VLOOKUP($B475,'[1]Plant data'!$A$1:$AB$315,22,0)</f>
        <v>NA</v>
      </c>
      <c r="AO475" t="str">
        <f>VLOOKUP($B475,'[1]Plant data'!$A$1:$AB$315,23,0)</f>
        <v>NA</v>
      </c>
      <c r="AP475" t="str">
        <f>VLOOKUP($B475,'[1]Plant data'!$A$1:$AB$315,24,0)</f>
        <v>NA</v>
      </c>
      <c r="AQ475">
        <f>VLOOKUP($B475,'[1]Plant data'!$A$1:$AB$315,25,0)</f>
        <v>0.877</v>
      </c>
      <c r="AR475">
        <f>VLOOKUP($B475,'[1]Plant data'!$A$1:$AB$315,26,0)</f>
        <v>2.8999999999999998E-2</v>
      </c>
      <c r="AS475" t="str">
        <f>VLOOKUP($B475,'[1]Plant data'!$A$1:$AB$315,27,0)</f>
        <v>NA</v>
      </c>
      <c r="AT475" t="str">
        <f>VLOOKUP($B475,'[1]Plant data'!$A$1:$AB$315,28,0)</f>
        <v>Saibadela</v>
      </c>
    </row>
    <row r="476" spans="1:46">
      <c r="A476" s="5" t="s">
        <v>106</v>
      </c>
      <c r="B476" s="32" t="s">
        <v>279</v>
      </c>
      <c r="C476" s="7">
        <v>1</v>
      </c>
      <c r="D476" s="7">
        <v>28</v>
      </c>
      <c r="E476" s="8">
        <v>3.5700000000000003E-2</v>
      </c>
      <c r="F476">
        <v>2</v>
      </c>
      <c r="G476" s="9">
        <f t="shared" si="38"/>
        <v>2</v>
      </c>
      <c r="H476" s="9"/>
      <c r="I476" s="8">
        <f t="shared" si="39"/>
        <v>7.1400000000000005E-2</v>
      </c>
      <c r="J476" t="s">
        <v>277</v>
      </c>
      <c r="K476" t="s">
        <v>92</v>
      </c>
      <c r="L476" t="s">
        <v>22</v>
      </c>
      <c r="M476" t="s">
        <v>75</v>
      </c>
      <c r="N476" s="11">
        <v>68.099999999999994</v>
      </c>
      <c r="O476" s="11">
        <v>16.570370369999999</v>
      </c>
      <c r="P476" t="s">
        <v>48</v>
      </c>
      <c r="Q476" t="s">
        <v>49</v>
      </c>
      <c r="R476" t="s">
        <v>26</v>
      </c>
      <c r="S476" t="s">
        <v>27</v>
      </c>
      <c r="T476" t="str">
        <f>VLOOKUP(B476,'[1]Plant data'!$A$1:$AB$315,2,0)</f>
        <v>Elaeocarpaceae</v>
      </c>
      <c r="U476" t="str">
        <f>VLOOKUP($B476,'[1]Plant data'!$A$1:$AB$315,3,0)</f>
        <v>NA</v>
      </c>
      <c r="V476" t="str">
        <f>VLOOKUP($B476,'[1]Plant data'!$A$1:$AB$315,4,0)</f>
        <v>multicolor</v>
      </c>
      <c r="W476" t="str">
        <f>VLOOKUP($B476,'[1]Plant data'!$A$1:$AB$315,5,0)</f>
        <v>YES</v>
      </c>
      <c r="X476">
        <f>VLOOKUP($B476,'[1]Plant data'!$A$1:$AB$315,6,0)</f>
        <v>7</v>
      </c>
      <c r="Y476">
        <f>VLOOKUP($B476,'[1]Plant data'!$A$1:$AB$315,7,0)</f>
        <v>12</v>
      </c>
      <c r="Z476">
        <f>VLOOKUP($B476,'[1]Plant data'!$A$1:$AB$315,8,0)</f>
        <v>6</v>
      </c>
      <c r="AA476">
        <f>VLOOKUP($B476,'[1]Plant data'!$A$1:$AB$315,9,0)</f>
        <v>11</v>
      </c>
      <c r="AB476">
        <f>VLOOKUP($B476,'[1]Plant data'!$A$1:$AB$315,10,0)</f>
        <v>0.3</v>
      </c>
      <c r="AC476" t="str">
        <f>VLOOKUP($B476,'[1]Plant data'!$A$1:$AB$315,11,0)</f>
        <v>NA</v>
      </c>
      <c r="AD476">
        <f>VLOOKUP($B476,'[1]Plant data'!$A$1:$AB$315,12,0)</f>
        <v>0.2</v>
      </c>
      <c r="AE476" t="str">
        <f>VLOOKUP($B476,'[1]Plant data'!$A$1:$AB$315,13,0)</f>
        <v>NA</v>
      </c>
      <c r="AF476" t="str">
        <f>VLOOKUP($B476,'[1]Plant data'!$A$1:$AB$315,14,0)</f>
        <v>NA</v>
      </c>
      <c r="AG476">
        <f>VLOOKUP($B476,'[1]Plant data'!$A$1:$AB$315,15,0)</f>
        <v>1</v>
      </c>
      <c r="AH476" t="str">
        <f>VLOOKUP($B476,'[1]Plant data'!$A$1:$AB$315,16,0)</f>
        <v>NA</v>
      </c>
      <c r="AI476" t="str">
        <f>VLOOKUP($B476,'[1]Plant data'!$A$1:$AB$315,17,0)</f>
        <v>NA</v>
      </c>
      <c r="AJ476" t="str">
        <f>VLOOKUP($B476,'[1]Plant data'!$A$1:$AB$315,18,0)</f>
        <v>Intervales_morfo</v>
      </c>
      <c r="AK476">
        <f>VLOOKUP($B476,'[1]Plant data'!$A$1:$AB$315,19,0)</f>
        <v>0.90900000000000003</v>
      </c>
      <c r="AL476">
        <f>VLOOKUP($B476,'[1]Plant data'!$A$1:$AB$315,20,0)</f>
        <v>2.5000000000000001E-2</v>
      </c>
      <c r="AM476">
        <f>VLOOKUP($B476,'[1]Plant data'!$A$1:$AB$315,21,0)</f>
        <v>6.9000000000000006E-2</v>
      </c>
      <c r="AN476" t="str">
        <f>VLOOKUP($B476,'[1]Plant data'!$A$1:$AB$315,22,0)</f>
        <v>NA</v>
      </c>
      <c r="AO476" t="str">
        <f>VLOOKUP($B476,'[1]Plant data'!$A$1:$AB$315,23,0)</f>
        <v>NA</v>
      </c>
      <c r="AP476" t="str">
        <f>VLOOKUP($B476,'[1]Plant data'!$A$1:$AB$315,24,0)</f>
        <v>NA</v>
      </c>
      <c r="AQ476">
        <f>VLOOKUP($B476,'[1]Plant data'!$A$1:$AB$315,25,0)</f>
        <v>0.877</v>
      </c>
      <c r="AR476">
        <f>VLOOKUP($B476,'[1]Plant data'!$A$1:$AB$315,26,0)</f>
        <v>2.8999999999999998E-2</v>
      </c>
      <c r="AS476" t="str">
        <f>VLOOKUP($B476,'[1]Plant data'!$A$1:$AB$315,27,0)</f>
        <v>NA</v>
      </c>
      <c r="AT476" t="str">
        <f>VLOOKUP($B476,'[1]Plant data'!$A$1:$AB$315,28,0)</f>
        <v>Saibadela</v>
      </c>
    </row>
    <row r="477" spans="1:46">
      <c r="A477" s="5" t="s">
        <v>46</v>
      </c>
      <c r="B477" s="32" t="s">
        <v>204</v>
      </c>
      <c r="C477" s="7">
        <v>6</v>
      </c>
      <c r="D477" s="25" t="s">
        <v>19</v>
      </c>
      <c r="E477" s="23" t="s">
        <v>19</v>
      </c>
      <c r="F477">
        <v>12</v>
      </c>
      <c r="G477" s="9">
        <f t="shared" si="38"/>
        <v>2</v>
      </c>
      <c r="H477" s="9"/>
      <c r="I477" s="8" t="s">
        <v>19</v>
      </c>
      <c r="J477" s="25" t="s">
        <v>202</v>
      </c>
      <c r="K477" s="25" t="s">
        <v>203</v>
      </c>
      <c r="L477" t="s">
        <v>22</v>
      </c>
      <c r="M477" t="s">
        <v>47</v>
      </c>
      <c r="N477" s="11">
        <v>54</v>
      </c>
      <c r="O477" s="11">
        <v>11.14875</v>
      </c>
      <c r="P477" t="s">
        <v>48</v>
      </c>
      <c r="Q477" t="s">
        <v>49</v>
      </c>
      <c r="R477" t="s">
        <v>26</v>
      </c>
      <c r="S477" t="s">
        <v>31</v>
      </c>
      <c r="T477" t="str">
        <f>VLOOKUP(B477,'[1]Plant data'!$A$1:$AB$315,2,0)</f>
        <v>Elaeocarpaceae</v>
      </c>
      <c r="U477" t="str">
        <f>VLOOKUP($B477,'[1]Plant data'!$A$1:$AB$315,3,0)</f>
        <v>Sloanea hirsuta</v>
      </c>
      <c r="V477" t="str">
        <f>VLOOKUP($B477,'[1]Plant data'!$A$1:$AB$315,4,0)</f>
        <v>orange</v>
      </c>
      <c r="W477" t="str">
        <f>VLOOKUP($B477,'[1]Plant data'!$A$1:$AB$315,5,0)</f>
        <v>YES</v>
      </c>
      <c r="X477">
        <f>VLOOKUP($B477,'[1]Plant data'!$A$1:$AB$315,6,0)</f>
        <v>10.033333333333333</v>
      </c>
      <c r="Y477">
        <f>VLOOKUP($B477,'[1]Plant data'!$A$1:$AB$315,7,0)</f>
        <v>14.733333333333334</v>
      </c>
      <c r="Z477">
        <f>VLOOKUP($B477,'[1]Plant data'!$A$1:$AB$315,8,0)</f>
        <v>9.2333333333333343</v>
      </c>
      <c r="AA477">
        <f>VLOOKUP($B477,'[1]Plant data'!$A$1:$AB$315,9,0)</f>
        <v>13.866666666666667</v>
      </c>
      <c r="AB477">
        <f>VLOOKUP($B477,'[1]Plant data'!$A$1:$AB$315,10,0)</f>
        <v>1.2296666666666667</v>
      </c>
      <c r="AC477" t="str">
        <f>VLOOKUP($B477,'[1]Plant data'!$A$1:$AB$315,11,0)</f>
        <v>NA</v>
      </c>
      <c r="AD477">
        <f>VLOOKUP($B477,'[1]Plant data'!$A$1:$AB$315,12,0)</f>
        <v>0.48233333333333328</v>
      </c>
      <c r="AE477">
        <f>VLOOKUP($B477,'[1]Plant data'!$A$1:$AB$315,13,0)</f>
        <v>0.74733333333333329</v>
      </c>
      <c r="AF477">
        <f>VLOOKUP($B477,'[1]Plant data'!$A$1:$AB$315,14,0)</f>
        <v>0.48233333333333328</v>
      </c>
      <c r="AG477">
        <f>VLOOKUP($B477,'[1]Plant data'!$A$1:$AB$315,15,0)</f>
        <v>1</v>
      </c>
      <c r="AH477" t="str">
        <f>VLOOKUP($B477,'[1]Plant data'!$A$1:$AB$315,16,0)</f>
        <v>NA</v>
      </c>
      <c r="AI477">
        <f>VLOOKUP($B477,'[1]Plant data'!$A$1:$AB$315,17,0)</f>
        <v>1.5494125777470629</v>
      </c>
      <c r="AJ477" t="str">
        <f>VLOOKUP($B477,'[1]Plant data'!$A$1:$AB$315,18,0)</f>
        <v>Erica&amp;Wesley</v>
      </c>
      <c r="AK477" t="str">
        <f>VLOOKUP($B477,'[1]Plant data'!$A$1:$AB$315,19,0)</f>
        <v>NA</v>
      </c>
      <c r="AL477" t="str">
        <f>VLOOKUP($B477,'[1]Plant data'!$A$1:$AB$315,20,0)</f>
        <v>NA</v>
      </c>
      <c r="AM477" t="str">
        <f>VLOOKUP($B477,'[1]Plant data'!$A$1:$AB$315,21,0)</f>
        <v>NA</v>
      </c>
      <c r="AN477" t="str">
        <f>VLOOKUP($B477,'[1]Plant data'!$A$1:$AB$315,22,0)</f>
        <v>NA</v>
      </c>
      <c r="AO477" t="str">
        <f>VLOOKUP($B477,'[1]Plant data'!$A$1:$AB$315,23,0)</f>
        <v>NA</v>
      </c>
      <c r="AP477" t="str">
        <f>VLOOKUP($B477,'[1]Plant data'!$A$1:$AB$315,24,0)</f>
        <v>NA</v>
      </c>
      <c r="AQ477" t="str">
        <f>VLOOKUP($B477,'[1]Plant data'!$A$1:$AB$315,25,0)</f>
        <v>NA</v>
      </c>
      <c r="AR477" t="str">
        <f>VLOOKUP($B477,'[1]Plant data'!$A$1:$AB$315,26,0)</f>
        <v>NA</v>
      </c>
      <c r="AS477" t="str">
        <f>VLOOKUP($B477,'[1]Plant data'!$A$1:$AB$315,27,0)</f>
        <v>NA</v>
      </c>
      <c r="AT477" t="str">
        <f>VLOOKUP($B477,'[1]Plant data'!$A$1:$AB$315,28,0)</f>
        <v>NA</v>
      </c>
    </row>
    <row r="478" spans="1:46">
      <c r="A478" s="5" t="s">
        <v>50</v>
      </c>
      <c r="B478" s="32" t="s">
        <v>204</v>
      </c>
      <c r="C478" s="7">
        <v>1</v>
      </c>
      <c r="D478" s="25" t="s">
        <v>19</v>
      </c>
      <c r="E478" s="23" t="s">
        <v>19</v>
      </c>
      <c r="F478">
        <v>1</v>
      </c>
      <c r="G478" s="9">
        <f t="shared" si="38"/>
        <v>1</v>
      </c>
      <c r="H478" s="9"/>
      <c r="I478" s="8" t="s">
        <v>19</v>
      </c>
      <c r="J478" s="25" t="s">
        <v>202</v>
      </c>
      <c r="K478" s="25" t="s">
        <v>203</v>
      </c>
      <c r="L478" t="s">
        <v>22</v>
      </c>
      <c r="M478" t="s">
        <v>47</v>
      </c>
      <c r="N478" s="11">
        <v>69.5</v>
      </c>
      <c r="O478" s="11">
        <v>13.253214290000001</v>
      </c>
      <c r="P478" t="s">
        <v>48</v>
      </c>
      <c r="Q478" t="s">
        <v>25</v>
      </c>
      <c r="R478" t="s">
        <v>26</v>
      </c>
      <c r="S478" t="s">
        <v>31</v>
      </c>
      <c r="T478" t="str">
        <f>VLOOKUP(B478,'[1]Plant data'!$A$1:$AB$315,2,0)</f>
        <v>Elaeocarpaceae</v>
      </c>
      <c r="U478" t="str">
        <f>VLOOKUP($B478,'[1]Plant data'!$A$1:$AB$315,3,0)</f>
        <v>Sloanea hirsuta</v>
      </c>
      <c r="V478" t="str">
        <f>VLOOKUP($B478,'[1]Plant data'!$A$1:$AB$315,4,0)</f>
        <v>orange</v>
      </c>
      <c r="W478" t="str">
        <f>VLOOKUP($B478,'[1]Plant data'!$A$1:$AB$315,5,0)</f>
        <v>YES</v>
      </c>
      <c r="X478">
        <f>VLOOKUP($B478,'[1]Plant data'!$A$1:$AB$315,6,0)</f>
        <v>10.033333333333333</v>
      </c>
      <c r="Y478">
        <f>VLOOKUP($B478,'[1]Plant data'!$A$1:$AB$315,7,0)</f>
        <v>14.733333333333334</v>
      </c>
      <c r="Z478">
        <f>VLOOKUP($B478,'[1]Plant data'!$A$1:$AB$315,8,0)</f>
        <v>9.2333333333333343</v>
      </c>
      <c r="AA478">
        <f>VLOOKUP($B478,'[1]Plant data'!$A$1:$AB$315,9,0)</f>
        <v>13.866666666666667</v>
      </c>
      <c r="AB478">
        <f>VLOOKUP($B478,'[1]Plant data'!$A$1:$AB$315,10,0)</f>
        <v>1.2296666666666667</v>
      </c>
      <c r="AC478" t="str">
        <f>VLOOKUP($B478,'[1]Plant data'!$A$1:$AB$315,11,0)</f>
        <v>NA</v>
      </c>
      <c r="AD478">
        <f>VLOOKUP($B478,'[1]Plant data'!$A$1:$AB$315,12,0)</f>
        <v>0.48233333333333328</v>
      </c>
      <c r="AE478">
        <f>VLOOKUP($B478,'[1]Plant data'!$A$1:$AB$315,13,0)</f>
        <v>0.74733333333333329</v>
      </c>
      <c r="AF478">
        <f>VLOOKUP($B478,'[1]Plant data'!$A$1:$AB$315,14,0)</f>
        <v>0.48233333333333328</v>
      </c>
      <c r="AG478">
        <f>VLOOKUP($B478,'[1]Plant data'!$A$1:$AB$315,15,0)</f>
        <v>1</v>
      </c>
      <c r="AH478" t="str">
        <f>VLOOKUP($B478,'[1]Plant data'!$A$1:$AB$315,16,0)</f>
        <v>NA</v>
      </c>
      <c r="AI478">
        <f>VLOOKUP($B478,'[1]Plant data'!$A$1:$AB$315,17,0)</f>
        <v>1.5494125777470629</v>
      </c>
      <c r="AJ478" t="str">
        <f>VLOOKUP($B478,'[1]Plant data'!$A$1:$AB$315,18,0)</f>
        <v>Erica&amp;Wesley</v>
      </c>
      <c r="AK478" t="str">
        <f>VLOOKUP($B478,'[1]Plant data'!$A$1:$AB$315,19,0)</f>
        <v>NA</v>
      </c>
      <c r="AL478" t="str">
        <f>VLOOKUP($B478,'[1]Plant data'!$A$1:$AB$315,20,0)</f>
        <v>NA</v>
      </c>
      <c r="AM478" t="str">
        <f>VLOOKUP($B478,'[1]Plant data'!$A$1:$AB$315,21,0)</f>
        <v>NA</v>
      </c>
      <c r="AN478" t="str">
        <f>VLOOKUP($B478,'[1]Plant data'!$A$1:$AB$315,22,0)</f>
        <v>NA</v>
      </c>
      <c r="AO478" t="str">
        <f>VLOOKUP($B478,'[1]Plant data'!$A$1:$AB$315,23,0)</f>
        <v>NA</v>
      </c>
      <c r="AP478" t="str">
        <f>VLOOKUP($B478,'[1]Plant data'!$A$1:$AB$315,24,0)</f>
        <v>NA</v>
      </c>
      <c r="AQ478" t="str">
        <f>VLOOKUP($B478,'[1]Plant data'!$A$1:$AB$315,25,0)</f>
        <v>NA</v>
      </c>
      <c r="AR478" t="str">
        <f>VLOOKUP($B478,'[1]Plant data'!$A$1:$AB$315,26,0)</f>
        <v>NA</v>
      </c>
      <c r="AS478" t="str">
        <f>VLOOKUP($B478,'[1]Plant data'!$A$1:$AB$315,27,0)</f>
        <v>NA</v>
      </c>
      <c r="AT478" t="str">
        <f>VLOOKUP($B478,'[1]Plant data'!$A$1:$AB$315,28,0)</f>
        <v>NA</v>
      </c>
    </row>
    <row r="479" spans="1:46">
      <c r="A479" s="5" t="s">
        <v>43</v>
      </c>
      <c r="B479" s="14" t="s">
        <v>191</v>
      </c>
      <c r="C479">
        <v>4</v>
      </c>
      <c r="D479" s="7">
        <v>3</v>
      </c>
      <c r="E479" s="8">
        <f>C479/3</f>
        <v>1.3333333333333333</v>
      </c>
      <c r="F479" t="s">
        <v>19</v>
      </c>
      <c r="G479" s="19">
        <v>1</v>
      </c>
      <c r="H479" s="19"/>
      <c r="I479" s="8">
        <f>E479*G479</f>
        <v>1.3333333333333333</v>
      </c>
      <c r="J479" s="25" t="s">
        <v>180</v>
      </c>
      <c r="K479" s="25" t="s">
        <v>181</v>
      </c>
      <c r="L479" t="s">
        <v>22</v>
      </c>
      <c r="M479" t="s">
        <v>30</v>
      </c>
      <c r="N479" s="11">
        <v>32.5</v>
      </c>
      <c r="O479" s="11">
        <v>8.9205555560000001</v>
      </c>
      <c r="P479" t="s">
        <v>24</v>
      </c>
      <c r="Q479" t="s">
        <v>25</v>
      </c>
      <c r="R479" t="s">
        <v>26</v>
      </c>
      <c r="S479" t="s">
        <v>31</v>
      </c>
      <c r="T479" t="str">
        <f>VLOOKUP(B479,'[1]Plant data'!$A$1:$AB$315,2,0)</f>
        <v>Solanaceae</v>
      </c>
      <c r="U479" t="str">
        <f>VLOOKUP($B479,'[1]Plant data'!$A$1:$AB$315,3,0)</f>
        <v>NA</v>
      </c>
      <c r="V479" t="str">
        <f>VLOOKUP($B479,'[1]Plant data'!$A$1:$AB$315,4,0)</f>
        <v>NA</v>
      </c>
      <c r="W479" t="str">
        <f>VLOOKUP($B479,'[1]Plant data'!$A$1:$AB$315,5,0)</f>
        <v>YES</v>
      </c>
      <c r="X479" t="str">
        <f>VLOOKUP($B479,'[1]Plant data'!$A$1:$AB$315,6,0)</f>
        <v>NA</v>
      </c>
      <c r="Y479" t="str">
        <f>VLOOKUP($B479,'[1]Plant data'!$A$1:$AB$315,7,0)</f>
        <v>NA</v>
      </c>
      <c r="Z479" t="str">
        <f>VLOOKUP($B479,'[1]Plant data'!$A$1:$AB$315,8,0)</f>
        <v>NA</v>
      </c>
      <c r="AA479" t="str">
        <f>VLOOKUP($B479,'[1]Plant data'!$A$1:$AB$315,9,0)</f>
        <v>NA</v>
      </c>
      <c r="AB479" t="str">
        <f>VLOOKUP($B479,'[1]Plant data'!$A$1:$AB$315,10,0)</f>
        <v>NA</v>
      </c>
      <c r="AC479" t="str">
        <f>VLOOKUP($B479,'[1]Plant data'!$A$1:$AB$315,11,0)</f>
        <v>NA</v>
      </c>
      <c r="AD479" t="str">
        <f>VLOOKUP($B479,'[1]Plant data'!$A$1:$AB$315,12,0)</f>
        <v>NA</v>
      </c>
      <c r="AE479" t="str">
        <f>VLOOKUP($B479,'[1]Plant data'!$A$1:$AB$315,13,0)</f>
        <v>NA</v>
      </c>
      <c r="AF479" t="str">
        <f>VLOOKUP($B479,'[1]Plant data'!$A$1:$AB$315,14,0)</f>
        <v>NA</v>
      </c>
      <c r="AG479" t="str">
        <f>VLOOKUP($B479,'[1]Plant data'!$A$1:$AB$315,15,0)</f>
        <v>NA</v>
      </c>
      <c r="AH479" t="str">
        <f>VLOOKUP($B479,'[1]Plant data'!$A$1:$AB$315,16,0)</f>
        <v>NA</v>
      </c>
      <c r="AI479" t="str">
        <f>VLOOKUP($B479,'[1]Plant data'!$A$1:$AB$315,17,0)</f>
        <v>NA</v>
      </c>
      <c r="AJ479" t="str">
        <f>VLOOKUP($B479,'[1]Plant data'!$A$1:$AB$315,18,0)</f>
        <v>NA</v>
      </c>
      <c r="AK479" t="str">
        <f>VLOOKUP($B479,'[1]Plant data'!$A$1:$AB$315,19,0)</f>
        <v>NA</v>
      </c>
      <c r="AL479" t="str">
        <f>VLOOKUP($B479,'[1]Plant data'!$A$1:$AB$315,20,0)</f>
        <v>NA</v>
      </c>
      <c r="AM479" t="str">
        <f>VLOOKUP($B479,'[1]Plant data'!$A$1:$AB$315,21,0)</f>
        <v>NA</v>
      </c>
      <c r="AN479" t="str">
        <f>VLOOKUP($B479,'[1]Plant data'!$A$1:$AB$315,22,0)</f>
        <v>NA</v>
      </c>
      <c r="AO479" t="str">
        <f>VLOOKUP($B479,'[1]Plant data'!$A$1:$AB$315,23,0)</f>
        <v>NA</v>
      </c>
      <c r="AP479" t="str">
        <f>VLOOKUP($B479,'[1]Plant data'!$A$1:$AB$315,24,0)</f>
        <v>NA</v>
      </c>
      <c r="AQ479" t="str">
        <f>VLOOKUP($B479,'[1]Plant data'!$A$1:$AB$315,25,0)</f>
        <v>NA</v>
      </c>
      <c r="AR479" t="str">
        <f>VLOOKUP($B479,'[1]Plant data'!$A$1:$AB$315,26,0)</f>
        <v>NA</v>
      </c>
      <c r="AS479" t="str">
        <f>VLOOKUP($B479,'[1]Plant data'!$A$1:$AB$315,27,0)</f>
        <v>NA</v>
      </c>
      <c r="AT479" t="str">
        <f>VLOOKUP($B479,'[1]Plant data'!$A$1:$AB$315,28,0)</f>
        <v>NA</v>
      </c>
    </row>
    <row r="480" spans="1:46">
      <c r="A480" s="5" t="s">
        <v>43</v>
      </c>
      <c r="B480" s="14" t="s">
        <v>88</v>
      </c>
      <c r="C480">
        <v>4</v>
      </c>
      <c r="D480" s="7">
        <v>23</v>
      </c>
      <c r="E480" s="8">
        <f>C480/23</f>
        <v>0.17391304347826086</v>
      </c>
      <c r="F480">
        <v>5</v>
      </c>
      <c r="G480" s="9">
        <f>F480/C480</f>
        <v>1.25</v>
      </c>
      <c r="H480" s="9"/>
      <c r="I480" s="8">
        <f>E480*G480</f>
        <v>0.21739130434782608</v>
      </c>
      <c r="J480" t="s">
        <v>79</v>
      </c>
      <c r="K480" t="s">
        <v>80</v>
      </c>
      <c r="L480" t="s">
        <v>22</v>
      </c>
      <c r="M480" t="s">
        <v>30</v>
      </c>
      <c r="N480" s="11">
        <v>32.5</v>
      </c>
      <c r="O480" s="11">
        <v>8.9205555560000001</v>
      </c>
      <c r="P480" t="s">
        <v>24</v>
      </c>
      <c r="Q480" t="s">
        <v>25</v>
      </c>
      <c r="R480" t="s">
        <v>26</v>
      </c>
      <c r="S480" t="s">
        <v>31</v>
      </c>
      <c r="T480" t="str">
        <f>VLOOKUP(B480,'[1]Plant data'!$A$1:$AB$315,2,0)</f>
        <v>Solanaceae</v>
      </c>
      <c r="U480" t="str">
        <f>VLOOKUP($B480,'[1]Plant data'!$A$1:$AB$315,3,0)</f>
        <v>Solanum hazenii</v>
      </c>
      <c r="V480" t="str">
        <f>VLOOKUP($B480,'[1]Plant data'!$A$1:$AB$315,4,0)</f>
        <v>green</v>
      </c>
      <c r="W480" t="str">
        <f>VLOOKUP($B480,'[1]Plant data'!$A$1:$AB$315,5,0)</f>
        <v>YES</v>
      </c>
      <c r="X480">
        <f>VLOOKUP($B480,'[1]Plant data'!$A$1:$AB$315,6,0)</f>
        <v>11</v>
      </c>
      <c r="Y480" t="str">
        <f>VLOOKUP($B480,'[1]Plant data'!$A$1:$AB$315,7,0)</f>
        <v>NA</v>
      </c>
      <c r="Z480">
        <f>VLOOKUP($B480,'[1]Plant data'!$A$1:$AB$315,8,0)</f>
        <v>0.17299999999999999</v>
      </c>
      <c r="AA480">
        <f>VLOOKUP($B480,'[1]Plant data'!$A$1:$AB$315,9,0)</f>
        <v>2.09</v>
      </c>
      <c r="AB480">
        <f>VLOOKUP($B480,'[1]Plant data'!$A$1:$AB$315,10,0)</f>
        <v>1.5</v>
      </c>
      <c r="AC480" t="str">
        <f>VLOOKUP($B480,'[1]Plant data'!$A$1:$AB$315,11,0)</f>
        <v>NA</v>
      </c>
      <c r="AD480" t="str">
        <f>VLOOKUP($B480,'[1]Plant data'!$A$1:$AB$315,12,0)</f>
        <v>NA</v>
      </c>
      <c r="AE480" t="str">
        <f>VLOOKUP($B480,'[1]Plant data'!$A$1:$AB$315,13,0)</f>
        <v>NA</v>
      </c>
      <c r="AF480" t="str">
        <f>VLOOKUP($B480,'[1]Plant data'!$A$1:$AB$315,14,0)</f>
        <v>NA</v>
      </c>
      <c r="AG480" t="str">
        <f>VLOOKUP($B480,'[1]Plant data'!$A$1:$AB$315,15,0)</f>
        <v>NA</v>
      </c>
      <c r="AH480" t="str">
        <f>VLOOKUP($B480,'[1]Plant data'!$A$1:$AB$315,16,0)</f>
        <v>NA</v>
      </c>
      <c r="AI480" t="str">
        <f>VLOOKUP($B480,'[1]Plant data'!$A$1:$AB$315,17,0)</f>
        <v>NA</v>
      </c>
      <c r="AJ480" t="str">
        <f>VLOOKUP($B480,'[1]Plant data'!$A$1:$AB$315,18,0)</f>
        <v>ATLANTIC, Fábio Jacomassa, unpubl., Athie &amp; Dias 2012</v>
      </c>
      <c r="AK480" t="str">
        <f>VLOOKUP($B480,'[1]Plant data'!$A$1:$AB$315,19,0)</f>
        <v>NA</v>
      </c>
      <c r="AL480" t="str">
        <f>VLOOKUP($B480,'[1]Plant data'!$A$1:$AB$315,20,0)</f>
        <v>NA</v>
      </c>
      <c r="AM480" t="str">
        <f>VLOOKUP($B480,'[1]Plant data'!$A$1:$AB$315,21,0)</f>
        <v>NA</v>
      </c>
      <c r="AN480" t="str">
        <f>VLOOKUP($B480,'[1]Plant data'!$A$1:$AB$315,22,0)</f>
        <v>NA</v>
      </c>
      <c r="AO480" t="str">
        <f>VLOOKUP($B480,'[1]Plant data'!$A$1:$AB$315,23,0)</f>
        <v>NA</v>
      </c>
      <c r="AP480" t="str">
        <f>VLOOKUP($B480,'[1]Plant data'!$A$1:$AB$315,24,0)</f>
        <v>NA</v>
      </c>
      <c r="AQ480" t="str">
        <f>VLOOKUP($B480,'[1]Plant data'!$A$1:$AB$315,25,0)</f>
        <v>NA</v>
      </c>
      <c r="AR480" t="str">
        <f>VLOOKUP($B480,'[1]Plant data'!$A$1:$AB$315,26,0)</f>
        <v>NA</v>
      </c>
      <c r="AS480" t="str">
        <f>VLOOKUP($B480,'[1]Plant data'!$A$1:$AB$315,27,0)</f>
        <v>NA</v>
      </c>
      <c r="AT480" t="str">
        <f>VLOOKUP($B480,'[1]Plant data'!$A$1:$AB$315,28,0)</f>
        <v>NA</v>
      </c>
    </row>
    <row r="481" spans="1:46">
      <c r="A481" s="5" t="s">
        <v>43</v>
      </c>
      <c r="B481" s="32" t="s">
        <v>276</v>
      </c>
      <c r="C481">
        <v>5</v>
      </c>
      <c r="D481" s="16">
        <v>10</v>
      </c>
      <c r="E481" s="8">
        <f>C481/10</f>
        <v>0.5</v>
      </c>
      <c r="F481">
        <v>5</v>
      </c>
      <c r="G481" s="9">
        <f>F481/C481</f>
        <v>1</v>
      </c>
      <c r="H481" s="9"/>
      <c r="I481" s="8">
        <f>E481*G481</f>
        <v>0.5</v>
      </c>
      <c r="J481" s="25" t="s">
        <v>274</v>
      </c>
      <c r="K481" s="25" t="s">
        <v>275</v>
      </c>
      <c r="L481" t="s">
        <v>22</v>
      </c>
      <c r="M481" t="s">
        <v>30</v>
      </c>
      <c r="N481" s="11">
        <v>32.5</v>
      </c>
      <c r="O481" s="11">
        <v>8.9205555560000001</v>
      </c>
      <c r="P481" t="s">
        <v>24</v>
      </c>
      <c r="Q481" t="s">
        <v>25</v>
      </c>
      <c r="R481" t="s">
        <v>26</v>
      </c>
      <c r="S481" t="s">
        <v>31</v>
      </c>
      <c r="T481" t="str">
        <f>VLOOKUP(B481,'[1]Plant data'!$A$1:$AB$315,2,0)</f>
        <v>Solanaceae</v>
      </c>
      <c r="U481" t="str">
        <f>VLOOKUP($B481,'[1]Plant data'!$A$1:$AB$315,3,0)</f>
        <v>NA</v>
      </c>
      <c r="V481" t="str">
        <f>VLOOKUP($B481,'[1]Plant data'!$A$1:$AB$315,4,0)</f>
        <v>green</v>
      </c>
      <c r="W481" t="str">
        <f>VLOOKUP($B481,'[1]Plant data'!$A$1:$AB$315,5,0)</f>
        <v>YES</v>
      </c>
      <c r="X481" t="str">
        <f>VLOOKUP($B481,'[1]Plant data'!$A$1:$AB$315,6,0)</f>
        <v>NA</v>
      </c>
      <c r="Y481" t="str">
        <f>VLOOKUP($B481,'[1]Plant data'!$A$1:$AB$315,7,0)</f>
        <v>NA</v>
      </c>
      <c r="Z481" t="str">
        <f>VLOOKUP($B481,'[1]Plant data'!$A$1:$AB$315,8,0)</f>
        <v>NA</v>
      </c>
      <c r="AA481" t="str">
        <f>VLOOKUP($B481,'[1]Plant data'!$A$1:$AB$315,9,0)</f>
        <v>NA</v>
      </c>
      <c r="AB481" t="str">
        <f>VLOOKUP($B481,'[1]Plant data'!$A$1:$AB$315,10,0)</f>
        <v>NA</v>
      </c>
      <c r="AC481" t="str">
        <f>VLOOKUP($B481,'[1]Plant data'!$A$1:$AB$315,11,0)</f>
        <v>NA</v>
      </c>
      <c r="AD481" t="str">
        <f>VLOOKUP($B481,'[1]Plant data'!$A$1:$AB$315,12,0)</f>
        <v>NA</v>
      </c>
      <c r="AE481" t="str">
        <f>VLOOKUP($B481,'[1]Plant data'!$A$1:$AB$315,13,0)</f>
        <v>NA</v>
      </c>
      <c r="AF481" t="str">
        <f>VLOOKUP($B481,'[1]Plant data'!$A$1:$AB$315,14,0)</f>
        <v>NA</v>
      </c>
      <c r="AG481" t="str">
        <f>VLOOKUP($B481,'[1]Plant data'!$A$1:$AB$315,15,0)</f>
        <v>NA</v>
      </c>
      <c r="AH481" t="str">
        <f>VLOOKUP($B481,'[1]Plant data'!$A$1:$AB$315,16,0)</f>
        <v>NA</v>
      </c>
      <c r="AI481" t="str">
        <f>VLOOKUP($B481,'[1]Plant data'!$A$1:$AB$315,17,0)</f>
        <v>NA</v>
      </c>
      <c r="AJ481" t="str">
        <f>VLOOKUP($B481,'[1]Plant data'!$A$1:$AB$315,18,0)</f>
        <v>NA</v>
      </c>
      <c r="AK481" t="str">
        <f>VLOOKUP($B481,'[1]Plant data'!$A$1:$AB$315,19,0)</f>
        <v>NA</v>
      </c>
      <c r="AL481" t="str">
        <f>VLOOKUP($B481,'[1]Plant data'!$A$1:$AB$315,20,0)</f>
        <v>NA</v>
      </c>
      <c r="AM481" t="str">
        <f>VLOOKUP($B481,'[1]Plant data'!$A$1:$AB$315,21,0)</f>
        <v>NA</v>
      </c>
      <c r="AN481" t="str">
        <f>VLOOKUP($B481,'[1]Plant data'!$A$1:$AB$315,22,0)</f>
        <v>NA</v>
      </c>
      <c r="AO481" t="str">
        <f>VLOOKUP($B481,'[1]Plant data'!$A$1:$AB$315,23,0)</f>
        <v>NA</v>
      </c>
      <c r="AP481" t="str">
        <f>VLOOKUP($B481,'[1]Plant data'!$A$1:$AB$315,24,0)</f>
        <v>NA</v>
      </c>
      <c r="AQ481" t="str">
        <f>VLOOKUP($B481,'[1]Plant data'!$A$1:$AB$315,25,0)</f>
        <v>NA</v>
      </c>
      <c r="AR481" t="str">
        <f>VLOOKUP($B481,'[1]Plant data'!$A$1:$AB$315,26,0)</f>
        <v>NA</v>
      </c>
      <c r="AS481" t="str">
        <f>VLOOKUP($B481,'[1]Plant data'!$A$1:$AB$315,27,0)</f>
        <v>NA</v>
      </c>
      <c r="AT481" t="str">
        <f>VLOOKUP($B481,'[1]Plant data'!$A$1:$AB$315,28,0)</f>
        <v>NA</v>
      </c>
    </row>
    <row r="482" spans="1:46">
      <c r="A482" s="21" t="s">
        <v>50</v>
      </c>
      <c r="B482" s="31" t="s">
        <v>234</v>
      </c>
      <c r="C482" s="16">
        <v>2</v>
      </c>
      <c r="D482" s="16">
        <v>32</v>
      </c>
      <c r="E482" s="23">
        <f>C482/32</f>
        <v>6.25E-2</v>
      </c>
      <c r="F482" s="16">
        <v>20</v>
      </c>
      <c r="G482" s="19">
        <v>10</v>
      </c>
      <c r="H482" s="19"/>
      <c r="I482" s="8">
        <f>E482*G482</f>
        <v>0.625</v>
      </c>
      <c r="J482" s="16" t="s">
        <v>224</v>
      </c>
      <c r="K482" s="16" t="s">
        <v>225</v>
      </c>
      <c r="L482" s="16" t="s">
        <v>22</v>
      </c>
      <c r="M482" s="16" t="s">
        <v>47</v>
      </c>
      <c r="N482" s="17">
        <v>69.5</v>
      </c>
      <c r="O482" s="17">
        <v>13.253214290000001</v>
      </c>
      <c r="P482" s="16" t="s">
        <v>48</v>
      </c>
      <c r="Q482" s="16" t="s">
        <v>25</v>
      </c>
      <c r="R482" s="16" t="s">
        <v>26</v>
      </c>
      <c r="S482" s="16" t="s">
        <v>31</v>
      </c>
      <c r="T482" t="str">
        <f>VLOOKUP(B482,'[1]Plant data'!$A$1:$AB$315,2,0)</f>
        <v>Solanaceae</v>
      </c>
      <c r="U482" t="str">
        <f>VLOOKUP($B482,'[1]Plant data'!$A$1:$AB$315,3,0)</f>
        <v>NA</v>
      </c>
      <c r="V482" t="str">
        <f>VLOOKUP($B482,'[1]Plant data'!$A$1:$AB$315,4,0)</f>
        <v>green</v>
      </c>
      <c r="W482" t="str">
        <f>VLOOKUP($B482,'[1]Plant data'!$A$1:$AB$315,5,0)</f>
        <v>YES</v>
      </c>
      <c r="X482">
        <f>VLOOKUP($B482,'[1]Plant data'!$A$1:$AB$315,6,0)</f>
        <v>8.6</v>
      </c>
      <c r="Y482">
        <f>VLOOKUP($B482,'[1]Plant data'!$A$1:$AB$315,7,0)</f>
        <v>8.6999999999999993</v>
      </c>
      <c r="Z482">
        <f>VLOOKUP($B482,'[1]Plant data'!$A$1:$AB$315,8,0)</f>
        <v>3.1</v>
      </c>
      <c r="AA482" t="str">
        <f>VLOOKUP($B482,'[1]Plant data'!$A$1:$AB$315,9,0)</f>
        <v>NA</v>
      </c>
      <c r="AB482">
        <f>VLOOKUP($B482,'[1]Plant data'!$A$1:$AB$315,10,0)</f>
        <v>0.4</v>
      </c>
      <c r="AC482" t="str">
        <f>VLOOKUP($B482,'[1]Plant data'!$A$1:$AB$315,11,0)</f>
        <v>NA</v>
      </c>
      <c r="AD482" t="str">
        <f>VLOOKUP($B482,'[1]Plant data'!$A$1:$AB$315,12,0)</f>
        <v>NA</v>
      </c>
      <c r="AE482" t="str">
        <f>VLOOKUP($B482,'[1]Plant data'!$A$1:$AB$315,13,0)</f>
        <v>NA</v>
      </c>
      <c r="AF482" t="str">
        <f>VLOOKUP($B482,'[1]Plant data'!$A$1:$AB$315,14,0)</f>
        <v>NA</v>
      </c>
      <c r="AG482">
        <f>VLOOKUP($B482,'[1]Plant data'!$A$1:$AB$315,15,0)</f>
        <v>9.5</v>
      </c>
      <c r="AH482" t="str">
        <f>VLOOKUP($B482,'[1]Plant data'!$A$1:$AB$315,16,0)</f>
        <v>NA</v>
      </c>
      <c r="AI482" t="str">
        <f>VLOOKUP($B482,'[1]Plant data'!$A$1:$AB$315,17,0)</f>
        <v>NA</v>
      </c>
      <c r="AJ482" t="str">
        <f>VLOOKUP($B482,'[1]Plant data'!$A$1:$AB$315,18,0)</f>
        <v>Motta Jr. 1981</v>
      </c>
      <c r="AK482">
        <f>VLOOKUP($B482,'[1]Plant data'!$A$1:$AB$315,19,0)</f>
        <v>0.69</v>
      </c>
      <c r="AL482">
        <f>VLOOKUP($B482,'[1]Plant data'!$A$1:$AB$315,20,0)</f>
        <v>3.0000000000000001E-3</v>
      </c>
      <c r="AM482" t="str">
        <f>VLOOKUP($B482,'[1]Plant data'!$A$1:$AB$315,21,0)</f>
        <v>NA</v>
      </c>
      <c r="AN482" t="str">
        <f>VLOOKUP($B482,'[1]Plant data'!$A$1:$AB$315,22,0)</f>
        <v>NA</v>
      </c>
      <c r="AO482" t="str">
        <f>VLOOKUP($B482,'[1]Plant data'!$A$1:$AB$315,23,0)</f>
        <v>NA</v>
      </c>
      <c r="AP482" t="str">
        <f>VLOOKUP($B482,'[1]Plant data'!$A$1:$AB$315,24,0)</f>
        <v>NA</v>
      </c>
      <c r="AQ482" t="str">
        <f>VLOOKUP($B482,'[1]Plant data'!$A$1:$AB$315,25,0)</f>
        <v>NA</v>
      </c>
      <c r="AR482" t="str">
        <f>VLOOKUP($B482,'[1]Plant data'!$A$1:$AB$315,26,0)</f>
        <v>NA</v>
      </c>
      <c r="AS482" t="str">
        <f>VLOOKUP($B482,'[1]Plant data'!$A$1:$AB$315,27,0)</f>
        <v>NA</v>
      </c>
      <c r="AT482" t="str">
        <f>VLOOKUP($B482,'[1]Plant data'!$A$1:$AB$315,28,0)</f>
        <v>Motta Jr. 1981</v>
      </c>
    </row>
    <row r="483" spans="1:46">
      <c r="A483" s="5" t="s">
        <v>70</v>
      </c>
      <c r="B483" s="34" t="s">
        <v>77</v>
      </c>
      <c r="C483" s="7">
        <v>7</v>
      </c>
      <c r="D483" s="7">
        <v>15.8</v>
      </c>
      <c r="E483" s="8">
        <f>C483/15.8</f>
        <v>0.44303797468354428</v>
      </c>
      <c r="F483" t="s">
        <v>19</v>
      </c>
      <c r="G483" s="9" t="s">
        <v>184</v>
      </c>
      <c r="H483" s="9"/>
      <c r="I483" s="8" t="s">
        <v>19</v>
      </c>
      <c r="J483" s="25" t="s">
        <v>67</v>
      </c>
      <c r="K483" s="25" t="s">
        <v>68</v>
      </c>
      <c r="L483" t="s">
        <v>22</v>
      </c>
      <c r="M483" t="s">
        <v>23</v>
      </c>
      <c r="N483" s="11">
        <v>15</v>
      </c>
      <c r="O483" s="11">
        <v>6.9235714289999999</v>
      </c>
      <c r="P483" t="s">
        <v>24</v>
      </c>
      <c r="Q483" t="s">
        <v>25</v>
      </c>
      <c r="R483" t="s">
        <v>26</v>
      </c>
      <c r="S483" t="s">
        <v>27</v>
      </c>
      <c r="T483" t="str">
        <f>VLOOKUP(B483,'[1]Plant data'!$A$1:$AB$315,2,0)</f>
        <v>Moraceae</v>
      </c>
      <c r="U483" t="str">
        <f>VLOOKUP($B483,'[1]Plant data'!$A$1:$AB$315,3,0)</f>
        <v>Sorocea bonplandii</v>
      </c>
      <c r="V483" t="str">
        <f>VLOOKUP($B483,'[1]Plant data'!$A$1:$AB$315,4,0)</f>
        <v>multicolor</v>
      </c>
      <c r="W483" t="str">
        <f>VLOOKUP($B483,'[1]Plant data'!$A$1:$AB$315,5,0)</f>
        <v>YES</v>
      </c>
      <c r="X483">
        <f>VLOOKUP($B483,'[1]Plant data'!$A$1:$AB$315,6,0)</f>
        <v>12.327500000000001</v>
      </c>
      <c r="Y483">
        <f>VLOOKUP($B483,'[1]Plant data'!$A$1:$AB$315,7,0)</f>
        <v>13.815000000000001</v>
      </c>
      <c r="Z483">
        <f>VLOOKUP($B483,'[1]Plant data'!$A$1:$AB$315,8,0)</f>
        <v>8.7850000000000001</v>
      </c>
      <c r="AA483">
        <f>VLOOKUP($B483,'[1]Plant data'!$A$1:$AB$315,9,0)</f>
        <v>11.264999999999999</v>
      </c>
      <c r="AB483">
        <f>VLOOKUP($B483,'[1]Plant data'!$A$1:$AB$315,10,0)</f>
        <v>1.7966666666666666</v>
      </c>
      <c r="AC483">
        <f>VLOOKUP($B483,'[1]Plant data'!$A$1:$AB$315,11,0)</f>
        <v>2.15</v>
      </c>
      <c r="AD483">
        <f>VLOOKUP($B483,'[1]Plant data'!$A$1:$AB$315,12,0)</f>
        <v>0.58499999999999996</v>
      </c>
      <c r="AE483">
        <f>VLOOKUP($B483,'[1]Plant data'!$A$1:$AB$315,13,0)</f>
        <v>0.28999999999999998</v>
      </c>
      <c r="AF483">
        <f>VLOOKUP($B483,'[1]Plant data'!$A$1:$AB$315,14,0)</f>
        <v>0.64</v>
      </c>
      <c r="AG483">
        <f>VLOOKUP($B483,'[1]Plant data'!$A$1:$AB$315,15,0)</f>
        <v>1</v>
      </c>
      <c r="AH483" t="str">
        <f>VLOOKUP($B483,'[1]Plant data'!$A$1:$AB$315,16,0)</f>
        <v>NA</v>
      </c>
      <c r="AI483">
        <f>VLOOKUP($B483,'[1]Plant data'!$A$1:$AB$315,17,0)</f>
        <v>1.9656477390852389</v>
      </c>
      <c r="AJ483" t="str">
        <f>VLOOKUP($B483,'[1]Plant data'!$A$1:$AB$315,18,0)</f>
        <v>ATLANTIC. Cazetta 2007, Erica&amp;Wesley, Intervales_morfo, Angel-de-Oliveira 1999</v>
      </c>
      <c r="AK483">
        <f>VLOOKUP($B483,'[1]Plant data'!$A$1:$AB$315,19,0)</f>
        <v>0.77099999999999991</v>
      </c>
      <c r="AL483">
        <f>VLOOKUP($B483,'[1]Plant data'!$A$1:$AB$315,20,0)</f>
        <v>0.05</v>
      </c>
      <c r="AM483">
        <f>VLOOKUP($B483,'[1]Plant data'!$A$1:$AB$315,21,0)</f>
        <v>0.10300000000000001</v>
      </c>
      <c r="AN483" t="str">
        <f>VLOOKUP($B483,'[1]Plant data'!$A$1:$AB$315,22,0)</f>
        <v>NA</v>
      </c>
      <c r="AO483" t="str">
        <f>VLOOKUP($B483,'[1]Plant data'!$A$1:$AB$315,23,0)</f>
        <v>NA</v>
      </c>
      <c r="AP483" t="str">
        <f>VLOOKUP($B483,'[1]Plant data'!$A$1:$AB$315,24,0)</f>
        <v>NA</v>
      </c>
      <c r="AQ483">
        <f>VLOOKUP($B483,'[1]Plant data'!$A$1:$AB$315,25,0)</f>
        <v>0.81099999999999994</v>
      </c>
      <c r="AR483">
        <f>VLOOKUP($B483,'[1]Plant data'!$A$1:$AB$315,26,0)</f>
        <v>3.6000000000000004E-2</v>
      </c>
      <c r="AS483" t="str">
        <f>VLOOKUP($B483,'[1]Plant data'!$A$1:$AB$315,27,0)</f>
        <v>NA</v>
      </c>
      <c r="AT483" t="str">
        <f>VLOOKUP($B483,'[1]Plant data'!$A$1:$AB$315,28,0)</f>
        <v>Saibadela</v>
      </c>
    </row>
    <row r="484" spans="1:46">
      <c r="A484" s="5" t="s">
        <v>74</v>
      </c>
      <c r="B484" s="34" t="s">
        <v>77</v>
      </c>
      <c r="C484" s="7">
        <v>3</v>
      </c>
      <c r="D484" s="7">
        <v>15.8</v>
      </c>
      <c r="E484" s="8">
        <f>C484/15.8</f>
        <v>0.18987341772151897</v>
      </c>
      <c r="F484" t="s">
        <v>19</v>
      </c>
      <c r="G484" s="9" t="s">
        <v>19</v>
      </c>
      <c r="H484" s="9"/>
      <c r="I484" s="8" t="s">
        <v>19</v>
      </c>
      <c r="J484" s="25" t="s">
        <v>67</v>
      </c>
      <c r="K484" s="25" t="s">
        <v>68</v>
      </c>
      <c r="L484" t="s">
        <v>22</v>
      </c>
      <c r="M484" t="s">
        <v>75</v>
      </c>
      <c r="N484" s="11">
        <v>200</v>
      </c>
      <c r="O484" s="11">
        <v>23.614285710000001</v>
      </c>
      <c r="P484" t="s">
        <v>48</v>
      </c>
      <c r="Q484" t="s">
        <v>25</v>
      </c>
      <c r="R484" t="s">
        <v>76</v>
      </c>
      <c r="S484" t="s">
        <v>27</v>
      </c>
      <c r="T484" t="str">
        <f>VLOOKUP(B484,'[1]Plant data'!$A$1:$AB$315,2,0)</f>
        <v>Moraceae</v>
      </c>
      <c r="U484" t="str">
        <f>VLOOKUP($B484,'[1]Plant data'!$A$1:$AB$315,3,0)</f>
        <v>Sorocea bonplandii</v>
      </c>
      <c r="V484" t="str">
        <f>VLOOKUP($B484,'[1]Plant data'!$A$1:$AB$315,4,0)</f>
        <v>multicolor</v>
      </c>
      <c r="W484" t="str">
        <f>VLOOKUP($B484,'[1]Plant data'!$A$1:$AB$315,5,0)</f>
        <v>YES</v>
      </c>
      <c r="X484">
        <f>VLOOKUP($B484,'[1]Plant data'!$A$1:$AB$315,6,0)</f>
        <v>12.327500000000001</v>
      </c>
      <c r="Y484">
        <f>VLOOKUP($B484,'[1]Plant data'!$A$1:$AB$315,7,0)</f>
        <v>13.815000000000001</v>
      </c>
      <c r="Z484">
        <f>VLOOKUP($B484,'[1]Plant data'!$A$1:$AB$315,8,0)</f>
        <v>8.7850000000000001</v>
      </c>
      <c r="AA484">
        <f>VLOOKUP($B484,'[1]Plant data'!$A$1:$AB$315,9,0)</f>
        <v>11.264999999999999</v>
      </c>
      <c r="AB484">
        <f>VLOOKUP($B484,'[1]Plant data'!$A$1:$AB$315,10,0)</f>
        <v>1.7966666666666666</v>
      </c>
      <c r="AC484">
        <f>VLOOKUP($B484,'[1]Plant data'!$A$1:$AB$315,11,0)</f>
        <v>2.15</v>
      </c>
      <c r="AD484">
        <f>VLOOKUP($B484,'[1]Plant data'!$A$1:$AB$315,12,0)</f>
        <v>0.58499999999999996</v>
      </c>
      <c r="AE484">
        <f>VLOOKUP($B484,'[1]Plant data'!$A$1:$AB$315,13,0)</f>
        <v>0.28999999999999998</v>
      </c>
      <c r="AF484">
        <f>VLOOKUP($B484,'[1]Plant data'!$A$1:$AB$315,14,0)</f>
        <v>0.64</v>
      </c>
      <c r="AG484">
        <f>VLOOKUP($B484,'[1]Plant data'!$A$1:$AB$315,15,0)</f>
        <v>1</v>
      </c>
      <c r="AH484" t="str">
        <f>VLOOKUP($B484,'[1]Plant data'!$A$1:$AB$315,16,0)</f>
        <v>NA</v>
      </c>
      <c r="AI484">
        <f>VLOOKUP($B484,'[1]Plant data'!$A$1:$AB$315,17,0)</f>
        <v>1.9656477390852389</v>
      </c>
      <c r="AJ484" t="str">
        <f>VLOOKUP($B484,'[1]Plant data'!$A$1:$AB$315,18,0)</f>
        <v>ATLANTIC. Cazetta 2007, Erica&amp;Wesley, Intervales_morfo, Angel-de-Oliveira 1999</v>
      </c>
      <c r="AK484">
        <f>VLOOKUP($B484,'[1]Plant data'!$A$1:$AB$315,19,0)</f>
        <v>0.77099999999999991</v>
      </c>
      <c r="AL484">
        <f>VLOOKUP($B484,'[1]Plant data'!$A$1:$AB$315,20,0)</f>
        <v>0.05</v>
      </c>
      <c r="AM484">
        <f>VLOOKUP($B484,'[1]Plant data'!$A$1:$AB$315,21,0)</f>
        <v>0.10300000000000001</v>
      </c>
      <c r="AN484" t="str">
        <f>VLOOKUP($B484,'[1]Plant data'!$A$1:$AB$315,22,0)</f>
        <v>NA</v>
      </c>
      <c r="AO484" t="str">
        <f>VLOOKUP($B484,'[1]Plant data'!$A$1:$AB$315,23,0)</f>
        <v>NA</v>
      </c>
      <c r="AP484" t="str">
        <f>VLOOKUP($B484,'[1]Plant data'!$A$1:$AB$315,24,0)</f>
        <v>NA</v>
      </c>
      <c r="AQ484">
        <f>VLOOKUP($B484,'[1]Plant data'!$A$1:$AB$315,25,0)</f>
        <v>0.81099999999999994</v>
      </c>
      <c r="AR484">
        <f>VLOOKUP($B484,'[1]Plant data'!$A$1:$AB$315,26,0)</f>
        <v>3.6000000000000004E-2</v>
      </c>
      <c r="AS484" t="str">
        <f>VLOOKUP($B484,'[1]Plant data'!$A$1:$AB$315,27,0)</f>
        <v>NA</v>
      </c>
      <c r="AT484" t="str">
        <f>VLOOKUP($B484,'[1]Plant data'!$A$1:$AB$315,28,0)</f>
        <v>Saibadela</v>
      </c>
    </row>
    <row r="485" spans="1:46">
      <c r="A485" s="5" t="s">
        <v>43</v>
      </c>
      <c r="B485" s="34" t="s">
        <v>77</v>
      </c>
      <c r="C485" s="7">
        <v>4</v>
      </c>
      <c r="D485" s="7">
        <v>15.8</v>
      </c>
      <c r="E485" s="8">
        <f>C485/15.8</f>
        <v>0.25316455696202528</v>
      </c>
      <c r="F485" t="s">
        <v>19</v>
      </c>
      <c r="G485" s="9" t="s">
        <v>19</v>
      </c>
      <c r="H485" s="9"/>
      <c r="I485" s="8" t="s">
        <v>19</v>
      </c>
      <c r="J485" s="25" t="s">
        <v>67</v>
      </c>
      <c r="K485" s="25" t="s">
        <v>68</v>
      </c>
      <c r="L485" t="s">
        <v>22</v>
      </c>
      <c r="M485" t="s">
        <v>30</v>
      </c>
      <c r="N485" s="11">
        <v>32.5</v>
      </c>
      <c r="O485" s="11">
        <v>8.9205555560000001</v>
      </c>
      <c r="P485" t="s">
        <v>24</v>
      </c>
      <c r="Q485" t="s">
        <v>25</v>
      </c>
      <c r="R485" t="s">
        <v>26</v>
      </c>
      <c r="S485" t="s">
        <v>31</v>
      </c>
      <c r="T485" t="str">
        <f>VLOOKUP(B485,'[1]Plant data'!$A$1:$AB$315,2,0)</f>
        <v>Moraceae</v>
      </c>
      <c r="U485" t="str">
        <f>VLOOKUP($B485,'[1]Plant data'!$A$1:$AB$315,3,0)</f>
        <v>Sorocea bonplandii</v>
      </c>
      <c r="V485" t="str">
        <f>VLOOKUP($B485,'[1]Plant data'!$A$1:$AB$315,4,0)</f>
        <v>multicolor</v>
      </c>
      <c r="W485" t="str">
        <f>VLOOKUP($B485,'[1]Plant data'!$A$1:$AB$315,5,0)</f>
        <v>YES</v>
      </c>
      <c r="X485">
        <f>VLOOKUP($B485,'[1]Plant data'!$A$1:$AB$315,6,0)</f>
        <v>12.327500000000001</v>
      </c>
      <c r="Y485">
        <f>VLOOKUP($B485,'[1]Plant data'!$A$1:$AB$315,7,0)</f>
        <v>13.815000000000001</v>
      </c>
      <c r="Z485">
        <f>VLOOKUP($B485,'[1]Plant data'!$A$1:$AB$315,8,0)</f>
        <v>8.7850000000000001</v>
      </c>
      <c r="AA485">
        <f>VLOOKUP($B485,'[1]Plant data'!$A$1:$AB$315,9,0)</f>
        <v>11.264999999999999</v>
      </c>
      <c r="AB485">
        <f>VLOOKUP($B485,'[1]Plant data'!$A$1:$AB$315,10,0)</f>
        <v>1.7966666666666666</v>
      </c>
      <c r="AC485">
        <f>VLOOKUP($B485,'[1]Plant data'!$A$1:$AB$315,11,0)</f>
        <v>2.15</v>
      </c>
      <c r="AD485">
        <f>VLOOKUP($B485,'[1]Plant data'!$A$1:$AB$315,12,0)</f>
        <v>0.58499999999999996</v>
      </c>
      <c r="AE485">
        <f>VLOOKUP($B485,'[1]Plant data'!$A$1:$AB$315,13,0)</f>
        <v>0.28999999999999998</v>
      </c>
      <c r="AF485">
        <f>VLOOKUP($B485,'[1]Plant data'!$A$1:$AB$315,14,0)</f>
        <v>0.64</v>
      </c>
      <c r="AG485">
        <f>VLOOKUP($B485,'[1]Plant data'!$A$1:$AB$315,15,0)</f>
        <v>1</v>
      </c>
      <c r="AH485" t="str">
        <f>VLOOKUP($B485,'[1]Plant data'!$A$1:$AB$315,16,0)</f>
        <v>NA</v>
      </c>
      <c r="AI485">
        <f>VLOOKUP($B485,'[1]Plant data'!$A$1:$AB$315,17,0)</f>
        <v>1.9656477390852389</v>
      </c>
      <c r="AJ485" t="str">
        <f>VLOOKUP($B485,'[1]Plant data'!$A$1:$AB$315,18,0)</f>
        <v>ATLANTIC. Cazetta 2007, Erica&amp;Wesley, Intervales_morfo, Angel-de-Oliveira 1999</v>
      </c>
      <c r="AK485">
        <f>VLOOKUP($B485,'[1]Plant data'!$A$1:$AB$315,19,0)</f>
        <v>0.77099999999999991</v>
      </c>
      <c r="AL485">
        <f>VLOOKUP($B485,'[1]Plant data'!$A$1:$AB$315,20,0)</f>
        <v>0.05</v>
      </c>
      <c r="AM485">
        <f>VLOOKUP($B485,'[1]Plant data'!$A$1:$AB$315,21,0)</f>
        <v>0.10300000000000001</v>
      </c>
      <c r="AN485" t="str">
        <f>VLOOKUP($B485,'[1]Plant data'!$A$1:$AB$315,22,0)</f>
        <v>NA</v>
      </c>
      <c r="AO485" t="str">
        <f>VLOOKUP($B485,'[1]Plant data'!$A$1:$AB$315,23,0)</f>
        <v>NA</v>
      </c>
      <c r="AP485" t="str">
        <f>VLOOKUP($B485,'[1]Plant data'!$A$1:$AB$315,24,0)</f>
        <v>NA</v>
      </c>
      <c r="AQ485">
        <f>VLOOKUP($B485,'[1]Plant data'!$A$1:$AB$315,25,0)</f>
        <v>0.81099999999999994</v>
      </c>
      <c r="AR485">
        <f>VLOOKUP($B485,'[1]Plant data'!$A$1:$AB$315,26,0)</f>
        <v>3.6000000000000004E-2</v>
      </c>
      <c r="AS485" t="str">
        <f>VLOOKUP($B485,'[1]Plant data'!$A$1:$AB$315,27,0)</f>
        <v>NA</v>
      </c>
      <c r="AT485" t="str">
        <f>VLOOKUP($B485,'[1]Plant data'!$A$1:$AB$315,28,0)</f>
        <v>Saibadela</v>
      </c>
    </row>
    <row r="486" spans="1:46">
      <c r="A486" s="5" t="s">
        <v>50</v>
      </c>
      <c r="B486" s="32" t="s">
        <v>197</v>
      </c>
      <c r="C486">
        <v>1</v>
      </c>
      <c r="D486" t="s">
        <v>19</v>
      </c>
      <c r="E486" s="8" t="s">
        <v>19</v>
      </c>
      <c r="F486" t="s">
        <v>19</v>
      </c>
      <c r="G486" s="9" t="s">
        <v>184</v>
      </c>
      <c r="H486" s="9"/>
      <c r="I486" s="8" t="s">
        <v>19</v>
      </c>
      <c r="J486" s="25" t="s">
        <v>180</v>
      </c>
      <c r="K486" s="25" t="s">
        <v>181</v>
      </c>
      <c r="L486" t="s">
        <v>22</v>
      </c>
      <c r="M486" t="s">
        <v>47</v>
      </c>
      <c r="N486" s="11">
        <v>69.5</v>
      </c>
      <c r="O486" s="11">
        <v>13.253214290000001</v>
      </c>
      <c r="P486" t="s">
        <v>48</v>
      </c>
      <c r="Q486" t="s">
        <v>25</v>
      </c>
      <c r="R486" t="s">
        <v>26</v>
      </c>
      <c r="S486" t="s">
        <v>31</v>
      </c>
      <c r="T486" t="str">
        <f>VLOOKUP(B486,'[1]Plant data'!$A$1:$AB$315,2,0)</f>
        <v>Loranthaceae</v>
      </c>
      <c r="U486" t="str">
        <f>VLOOKUP($B486,'[1]Plant data'!$A$1:$AB$315,3,0)</f>
        <v>Struthanthus marginatus</v>
      </c>
      <c r="V486" t="str">
        <f>VLOOKUP($B486,'[1]Plant data'!$A$1:$AB$315,4,0)</f>
        <v>NA</v>
      </c>
      <c r="W486" t="str">
        <f>VLOOKUP($B486,'[1]Plant data'!$A$1:$AB$315,5,0)</f>
        <v>YES</v>
      </c>
      <c r="X486">
        <f>VLOOKUP($B486,'[1]Plant data'!$A$1:$AB$315,6,0)</f>
        <v>4.3499999999999996</v>
      </c>
      <c r="Y486">
        <f>VLOOKUP($B486,'[1]Plant data'!$A$1:$AB$315,7,0)</f>
        <v>6.7249999999999996</v>
      </c>
      <c r="Z486">
        <f>VLOOKUP($B486,'[1]Plant data'!$A$1:$AB$315,8,0)</f>
        <v>2.5</v>
      </c>
      <c r="AA486">
        <f>VLOOKUP($B486,'[1]Plant data'!$A$1:$AB$315,9,0)</f>
        <v>4.8250000000000002</v>
      </c>
      <c r="AB486">
        <f>VLOOKUP($B486,'[1]Plant data'!$A$1:$AB$315,10,0)</f>
        <v>0.11399999999999999</v>
      </c>
      <c r="AC486" t="str">
        <f>VLOOKUP($B486,'[1]Plant data'!$A$1:$AB$315,11,0)</f>
        <v>NA</v>
      </c>
      <c r="AD486">
        <f>VLOOKUP($B486,'[1]Plant data'!$A$1:$AB$315,12,0)</f>
        <v>2.1750000000000002E-2</v>
      </c>
      <c r="AE486">
        <f>VLOOKUP($B486,'[1]Plant data'!$A$1:$AB$315,13,0)</f>
        <v>9.2249999999999999E-2</v>
      </c>
      <c r="AF486">
        <f>VLOOKUP($B486,'[1]Plant data'!$A$1:$AB$315,14,0)</f>
        <v>2.1750000000000002E-2</v>
      </c>
      <c r="AG486">
        <f>VLOOKUP($B486,'[1]Plant data'!$A$1:$AB$315,15,0)</f>
        <v>1</v>
      </c>
      <c r="AH486" t="str">
        <f>VLOOKUP($B486,'[1]Plant data'!$A$1:$AB$315,16,0)</f>
        <v>NA</v>
      </c>
      <c r="AI486">
        <f>VLOOKUP($B486,'[1]Plant data'!$A$1:$AB$315,17,0)</f>
        <v>4.2413793103448274</v>
      </c>
      <c r="AJ486" t="str">
        <f>VLOOKUP($B486,'[1]Plant data'!$A$1:$AB$315,18,0)</f>
        <v>Erica&amp;Wesley</v>
      </c>
      <c r="AK486" t="str">
        <f>VLOOKUP($B486,'[1]Plant data'!$A$1:$AB$315,19,0)</f>
        <v>NA</v>
      </c>
      <c r="AL486" t="str">
        <f>VLOOKUP($B486,'[1]Plant data'!$A$1:$AB$315,20,0)</f>
        <v>NA</v>
      </c>
      <c r="AM486" t="str">
        <f>VLOOKUP($B486,'[1]Plant data'!$A$1:$AB$315,21,0)</f>
        <v>NA</v>
      </c>
      <c r="AN486" t="str">
        <f>VLOOKUP($B486,'[1]Plant data'!$A$1:$AB$315,22,0)</f>
        <v>NA</v>
      </c>
      <c r="AO486" t="str">
        <f>VLOOKUP($B486,'[1]Plant data'!$A$1:$AB$315,23,0)</f>
        <v>NA</v>
      </c>
      <c r="AP486" t="str">
        <f>VLOOKUP($B486,'[1]Plant data'!$A$1:$AB$315,24,0)</f>
        <v>NA</v>
      </c>
      <c r="AQ486" t="str">
        <f>VLOOKUP($B486,'[1]Plant data'!$A$1:$AB$315,25,0)</f>
        <v>NA</v>
      </c>
      <c r="AR486" t="str">
        <f>VLOOKUP($B486,'[1]Plant data'!$A$1:$AB$315,26,0)</f>
        <v>NA</v>
      </c>
      <c r="AS486" t="str">
        <f>VLOOKUP($B486,'[1]Plant data'!$A$1:$AB$315,27,0)</f>
        <v>NA</v>
      </c>
      <c r="AT486" t="str">
        <f>VLOOKUP($B486,'[1]Plant data'!$A$1:$AB$315,28,0)</f>
        <v>NA</v>
      </c>
    </row>
    <row r="487" spans="1:46">
      <c r="A487" s="5" t="s">
        <v>43</v>
      </c>
      <c r="B487" s="32" t="s">
        <v>201</v>
      </c>
      <c r="C487" s="29">
        <v>1</v>
      </c>
      <c r="D487" s="25" t="s">
        <v>19</v>
      </c>
      <c r="E487" s="23" t="s">
        <v>19</v>
      </c>
      <c r="F487">
        <v>3</v>
      </c>
      <c r="G487" s="9">
        <f>F487/C487</f>
        <v>3</v>
      </c>
      <c r="H487" s="9"/>
      <c r="I487" s="8" t="s">
        <v>19</v>
      </c>
      <c r="J487" s="25" t="s">
        <v>202</v>
      </c>
      <c r="K487" s="25" t="s">
        <v>203</v>
      </c>
      <c r="L487" t="s">
        <v>22</v>
      </c>
      <c r="M487" t="s">
        <v>30</v>
      </c>
      <c r="N487" s="11">
        <v>32.5</v>
      </c>
      <c r="O487" s="11">
        <v>8.9205555560000001</v>
      </c>
      <c r="P487" t="s">
        <v>24</v>
      </c>
      <c r="Q487" t="s">
        <v>25</v>
      </c>
      <c r="R487" t="s">
        <v>26</v>
      </c>
      <c r="S487" t="s">
        <v>31</v>
      </c>
      <c r="T487" t="str">
        <f>VLOOKUP(B487,'[1]Plant data'!$A$1:$AB$315,2,0)</f>
        <v>Styracaceae</v>
      </c>
      <c r="U487" t="str">
        <f>VLOOKUP($B487,'[1]Plant data'!$A$1:$AB$315,3,0)</f>
        <v>NA</v>
      </c>
      <c r="V487" t="str">
        <f>VLOOKUP($B487,'[1]Plant data'!$A$1:$AB$315,4,0)</f>
        <v>black</v>
      </c>
      <c r="W487" t="str">
        <f>VLOOKUP($B487,'[1]Plant data'!$A$1:$AB$315,5,0)</f>
        <v>YES</v>
      </c>
      <c r="X487">
        <f>VLOOKUP($B487,'[1]Plant data'!$A$1:$AB$315,6,0)</f>
        <v>9.0500000000000007</v>
      </c>
      <c r="Y487">
        <f>VLOOKUP($B487,'[1]Plant data'!$A$1:$AB$315,7,0)</f>
        <v>10</v>
      </c>
      <c r="Z487">
        <f>VLOOKUP($B487,'[1]Plant data'!$A$1:$AB$315,8,0)</f>
        <v>5.5</v>
      </c>
      <c r="AA487">
        <f>VLOOKUP($B487,'[1]Plant data'!$A$1:$AB$315,9,0)</f>
        <v>11.8</v>
      </c>
      <c r="AB487" t="str">
        <f>VLOOKUP($B487,'[1]Plant data'!$A$1:$AB$315,10,0)</f>
        <v>NA</v>
      </c>
      <c r="AC487" t="str">
        <f>VLOOKUP($B487,'[1]Plant data'!$A$1:$AB$315,11,0)</f>
        <v>NA</v>
      </c>
      <c r="AD487" t="str">
        <f>VLOOKUP($B487,'[1]Plant data'!$A$1:$AB$315,12,0)</f>
        <v>NA</v>
      </c>
      <c r="AE487" t="str">
        <f>VLOOKUP($B487,'[1]Plant data'!$A$1:$AB$315,13,0)</f>
        <v>NA</v>
      </c>
      <c r="AF487" t="str">
        <f>VLOOKUP($B487,'[1]Plant data'!$A$1:$AB$315,14,0)</f>
        <v>NA</v>
      </c>
      <c r="AG487">
        <f>VLOOKUP($B487,'[1]Plant data'!$A$1:$AB$315,15,0)</f>
        <v>1</v>
      </c>
      <c r="AH487" t="str">
        <f>VLOOKUP($B487,'[1]Plant data'!$A$1:$AB$315,16,0)</f>
        <v>NA</v>
      </c>
      <c r="AI487" t="str">
        <f>VLOOKUP($B487,'[1]Plant data'!$A$1:$AB$315,17,0)</f>
        <v>NA</v>
      </c>
      <c r="AJ487" t="str">
        <f>VLOOKUP($B487,'[1]Plant data'!$A$1:$AB$315,18,0)</f>
        <v>ATLANTIC, Kindel 1996</v>
      </c>
      <c r="AK487" t="str">
        <f>VLOOKUP($B487,'[1]Plant data'!$A$1:$AB$315,19,0)</f>
        <v>NA</v>
      </c>
      <c r="AL487" t="str">
        <f>VLOOKUP($B487,'[1]Plant data'!$A$1:$AB$315,20,0)</f>
        <v>NA</v>
      </c>
      <c r="AM487" t="str">
        <f>VLOOKUP($B487,'[1]Plant data'!$A$1:$AB$315,21,0)</f>
        <v>NA</v>
      </c>
      <c r="AN487" t="str">
        <f>VLOOKUP($B487,'[1]Plant data'!$A$1:$AB$315,22,0)</f>
        <v>NA</v>
      </c>
      <c r="AO487" t="str">
        <f>VLOOKUP($B487,'[1]Plant data'!$A$1:$AB$315,23,0)</f>
        <v>NA</v>
      </c>
      <c r="AP487" t="str">
        <f>VLOOKUP($B487,'[1]Plant data'!$A$1:$AB$315,24,0)</f>
        <v>NA</v>
      </c>
      <c r="AQ487" t="str">
        <f>VLOOKUP($B487,'[1]Plant data'!$A$1:$AB$315,25,0)</f>
        <v>NA</v>
      </c>
      <c r="AR487" t="str">
        <f>VLOOKUP($B487,'[1]Plant data'!$A$1:$AB$315,26,0)</f>
        <v>NA</v>
      </c>
      <c r="AS487" t="str">
        <f>VLOOKUP($B487,'[1]Plant data'!$A$1:$AB$315,27,0)</f>
        <v>NA</v>
      </c>
      <c r="AT487" t="str">
        <f>VLOOKUP($B487,'[1]Plant data'!$A$1:$AB$315,28,0)</f>
        <v>NA</v>
      </c>
    </row>
    <row r="488" spans="1:46">
      <c r="A488" s="5" t="s">
        <v>46</v>
      </c>
      <c r="B488" s="33" t="s">
        <v>201</v>
      </c>
      <c r="C488">
        <v>3</v>
      </c>
      <c r="D488" s="25" t="s">
        <v>19</v>
      </c>
      <c r="E488" s="23" t="s">
        <v>19</v>
      </c>
      <c r="F488">
        <v>8</v>
      </c>
      <c r="G488" s="9">
        <f>F488/C488</f>
        <v>2.6666666666666665</v>
      </c>
      <c r="H488" s="9"/>
      <c r="I488" s="8" t="s">
        <v>19</v>
      </c>
      <c r="J488" s="25" t="s">
        <v>202</v>
      </c>
      <c r="K488" s="25" t="s">
        <v>203</v>
      </c>
      <c r="L488" t="s">
        <v>22</v>
      </c>
      <c r="M488" t="s">
        <v>47</v>
      </c>
      <c r="N488" s="11">
        <v>54</v>
      </c>
      <c r="O488" s="11">
        <v>11.14875</v>
      </c>
      <c r="P488" t="s">
        <v>48</v>
      </c>
      <c r="Q488" t="s">
        <v>49</v>
      </c>
      <c r="R488" t="s">
        <v>26</v>
      </c>
      <c r="S488" t="s">
        <v>31</v>
      </c>
      <c r="T488" t="str">
        <f>VLOOKUP(B488,'[1]Plant data'!$A$1:$AB$315,2,0)</f>
        <v>Styracaceae</v>
      </c>
      <c r="U488" t="str">
        <f>VLOOKUP($B488,'[1]Plant data'!$A$1:$AB$315,3,0)</f>
        <v>NA</v>
      </c>
      <c r="V488" t="str">
        <f>VLOOKUP($B488,'[1]Plant data'!$A$1:$AB$315,4,0)</f>
        <v>black</v>
      </c>
      <c r="W488" t="str">
        <f>VLOOKUP($B488,'[1]Plant data'!$A$1:$AB$315,5,0)</f>
        <v>YES</v>
      </c>
      <c r="X488">
        <f>VLOOKUP($B488,'[1]Plant data'!$A$1:$AB$315,6,0)</f>
        <v>9.0500000000000007</v>
      </c>
      <c r="Y488">
        <f>VLOOKUP($B488,'[1]Plant data'!$A$1:$AB$315,7,0)</f>
        <v>10</v>
      </c>
      <c r="Z488">
        <f>VLOOKUP($B488,'[1]Plant data'!$A$1:$AB$315,8,0)</f>
        <v>5.5</v>
      </c>
      <c r="AA488">
        <f>VLOOKUP($B488,'[1]Plant data'!$A$1:$AB$315,9,0)</f>
        <v>11.8</v>
      </c>
      <c r="AB488" t="str">
        <f>VLOOKUP($B488,'[1]Plant data'!$A$1:$AB$315,10,0)</f>
        <v>NA</v>
      </c>
      <c r="AC488" t="str">
        <f>VLOOKUP($B488,'[1]Plant data'!$A$1:$AB$315,11,0)</f>
        <v>NA</v>
      </c>
      <c r="AD488" t="str">
        <f>VLOOKUP($B488,'[1]Plant data'!$A$1:$AB$315,12,0)</f>
        <v>NA</v>
      </c>
      <c r="AE488" t="str">
        <f>VLOOKUP($B488,'[1]Plant data'!$A$1:$AB$315,13,0)</f>
        <v>NA</v>
      </c>
      <c r="AF488" t="str">
        <f>VLOOKUP($B488,'[1]Plant data'!$A$1:$AB$315,14,0)</f>
        <v>NA</v>
      </c>
      <c r="AG488">
        <f>VLOOKUP($B488,'[1]Plant data'!$A$1:$AB$315,15,0)</f>
        <v>1</v>
      </c>
      <c r="AH488" t="str">
        <f>VLOOKUP($B488,'[1]Plant data'!$A$1:$AB$315,16,0)</f>
        <v>NA</v>
      </c>
      <c r="AI488" t="str">
        <f>VLOOKUP($B488,'[1]Plant data'!$A$1:$AB$315,17,0)</f>
        <v>NA</v>
      </c>
      <c r="AJ488" t="str">
        <f>VLOOKUP($B488,'[1]Plant data'!$A$1:$AB$315,18,0)</f>
        <v>ATLANTIC, Kindel 1996</v>
      </c>
      <c r="AK488" t="str">
        <f>VLOOKUP($B488,'[1]Plant data'!$A$1:$AB$315,19,0)</f>
        <v>NA</v>
      </c>
      <c r="AL488" t="str">
        <f>VLOOKUP($B488,'[1]Plant data'!$A$1:$AB$315,20,0)</f>
        <v>NA</v>
      </c>
      <c r="AM488" t="str">
        <f>VLOOKUP($B488,'[1]Plant data'!$A$1:$AB$315,21,0)</f>
        <v>NA</v>
      </c>
      <c r="AN488" t="str">
        <f>VLOOKUP($B488,'[1]Plant data'!$A$1:$AB$315,22,0)</f>
        <v>NA</v>
      </c>
      <c r="AO488" t="str">
        <f>VLOOKUP($B488,'[1]Plant data'!$A$1:$AB$315,23,0)</f>
        <v>NA</v>
      </c>
      <c r="AP488" t="str">
        <f>VLOOKUP($B488,'[1]Plant data'!$A$1:$AB$315,24,0)</f>
        <v>NA</v>
      </c>
      <c r="AQ488" t="str">
        <f>VLOOKUP($B488,'[1]Plant data'!$A$1:$AB$315,25,0)</f>
        <v>NA</v>
      </c>
      <c r="AR488" t="str">
        <f>VLOOKUP($B488,'[1]Plant data'!$A$1:$AB$315,26,0)</f>
        <v>NA</v>
      </c>
      <c r="AS488" t="str">
        <f>VLOOKUP($B488,'[1]Plant data'!$A$1:$AB$315,27,0)</f>
        <v>NA</v>
      </c>
      <c r="AT488" t="str">
        <f>VLOOKUP($B488,'[1]Plant data'!$A$1:$AB$315,28,0)</f>
        <v>NA</v>
      </c>
    </row>
    <row r="489" spans="1:46">
      <c r="A489" s="5" t="s">
        <v>96</v>
      </c>
      <c r="B489" s="34" t="s">
        <v>117</v>
      </c>
      <c r="C489" s="7">
        <v>1</v>
      </c>
      <c r="D489" s="7" t="s">
        <v>19</v>
      </c>
      <c r="E489" s="8" t="s">
        <v>19</v>
      </c>
      <c r="F489" s="8" t="s">
        <v>19</v>
      </c>
      <c r="G489" s="8" t="s">
        <v>19</v>
      </c>
      <c r="H489" s="8"/>
      <c r="I489" s="8" t="s">
        <v>19</v>
      </c>
      <c r="J489" s="25" t="s">
        <v>112</v>
      </c>
      <c r="K489" t="s">
        <v>113</v>
      </c>
      <c r="L489" t="s">
        <v>100</v>
      </c>
      <c r="M489" t="s">
        <v>101</v>
      </c>
      <c r="N489" s="11">
        <v>1770</v>
      </c>
      <c r="O489" s="11">
        <v>22.349</v>
      </c>
      <c r="P489" t="s">
        <v>48</v>
      </c>
      <c r="Q489" t="s">
        <v>25</v>
      </c>
      <c r="R489" t="s">
        <v>26</v>
      </c>
      <c r="S489" t="s">
        <v>27</v>
      </c>
      <c r="T489" t="str">
        <f>VLOOKUP(B489,'[1]Plant data'!$A$1:$AB$315,2,0)</f>
        <v>Symplocaceae</v>
      </c>
      <c r="U489" t="str">
        <f>VLOOKUP($B489,'[1]Plant data'!$A$1:$AB$315,3,0)</f>
        <v>NA</v>
      </c>
      <c r="V489" t="str">
        <f>VLOOKUP($B489,'[1]Plant data'!$A$1:$AB$315,4,0)</f>
        <v>black</v>
      </c>
      <c r="W489" t="str">
        <f>VLOOKUP($B489,'[1]Plant data'!$A$1:$AB$315,5,0)</f>
        <v>YES</v>
      </c>
      <c r="X489">
        <f>VLOOKUP($B489,'[1]Plant data'!$A$1:$AB$315,6,0)</f>
        <v>10.9</v>
      </c>
      <c r="Y489" t="str">
        <f>VLOOKUP($B489,'[1]Plant data'!$A$1:$AB$315,7,0)</f>
        <v>NA</v>
      </c>
      <c r="Z489" t="str">
        <f>VLOOKUP($B489,'[1]Plant data'!$A$1:$AB$315,8,0)</f>
        <v>NA</v>
      </c>
      <c r="AA489" t="str">
        <f>VLOOKUP($B489,'[1]Plant data'!$A$1:$AB$315,9,0)</f>
        <v>NA</v>
      </c>
      <c r="AB489" t="str">
        <f>VLOOKUP($B489,'[1]Plant data'!$A$1:$AB$315,10,0)</f>
        <v>NA</v>
      </c>
      <c r="AC489" t="str">
        <f>VLOOKUP($B489,'[1]Plant data'!$A$1:$AB$315,11,0)</f>
        <v>NA</v>
      </c>
      <c r="AD489" t="str">
        <f>VLOOKUP($B489,'[1]Plant data'!$A$1:$AB$315,12,0)</f>
        <v>NA</v>
      </c>
      <c r="AE489" t="str">
        <f>VLOOKUP($B489,'[1]Plant data'!$A$1:$AB$315,13,0)</f>
        <v>NA</v>
      </c>
      <c r="AF489" t="str">
        <f>VLOOKUP($B489,'[1]Plant data'!$A$1:$AB$315,14,0)</f>
        <v>NA</v>
      </c>
      <c r="AG489">
        <f>VLOOKUP($B489,'[1]Plant data'!$A$1:$AB$315,15,0)</f>
        <v>1</v>
      </c>
      <c r="AH489" t="str">
        <f>VLOOKUP($B489,'[1]Plant data'!$A$1:$AB$315,16,0)</f>
        <v>NA</v>
      </c>
      <c r="AI489" t="str">
        <f>VLOOKUP($B489,'[1]Plant data'!$A$1:$AB$315,17,0)</f>
        <v>NA</v>
      </c>
      <c r="AJ489" t="str">
        <f>VLOOKUP($B489,'[1]Plant data'!$A$1:$AB$315,18,0)</f>
        <v>Kindel 1996</v>
      </c>
      <c r="AK489" t="str">
        <f>VLOOKUP($B489,'[1]Plant data'!$A$1:$AB$315,19,0)</f>
        <v>NA</v>
      </c>
      <c r="AL489" t="str">
        <f>VLOOKUP($B489,'[1]Plant data'!$A$1:$AB$315,20,0)</f>
        <v>NA</v>
      </c>
      <c r="AM489" t="str">
        <f>VLOOKUP($B489,'[1]Plant data'!$A$1:$AB$315,21,0)</f>
        <v>NA</v>
      </c>
      <c r="AN489" t="str">
        <f>VLOOKUP($B489,'[1]Plant data'!$A$1:$AB$315,22,0)</f>
        <v>NA</v>
      </c>
      <c r="AO489" t="str">
        <f>VLOOKUP($B489,'[1]Plant data'!$A$1:$AB$315,23,0)</f>
        <v>NA</v>
      </c>
      <c r="AP489" t="str">
        <f>VLOOKUP($B489,'[1]Plant data'!$A$1:$AB$315,24,0)</f>
        <v>NA</v>
      </c>
      <c r="AQ489" t="str">
        <f>VLOOKUP($B489,'[1]Plant data'!$A$1:$AB$315,25,0)</f>
        <v>NA</v>
      </c>
      <c r="AR489" t="str">
        <f>VLOOKUP($B489,'[1]Plant data'!$A$1:$AB$315,26,0)</f>
        <v>NA</v>
      </c>
      <c r="AS489" t="str">
        <f>VLOOKUP($B489,'[1]Plant data'!$A$1:$AB$315,27,0)</f>
        <v>NA</v>
      </c>
      <c r="AT489" t="str">
        <f>VLOOKUP($B489,'[1]Plant data'!$A$1:$AB$315,28,0)</f>
        <v>NA</v>
      </c>
    </row>
    <row r="490" spans="1:46">
      <c r="A490" s="5" t="s">
        <v>46</v>
      </c>
      <c r="B490" s="33" t="s">
        <v>117</v>
      </c>
      <c r="C490">
        <v>1</v>
      </c>
      <c r="D490" s="16">
        <v>24</v>
      </c>
      <c r="E490" s="8">
        <f>C490/24</f>
        <v>4.1666666666666664E-2</v>
      </c>
      <c r="F490">
        <v>1</v>
      </c>
      <c r="G490" s="9">
        <f>F490/C490</f>
        <v>1</v>
      </c>
      <c r="H490" s="9"/>
      <c r="I490" s="8">
        <f t="shared" ref="I490:I523" si="40">E490*G490</f>
        <v>4.1666666666666664E-2</v>
      </c>
      <c r="J490" s="25" t="s">
        <v>236</v>
      </c>
      <c r="K490" s="25" t="s">
        <v>237</v>
      </c>
      <c r="L490" t="s">
        <v>22</v>
      </c>
      <c r="M490" t="s">
        <v>47</v>
      </c>
      <c r="N490" s="11">
        <v>54</v>
      </c>
      <c r="O490" s="11">
        <v>11.14875</v>
      </c>
      <c r="P490" t="s">
        <v>48</v>
      </c>
      <c r="Q490" t="s">
        <v>49</v>
      </c>
      <c r="R490" t="s">
        <v>26</v>
      </c>
      <c r="S490" t="s">
        <v>31</v>
      </c>
      <c r="T490" t="str">
        <f>VLOOKUP(B490,'[1]Plant data'!$A$1:$AB$315,2,0)</f>
        <v>Symplocaceae</v>
      </c>
      <c r="U490" t="str">
        <f>VLOOKUP($B490,'[1]Plant data'!$A$1:$AB$315,3,0)</f>
        <v>NA</v>
      </c>
      <c r="V490" t="str">
        <f>VLOOKUP($B490,'[1]Plant data'!$A$1:$AB$315,4,0)</f>
        <v>black</v>
      </c>
      <c r="W490" t="str">
        <f>VLOOKUP($B490,'[1]Plant data'!$A$1:$AB$315,5,0)</f>
        <v>YES</v>
      </c>
      <c r="X490">
        <f>VLOOKUP($B490,'[1]Plant data'!$A$1:$AB$315,6,0)</f>
        <v>10.9</v>
      </c>
      <c r="Y490" t="str">
        <f>VLOOKUP($B490,'[1]Plant data'!$A$1:$AB$315,7,0)</f>
        <v>NA</v>
      </c>
      <c r="Z490" t="str">
        <f>VLOOKUP($B490,'[1]Plant data'!$A$1:$AB$315,8,0)</f>
        <v>NA</v>
      </c>
      <c r="AA490" t="str">
        <f>VLOOKUP($B490,'[1]Plant data'!$A$1:$AB$315,9,0)</f>
        <v>NA</v>
      </c>
      <c r="AB490" t="str">
        <f>VLOOKUP($B490,'[1]Plant data'!$A$1:$AB$315,10,0)</f>
        <v>NA</v>
      </c>
      <c r="AC490" t="str">
        <f>VLOOKUP($B490,'[1]Plant data'!$A$1:$AB$315,11,0)</f>
        <v>NA</v>
      </c>
      <c r="AD490" t="str">
        <f>VLOOKUP($B490,'[1]Plant data'!$A$1:$AB$315,12,0)</f>
        <v>NA</v>
      </c>
      <c r="AE490" t="str">
        <f>VLOOKUP($B490,'[1]Plant data'!$A$1:$AB$315,13,0)</f>
        <v>NA</v>
      </c>
      <c r="AF490" t="str">
        <f>VLOOKUP($B490,'[1]Plant data'!$A$1:$AB$315,14,0)</f>
        <v>NA</v>
      </c>
      <c r="AG490">
        <f>VLOOKUP($B490,'[1]Plant data'!$A$1:$AB$315,15,0)</f>
        <v>1</v>
      </c>
      <c r="AH490" t="str">
        <f>VLOOKUP($B490,'[1]Plant data'!$A$1:$AB$315,16,0)</f>
        <v>NA</v>
      </c>
      <c r="AI490" t="str">
        <f>VLOOKUP($B490,'[1]Plant data'!$A$1:$AB$315,17,0)</f>
        <v>NA</v>
      </c>
      <c r="AJ490" t="str">
        <f>VLOOKUP($B490,'[1]Plant data'!$A$1:$AB$315,18,0)</f>
        <v>Kindel 1996</v>
      </c>
      <c r="AK490" t="str">
        <f>VLOOKUP($B490,'[1]Plant data'!$A$1:$AB$315,19,0)</f>
        <v>NA</v>
      </c>
      <c r="AL490" t="str">
        <f>VLOOKUP($B490,'[1]Plant data'!$A$1:$AB$315,20,0)</f>
        <v>NA</v>
      </c>
      <c r="AM490" t="str">
        <f>VLOOKUP($B490,'[1]Plant data'!$A$1:$AB$315,21,0)</f>
        <v>NA</v>
      </c>
      <c r="AN490" t="str">
        <f>VLOOKUP($B490,'[1]Plant data'!$A$1:$AB$315,22,0)</f>
        <v>NA</v>
      </c>
      <c r="AO490" t="str">
        <f>VLOOKUP($B490,'[1]Plant data'!$A$1:$AB$315,23,0)</f>
        <v>NA</v>
      </c>
      <c r="AP490" t="str">
        <f>VLOOKUP($B490,'[1]Plant data'!$A$1:$AB$315,24,0)</f>
        <v>NA</v>
      </c>
      <c r="AQ490" t="str">
        <f>VLOOKUP($B490,'[1]Plant data'!$A$1:$AB$315,25,0)</f>
        <v>NA</v>
      </c>
      <c r="AR490" t="str">
        <f>VLOOKUP($B490,'[1]Plant data'!$A$1:$AB$315,26,0)</f>
        <v>NA</v>
      </c>
      <c r="AS490" t="str">
        <f>VLOOKUP($B490,'[1]Plant data'!$A$1:$AB$315,27,0)</f>
        <v>NA</v>
      </c>
      <c r="AT490" t="str">
        <f>VLOOKUP($B490,'[1]Plant data'!$A$1:$AB$315,28,0)</f>
        <v>NA</v>
      </c>
    </row>
    <row r="491" spans="1:46">
      <c r="A491" s="5" t="s">
        <v>50</v>
      </c>
      <c r="B491" s="32" t="s">
        <v>117</v>
      </c>
      <c r="C491">
        <v>3</v>
      </c>
      <c r="D491" s="16">
        <v>24</v>
      </c>
      <c r="E491" s="8">
        <f>C491/24</f>
        <v>0.125</v>
      </c>
      <c r="F491">
        <v>11</v>
      </c>
      <c r="G491" s="9">
        <f>F491/C491</f>
        <v>3.6666666666666665</v>
      </c>
      <c r="H491" s="9"/>
      <c r="I491" s="8">
        <f t="shared" si="40"/>
        <v>0.45833333333333331</v>
      </c>
      <c r="J491" s="25" t="s">
        <v>236</v>
      </c>
      <c r="K491" s="25" t="s">
        <v>237</v>
      </c>
      <c r="L491" t="s">
        <v>22</v>
      </c>
      <c r="M491" t="s">
        <v>47</v>
      </c>
      <c r="N491" s="11">
        <v>69.5</v>
      </c>
      <c r="O491" s="11">
        <v>13.253214290000001</v>
      </c>
      <c r="P491" t="s">
        <v>48</v>
      </c>
      <c r="Q491" t="s">
        <v>25</v>
      </c>
      <c r="R491" t="s">
        <v>26</v>
      </c>
      <c r="S491" t="s">
        <v>31</v>
      </c>
      <c r="T491" t="str">
        <f>VLOOKUP(B491,'[1]Plant data'!$A$1:$AB$315,2,0)</f>
        <v>Symplocaceae</v>
      </c>
      <c r="U491" t="str">
        <f>VLOOKUP($B491,'[1]Plant data'!$A$1:$AB$315,3,0)</f>
        <v>NA</v>
      </c>
      <c r="V491" t="str">
        <f>VLOOKUP($B491,'[1]Plant data'!$A$1:$AB$315,4,0)</f>
        <v>black</v>
      </c>
      <c r="W491" t="str">
        <f>VLOOKUP($B491,'[1]Plant data'!$A$1:$AB$315,5,0)</f>
        <v>YES</v>
      </c>
      <c r="X491">
        <f>VLOOKUP($B491,'[1]Plant data'!$A$1:$AB$315,6,0)</f>
        <v>10.9</v>
      </c>
      <c r="Y491" t="str">
        <f>VLOOKUP($B491,'[1]Plant data'!$A$1:$AB$315,7,0)</f>
        <v>NA</v>
      </c>
      <c r="Z491" t="str">
        <f>VLOOKUP($B491,'[1]Plant data'!$A$1:$AB$315,8,0)</f>
        <v>NA</v>
      </c>
      <c r="AA491" t="str">
        <f>VLOOKUP($B491,'[1]Plant data'!$A$1:$AB$315,9,0)</f>
        <v>NA</v>
      </c>
      <c r="AB491" t="str">
        <f>VLOOKUP($B491,'[1]Plant data'!$A$1:$AB$315,10,0)</f>
        <v>NA</v>
      </c>
      <c r="AC491" t="str">
        <f>VLOOKUP($B491,'[1]Plant data'!$A$1:$AB$315,11,0)</f>
        <v>NA</v>
      </c>
      <c r="AD491" t="str">
        <f>VLOOKUP($B491,'[1]Plant data'!$A$1:$AB$315,12,0)</f>
        <v>NA</v>
      </c>
      <c r="AE491" t="str">
        <f>VLOOKUP($B491,'[1]Plant data'!$A$1:$AB$315,13,0)</f>
        <v>NA</v>
      </c>
      <c r="AF491" t="str">
        <f>VLOOKUP($B491,'[1]Plant data'!$A$1:$AB$315,14,0)</f>
        <v>NA</v>
      </c>
      <c r="AG491">
        <f>VLOOKUP($B491,'[1]Plant data'!$A$1:$AB$315,15,0)</f>
        <v>1</v>
      </c>
      <c r="AH491" t="str">
        <f>VLOOKUP($B491,'[1]Plant data'!$A$1:$AB$315,16,0)</f>
        <v>NA</v>
      </c>
      <c r="AI491" t="str">
        <f>VLOOKUP($B491,'[1]Plant data'!$A$1:$AB$315,17,0)</f>
        <v>NA</v>
      </c>
      <c r="AJ491" t="str">
        <f>VLOOKUP($B491,'[1]Plant data'!$A$1:$AB$315,18,0)</f>
        <v>Kindel 1996</v>
      </c>
      <c r="AK491" t="str">
        <f>VLOOKUP($B491,'[1]Plant data'!$A$1:$AB$315,19,0)</f>
        <v>NA</v>
      </c>
      <c r="AL491" t="str">
        <f>VLOOKUP($B491,'[1]Plant data'!$A$1:$AB$315,20,0)</f>
        <v>NA</v>
      </c>
      <c r="AM491" t="str">
        <f>VLOOKUP($B491,'[1]Plant data'!$A$1:$AB$315,21,0)</f>
        <v>NA</v>
      </c>
      <c r="AN491" t="str">
        <f>VLOOKUP($B491,'[1]Plant data'!$A$1:$AB$315,22,0)</f>
        <v>NA</v>
      </c>
      <c r="AO491" t="str">
        <f>VLOOKUP($B491,'[1]Plant data'!$A$1:$AB$315,23,0)</f>
        <v>NA</v>
      </c>
      <c r="AP491" t="str">
        <f>VLOOKUP($B491,'[1]Plant data'!$A$1:$AB$315,24,0)</f>
        <v>NA</v>
      </c>
      <c r="AQ491" t="str">
        <f>VLOOKUP($B491,'[1]Plant data'!$A$1:$AB$315,25,0)</f>
        <v>NA</v>
      </c>
      <c r="AR491" t="str">
        <f>VLOOKUP($B491,'[1]Plant data'!$A$1:$AB$315,26,0)</f>
        <v>NA</v>
      </c>
      <c r="AS491" t="str">
        <f>VLOOKUP($B491,'[1]Plant data'!$A$1:$AB$315,27,0)</f>
        <v>NA</v>
      </c>
      <c r="AT491" t="str">
        <f>VLOOKUP($B491,'[1]Plant data'!$A$1:$AB$315,28,0)</f>
        <v>NA</v>
      </c>
    </row>
    <row r="492" spans="1:46">
      <c r="A492" s="5" t="s">
        <v>43</v>
      </c>
      <c r="B492" s="32" t="s">
        <v>89</v>
      </c>
      <c r="C492">
        <v>9</v>
      </c>
      <c r="D492" s="7">
        <v>10</v>
      </c>
      <c r="E492" s="8">
        <f>C492/10</f>
        <v>0.9</v>
      </c>
      <c r="F492">
        <v>14</v>
      </c>
      <c r="G492" s="9">
        <v>1</v>
      </c>
      <c r="H492" s="9"/>
      <c r="I492" s="8">
        <f t="shared" si="40"/>
        <v>0.9</v>
      </c>
      <c r="J492" t="s">
        <v>79</v>
      </c>
      <c r="K492" t="s">
        <v>80</v>
      </c>
      <c r="L492" t="s">
        <v>22</v>
      </c>
      <c r="M492" t="s">
        <v>30</v>
      </c>
      <c r="N492" s="11">
        <v>32.5</v>
      </c>
      <c r="O492" s="11">
        <v>8.9205555560000001</v>
      </c>
      <c r="P492" t="s">
        <v>24</v>
      </c>
      <c r="Q492" t="s">
        <v>25</v>
      </c>
      <c r="R492" t="s">
        <v>26</v>
      </c>
      <c r="S492" t="s">
        <v>31</v>
      </c>
      <c r="T492" t="str">
        <f>VLOOKUP(B492,'[1]Plant data'!$A$1:$AB$315,2,0)</f>
        <v>Myrtaceae</v>
      </c>
      <c r="U492" t="str">
        <f>VLOOKUP($B492,'[1]Plant data'!$A$1:$AB$315,3,0)</f>
        <v>Eugenia jumbolana</v>
      </c>
      <c r="V492" t="str">
        <f>VLOOKUP($B492,'[1]Plant data'!$A$1:$AB$315,4,0)</f>
        <v>black</v>
      </c>
      <c r="W492" t="str">
        <f>VLOOKUP($B492,'[1]Plant data'!$A$1:$AB$315,5,0)</f>
        <v>YES</v>
      </c>
      <c r="X492" t="str">
        <f>VLOOKUP($B492,'[1]Plant data'!$A$1:$AB$315,6,0)</f>
        <v>NA</v>
      </c>
      <c r="Y492">
        <f>VLOOKUP($B492,'[1]Plant data'!$A$1:$AB$315,7,0)</f>
        <v>22.3</v>
      </c>
      <c r="Z492">
        <f>VLOOKUP($B492,'[1]Plant data'!$A$1:$AB$315,8,0)</f>
        <v>9.3800000000000008</v>
      </c>
      <c r="AA492">
        <f>VLOOKUP($B492,'[1]Plant data'!$A$1:$AB$315,9,0)</f>
        <v>14.5</v>
      </c>
      <c r="AB492">
        <f>VLOOKUP($B492,'[1]Plant data'!$A$1:$AB$315,10,0)</f>
        <v>2.6</v>
      </c>
      <c r="AC492" t="str">
        <f>VLOOKUP($B492,'[1]Plant data'!$A$1:$AB$315,11,0)</f>
        <v>NA</v>
      </c>
      <c r="AD492" t="str">
        <f>VLOOKUP($B492,'[1]Plant data'!$A$1:$AB$315,12,0)</f>
        <v>NA</v>
      </c>
      <c r="AE492" t="str">
        <f>VLOOKUP($B492,'[1]Plant data'!$A$1:$AB$315,13,0)</f>
        <v>NA</v>
      </c>
      <c r="AF492" t="str">
        <f>VLOOKUP($B492,'[1]Plant data'!$A$1:$AB$315,14,0)</f>
        <v>NA</v>
      </c>
      <c r="AG492" t="str">
        <f>VLOOKUP($B492,'[1]Plant data'!$A$1:$AB$315,15,0)</f>
        <v>NA</v>
      </c>
      <c r="AH492" t="str">
        <f>VLOOKUP($B492,'[1]Plant data'!$A$1:$AB$315,16,0)</f>
        <v>NA</v>
      </c>
      <c r="AI492" t="str">
        <f>VLOOKUP($B492,'[1]Plant data'!$A$1:$AB$315,17,0)</f>
        <v>NA</v>
      </c>
      <c r="AJ492" t="str">
        <f>VLOOKUP($B492,'[1]Plant data'!$A$1:$AB$315,18,0)</f>
        <v>ATLANTIC, Castro 2001, Donatti 2011, Athie &amp; Dias 2012</v>
      </c>
      <c r="AK492" t="str">
        <f>VLOOKUP($B492,'[1]Plant data'!$A$1:$AB$315,19,0)</f>
        <v>NA</v>
      </c>
      <c r="AL492" t="str">
        <f>VLOOKUP($B492,'[1]Plant data'!$A$1:$AB$315,20,0)</f>
        <v>NA</v>
      </c>
      <c r="AM492" t="str">
        <f>VLOOKUP($B492,'[1]Plant data'!$A$1:$AB$315,21,0)</f>
        <v>NA</v>
      </c>
      <c r="AN492" t="str">
        <f>VLOOKUP($B492,'[1]Plant data'!$A$1:$AB$315,22,0)</f>
        <v>NA</v>
      </c>
      <c r="AO492" t="str">
        <f>VLOOKUP($B492,'[1]Plant data'!$A$1:$AB$315,23,0)</f>
        <v>NA</v>
      </c>
      <c r="AP492" t="str">
        <f>VLOOKUP($B492,'[1]Plant data'!$A$1:$AB$315,24,0)</f>
        <v>NA</v>
      </c>
      <c r="AQ492" t="str">
        <f>VLOOKUP($B492,'[1]Plant data'!$A$1:$AB$315,25,0)</f>
        <v>NA</v>
      </c>
      <c r="AR492" t="str">
        <f>VLOOKUP($B492,'[1]Plant data'!$A$1:$AB$315,26,0)</f>
        <v>NA</v>
      </c>
      <c r="AS492" t="str">
        <f>VLOOKUP($B492,'[1]Plant data'!$A$1:$AB$315,27,0)</f>
        <v>NA</v>
      </c>
      <c r="AT492" t="str">
        <f>VLOOKUP($B492,'[1]Plant data'!$A$1:$AB$315,28,0)</f>
        <v>NA</v>
      </c>
    </row>
    <row r="493" spans="1:46">
      <c r="A493" s="18" t="s">
        <v>28</v>
      </c>
      <c r="B493" s="32" t="s">
        <v>61</v>
      </c>
      <c r="C493" s="7">
        <v>1</v>
      </c>
      <c r="D493" s="7">
        <v>254</v>
      </c>
      <c r="E493" s="8">
        <f t="shared" ref="E493:E499" si="41">C493/D493</f>
        <v>3.937007874015748E-3</v>
      </c>
      <c r="F493" s="16" t="s">
        <v>19</v>
      </c>
      <c r="G493" s="41">
        <v>1.5972222222222223</v>
      </c>
      <c r="H493" s="41"/>
      <c r="I493" s="8">
        <f t="shared" si="40"/>
        <v>6.2882764654418203E-3</v>
      </c>
      <c r="J493" t="s">
        <v>52</v>
      </c>
      <c r="K493" t="s">
        <v>53</v>
      </c>
      <c r="L493" t="s">
        <v>22</v>
      </c>
      <c r="M493" t="s">
        <v>30</v>
      </c>
      <c r="N493" s="11">
        <v>18</v>
      </c>
      <c r="O493" s="11">
        <v>7.4188405800000004</v>
      </c>
      <c r="P493" t="s">
        <v>24</v>
      </c>
      <c r="Q493" s="13" t="s">
        <v>25</v>
      </c>
      <c r="R493" s="13" t="s">
        <v>26</v>
      </c>
      <c r="S493" s="13" t="s">
        <v>31</v>
      </c>
      <c r="T493" t="str">
        <f>VLOOKUP(B493,'[1]Plant data'!$A$1:$AB$315,2,0)</f>
        <v>Anacardiaceae</v>
      </c>
      <c r="U493" t="str">
        <f>VLOOKUP($B493,'[1]Plant data'!$A$1:$AB$315,3,0)</f>
        <v>NA</v>
      </c>
      <c r="V493" t="str">
        <f>VLOOKUP($B493,'[1]Plant data'!$A$1:$AB$315,4,0)</f>
        <v>black</v>
      </c>
      <c r="W493" t="str">
        <f>VLOOKUP($B493,'[1]Plant data'!$A$1:$AB$315,5,0)</f>
        <v>YES</v>
      </c>
      <c r="X493">
        <f>VLOOKUP($B493,'[1]Plant data'!$A$1:$AB$315,6,0)</f>
        <v>10.474</v>
      </c>
      <c r="Y493">
        <f>VLOOKUP($B493,'[1]Plant data'!$A$1:$AB$315,7,0)</f>
        <v>14.028</v>
      </c>
      <c r="Z493">
        <f>VLOOKUP($B493,'[1]Plant data'!$A$1:$AB$315,8,0)</f>
        <v>9.1466666666666665</v>
      </c>
      <c r="AA493">
        <f>VLOOKUP($B493,'[1]Plant data'!$A$1:$AB$315,9,0)</f>
        <v>11.63</v>
      </c>
      <c r="AB493">
        <f>VLOOKUP($B493,'[1]Plant data'!$A$1:$AB$315,10,0)</f>
        <v>0.74192499999999995</v>
      </c>
      <c r="AC493">
        <f>VLOOKUP($B493,'[1]Plant data'!$A$1:$AB$315,11,0)</f>
        <v>0.59</v>
      </c>
      <c r="AD493">
        <f>VLOOKUP($B493,'[1]Plant data'!$A$1:$AB$315,12,0)</f>
        <v>0.2601</v>
      </c>
      <c r="AE493">
        <f>VLOOKUP($B493,'[1]Plant data'!$A$1:$AB$315,13,0)</f>
        <v>0.56875000000000009</v>
      </c>
      <c r="AF493">
        <f>VLOOKUP($B493,'[1]Plant data'!$A$1:$AB$315,14,0)</f>
        <v>0.22020000000000001</v>
      </c>
      <c r="AG493">
        <f>VLOOKUP($B493,'[1]Plant data'!$A$1:$AB$315,15,0)</f>
        <v>1</v>
      </c>
      <c r="AH493" t="str">
        <f>VLOOKUP($B493,'[1]Plant data'!$A$1:$AB$315,16,0)</f>
        <v>NA</v>
      </c>
      <c r="AI493">
        <f>VLOOKUP($B493,'[1]Plant data'!$A$1:$AB$315,17,0)</f>
        <v>2.5043596730245232</v>
      </c>
      <c r="AJ493" t="str">
        <f>VLOOKUP($B493,'[1]Plant data'!$A$1:$AB$315,18,0)</f>
        <v>Santana et al. 2013, ATLANTIC, Cazetta 2007, Erica&amp;Wesley, FRUBASE, Gondim 2002</v>
      </c>
      <c r="AK493">
        <f>VLOOKUP($B493,'[1]Plant data'!$A$1:$AB$315,19,0)</f>
        <v>0.79535</v>
      </c>
      <c r="AL493">
        <f>VLOOKUP($B493,'[1]Plant data'!$A$1:$AB$315,20,0)</f>
        <v>7.5081210121013958E-2</v>
      </c>
      <c r="AM493">
        <f>VLOOKUP($B493,'[1]Plant data'!$A$1:$AB$315,21,0)</f>
        <v>4.8041E-2</v>
      </c>
      <c r="AN493">
        <f>VLOOKUP($B493,'[1]Plant data'!$A$1:$AB$315,22,0)</f>
        <v>5.3345778338190118E-2</v>
      </c>
      <c r="AO493">
        <f>VLOOKUP($B493,'[1]Plant data'!$A$1:$AB$315,23,0)</f>
        <v>0.11043249918861621</v>
      </c>
      <c r="AP493">
        <f>VLOOKUP($B493,'[1]Plant data'!$A$1:$AB$315,24,0)</f>
        <v>0.88</v>
      </c>
      <c r="AQ493" t="str">
        <f>VLOOKUP($B493,'[1]Plant data'!$A$1:$AB$315,25,0)</f>
        <v>NA</v>
      </c>
      <c r="AR493" t="str">
        <f>VLOOKUP($B493,'[1]Plant data'!$A$1:$AB$315,26,0)</f>
        <v>NA</v>
      </c>
      <c r="AS493" t="str">
        <f>VLOOKUP($B493,'[1]Plant data'!$A$1:$AB$315,27,0)</f>
        <v>NA</v>
      </c>
      <c r="AT493" t="str">
        <f>VLOOKUP($B493,'[1]Plant data'!$A$1:$AB$315,28,0)</f>
        <v>Santana et al. 2013, Erica &amp; Wesley, unpubl., Cazetta 2007, Gomes et al. 2010, FRUBASE</v>
      </c>
    </row>
    <row r="494" spans="1:46">
      <c r="A494" s="5" t="s">
        <v>41</v>
      </c>
      <c r="B494" s="32" t="s">
        <v>61</v>
      </c>
      <c r="C494">
        <v>3</v>
      </c>
      <c r="D494">
        <v>254</v>
      </c>
      <c r="E494" s="8">
        <f t="shared" si="41"/>
        <v>1.1811023622047244E-2</v>
      </c>
      <c r="F494" s="16" t="s">
        <v>19</v>
      </c>
      <c r="G494" s="41">
        <v>2.3777408637873751</v>
      </c>
      <c r="H494" s="41"/>
      <c r="I494" s="8">
        <f t="shared" si="40"/>
        <v>2.8083553509299707E-2</v>
      </c>
      <c r="J494" t="s">
        <v>52</v>
      </c>
      <c r="K494" t="s">
        <v>53</v>
      </c>
      <c r="L494" t="s">
        <v>22</v>
      </c>
      <c r="M494" t="s">
        <v>30</v>
      </c>
      <c r="N494" s="11">
        <v>39</v>
      </c>
      <c r="O494" s="11">
        <v>8.2839869279999991</v>
      </c>
      <c r="P494" t="s">
        <v>24</v>
      </c>
      <c r="Q494" t="s">
        <v>25</v>
      </c>
      <c r="R494" t="s">
        <v>26</v>
      </c>
      <c r="S494" t="s">
        <v>31</v>
      </c>
      <c r="T494" t="str">
        <f>VLOOKUP(B494,'[1]Plant data'!$A$1:$AB$315,2,0)</f>
        <v>Anacardiaceae</v>
      </c>
      <c r="U494" t="str">
        <f>VLOOKUP($B494,'[1]Plant data'!$A$1:$AB$315,3,0)</f>
        <v>NA</v>
      </c>
      <c r="V494" t="str">
        <f>VLOOKUP($B494,'[1]Plant data'!$A$1:$AB$315,4,0)</f>
        <v>black</v>
      </c>
      <c r="W494" t="str">
        <f>VLOOKUP($B494,'[1]Plant data'!$A$1:$AB$315,5,0)</f>
        <v>YES</v>
      </c>
      <c r="X494">
        <f>VLOOKUP($B494,'[1]Plant data'!$A$1:$AB$315,6,0)</f>
        <v>10.474</v>
      </c>
      <c r="Y494">
        <f>VLOOKUP($B494,'[1]Plant data'!$A$1:$AB$315,7,0)</f>
        <v>14.028</v>
      </c>
      <c r="Z494">
        <f>VLOOKUP($B494,'[1]Plant data'!$A$1:$AB$315,8,0)</f>
        <v>9.1466666666666665</v>
      </c>
      <c r="AA494">
        <f>VLOOKUP($B494,'[1]Plant data'!$A$1:$AB$315,9,0)</f>
        <v>11.63</v>
      </c>
      <c r="AB494">
        <f>VLOOKUP($B494,'[1]Plant data'!$A$1:$AB$315,10,0)</f>
        <v>0.74192499999999995</v>
      </c>
      <c r="AC494">
        <f>VLOOKUP($B494,'[1]Plant data'!$A$1:$AB$315,11,0)</f>
        <v>0.59</v>
      </c>
      <c r="AD494">
        <f>VLOOKUP($B494,'[1]Plant data'!$A$1:$AB$315,12,0)</f>
        <v>0.2601</v>
      </c>
      <c r="AE494">
        <f>VLOOKUP($B494,'[1]Plant data'!$A$1:$AB$315,13,0)</f>
        <v>0.56875000000000009</v>
      </c>
      <c r="AF494">
        <f>VLOOKUP($B494,'[1]Plant data'!$A$1:$AB$315,14,0)</f>
        <v>0.22020000000000001</v>
      </c>
      <c r="AG494">
        <f>VLOOKUP($B494,'[1]Plant data'!$A$1:$AB$315,15,0)</f>
        <v>1</v>
      </c>
      <c r="AH494" t="str">
        <f>VLOOKUP($B494,'[1]Plant data'!$A$1:$AB$315,16,0)</f>
        <v>NA</v>
      </c>
      <c r="AI494">
        <f>VLOOKUP($B494,'[1]Plant data'!$A$1:$AB$315,17,0)</f>
        <v>2.5043596730245232</v>
      </c>
      <c r="AJ494" t="str">
        <f>VLOOKUP($B494,'[1]Plant data'!$A$1:$AB$315,18,0)</f>
        <v>Santana et al. 2013, ATLANTIC, Cazetta 2007, Erica&amp;Wesley, FRUBASE, Gondim 2002</v>
      </c>
      <c r="AK494">
        <f>VLOOKUP($B494,'[1]Plant data'!$A$1:$AB$315,19,0)</f>
        <v>0.79535</v>
      </c>
      <c r="AL494">
        <f>VLOOKUP($B494,'[1]Plant data'!$A$1:$AB$315,20,0)</f>
        <v>7.5081210121013958E-2</v>
      </c>
      <c r="AM494">
        <f>VLOOKUP($B494,'[1]Plant data'!$A$1:$AB$315,21,0)</f>
        <v>4.8041E-2</v>
      </c>
      <c r="AN494">
        <f>VLOOKUP($B494,'[1]Plant data'!$A$1:$AB$315,22,0)</f>
        <v>5.3345778338190118E-2</v>
      </c>
      <c r="AO494">
        <f>VLOOKUP($B494,'[1]Plant data'!$A$1:$AB$315,23,0)</f>
        <v>0.11043249918861621</v>
      </c>
      <c r="AP494">
        <f>VLOOKUP($B494,'[1]Plant data'!$A$1:$AB$315,24,0)</f>
        <v>0.88</v>
      </c>
      <c r="AQ494" t="str">
        <f>VLOOKUP($B494,'[1]Plant data'!$A$1:$AB$315,25,0)</f>
        <v>NA</v>
      </c>
      <c r="AR494" t="str">
        <f>VLOOKUP($B494,'[1]Plant data'!$A$1:$AB$315,26,0)</f>
        <v>NA</v>
      </c>
      <c r="AS494" t="str">
        <f>VLOOKUP($B494,'[1]Plant data'!$A$1:$AB$315,27,0)</f>
        <v>NA</v>
      </c>
      <c r="AT494" t="str">
        <f>VLOOKUP($B494,'[1]Plant data'!$A$1:$AB$315,28,0)</f>
        <v>Santana et al. 2013, Erica &amp; Wesley, unpubl., Cazetta 2007, Gomes et al. 2010, FRUBASE</v>
      </c>
    </row>
    <row r="495" spans="1:46">
      <c r="A495" s="18" t="s">
        <v>65</v>
      </c>
      <c r="B495" s="33" t="s">
        <v>61</v>
      </c>
      <c r="C495" s="7">
        <v>8</v>
      </c>
      <c r="D495" s="25">
        <v>56</v>
      </c>
      <c r="E495" s="26">
        <f t="shared" si="41"/>
        <v>0.14285714285714285</v>
      </c>
      <c r="F495">
        <v>23</v>
      </c>
      <c r="G495" s="27">
        <f>F495/C495</f>
        <v>2.875</v>
      </c>
      <c r="H495" s="27"/>
      <c r="I495" s="8">
        <f t="shared" si="40"/>
        <v>0.4107142857142857</v>
      </c>
      <c r="J495" t="s">
        <v>177</v>
      </c>
      <c r="K495" t="s">
        <v>178</v>
      </c>
      <c r="L495" t="s">
        <v>22</v>
      </c>
      <c r="M495" t="s">
        <v>23</v>
      </c>
      <c r="N495" s="11">
        <v>11</v>
      </c>
      <c r="O495" s="11">
        <v>6.1466666669999999</v>
      </c>
      <c r="P495" t="s">
        <v>24</v>
      </c>
      <c r="Q495" t="s">
        <v>25</v>
      </c>
      <c r="R495" t="s">
        <v>26</v>
      </c>
      <c r="S495" s="13" t="s">
        <v>31</v>
      </c>
      <c r="T495" t="str">
        <f>VLOOKUP(B495,'[1]Plant data'!$A$1:$AB$315,2,0)</f>
        <v>Anacardiaceae</v>
      </c>
      <c r="U495" t="str">
        <f>VLOOKUP($B495,'[1]Plant data'!$A$1:$AB$315,3,0)</f>
        <v>NA</v>
      </c>
      <c r="V495" t="str">
        <f>VLOOKUP($B495,'[1]Plant data'!$A$1:$AB$315,4,0)</f>
        <v>black</v>
      </c>
      <c r="W495" t="str">
        <f>VLOOKUP($B495,'[1]Plant data'!$A$1:$AB$315,5,0)</f>
        <v>YES</v>
      </c>
      <c r="X495">
        <f>VLOOKUP($B495,'[1]Plant data'!$A$1:$AB$315,6,0)</f>
        <v>10.474</v>
      </c>
      <c r="Y495">
        <f>VLOOKUP($B495,'[1]Plant data'!$A$1:$AB$315,7,0)</f>
        <v>14.028</v>
      </c>
      <c r="Z495">
        <f>VLOOKUP($B495,'[1]Plant data'!$A$1:$AB$315,8,0)</f>
        <v>9.1466666666666665</v>
      </c>
      <c r="AA495">
        <f>VLOOKUP($B495,'[1]Plant data'!$A$1:$AB$315,9,0)</f>
        <v>11.63</v>
      </c>
      <c r="AB495">
        <f>VLOOKUP($B495,'[1]Plant data'!$A$1:$AB$315,10,0)</f>
        <v>0.74192499999999995</v>
      </c>
      <c r="AC495">
        <f>VLOOKUP($B495,'[1]Plant data'!$A$1:$AB$315,11,0)</f>
        <v>0.59</v>
      </c>
      <c r="AD495">
        <f>VLOOKUP($B495,'[1]Plant data'!$A$1:$AB$315,12,0)</f>
        <v>0.2601</v>
      </c>
      <c r="AE495">
        <f>VLOOKUP($B495,'[1]Plant data'!$A$1:$AB$315,13,0)</f>
        <v>0.56875000000000009</v>
      </c>
      <c r="AF495">
        <f>VLOOKUP($B495,'[1]Plant data'!$A$1:$AB$315,14,0)</f>
        <v>0.22020000000000001</v>
      </c>
      <c r="AG495">
        <f>VLOOKUP($B495,'[1]Plant data'!$A$1:$AB$315,15,0)</f>
        <v>1</v>
      </c>
      <c r="AH495" t="str">
        <f>VLOOKUP($B495,'[1]Plant data'!$A$1:$AB$315,16,0)</f>
        <v>NA</v>
      </c>
      <c r="AI495">
        <f>VLOOKUP($B495,'[1]Plant data'!$A$1:$AB$315,17,0)</f>
        <v>2.5043596730245232</v>
      </c>
      <c r="AJ495" t="str">
        <f>VLOOKUP($B495,'[1]Plant data'!$A$1:$AB$315,18,0)</f>
        <v>Santana et al. 2013, ATLANTIC, Cazetta 2007, Erica&amp;Wesley, FRUBASE, Gondim 2002</v>
      </c>
      <c r="AK495">
        <f>VLOOKUP($B495,'[1]Plant data'!$A$1:$AB$315,19,0)</f>
        <v>0.79535</v>
      </c>
      <c r="AL495">
        <f>VLOOKUP($B495,'[1]Plant data'!$A$1:$AB$315,20,0)</f>
        <v>7.5081210121013958E-2</v>
      </c>
      <c r="AM495">
        <f>VLOOKUP($B495,'[1]Plant data'!$A$1:$AB$315,21,0)</f>
        <v>4.8041E-2</v>
      </c>
      <c r="AN495">
        <f>VLOOKUP($B495,'[1]Plant data'!$A$1:$AB$315,22,0)</f>
        <v>5.3345778338190118E-2</v>
      </c>
      <c r="AO495">
        <f>VLOOKUP($B495,'[1]Plant data'!$A$1:$AB$315,23,0)</f>
        <v>0.11043249918861621</v>
      </c>
      <c r="AP495">
        <f>VLOOKUP($B495,'[1]Plant data'!$A$1:$AB$315,24,0)</f>
        <v>0.88</v>
      </c>
      <c r="AQ495" t="str">
        <f>VLOOKUP($B495,'[1]Plant data'!$A$1:$AB$315,25,0)</f>
        <v>NA</v>
      </c>
      <c r="AR495" t="str">
        <f>VLOOKUP($B495,'[1]Plant data'!$A$1:$AB$315,26,0)</f>
        <v>NA</v>
      </c>
      <c r="AS495" t="str">
        <f>VLOOKUP($B495,'[1]Plant data'!$A$1:$AB$315,27,0)</f>
        <v>NA</v>
      </c>
      <c r="AT495" t="str">
        <f>VLOOKUP($B495,'[1]Plant data'!$A$1:$AB$315,28,0)</f>
        <v>Santana et al. 2013, Erica &amp; Wesley, unpubl., Cazetta 2007, Gomes et al. 2010, FRUBASE</v>
      </c>
    </row>
    <row r="496" spans="1:46">
      <c r="A496" s="5" t="s">
        <v>70</v>
      </c>
      <c r="B496" s="33" t="s">
        <v>61</v>
      </c>
      <c r="C496" s="7">
        <v>5</v>
      </c>
      <c r="D496" s="25">
        <v>56</v>
      </c>
      <c r="E496" s="26">
        <f t="shared" si="41"/>
        <v>8.9285714285714288E-2</v>
      </c>
      <c r="F496">
        <v>11</v>
      </c>
      <c r="G496" s="27">
        <f>F496/C496</f>
        <v>2.2000000000000002</v>
      </c>
      <c r="H496" s="27"/>
      <c r="I496" s="8">
        <f t="shared" si="40"/>
        <v>0.19642857142857145</v>
      </c>
      <c r="J496" t="s">
        <v>177</v>
      </c>
      <c r="K496" t="s">
        <v>178</v>
      </c>
      <c r="L496" t="s">
        <v>22</v>
      </c>
      <c r="M496" t="s">
        <v>23</v>
      </c>
      <c r="N496" s="11">
        <v>15</v>
      </c>
      <c r="O496" s="11">
        <v>6.9235714289999999</v>
      </c>
      <c r="P496" t="s">
        <v>24</v>
      </c>
      <c r="Q496" t="s">
        <v>25</v>
      </c>
      <c r="R496" t="s">
        <v>26</v>
      </c>
      <c r="S496" t="s">
        <v>27</v>
      </c>
      <c r="T496" t="str">
        <f>VLOOKUP(B496,'[1]Plant data'!$A$1:$AB$315,2,0)</f>
        <v>Anacardiaceae</v>
      </c>
      <c r="U496" t="str">
        <f>VLOOKUP($B496,'[1]Plant data'!$A$1:$AB$315,3,0)</f>
        <v>NA</v>
      </c>
      <c r="V496" t="str">
        <f>VLOOKUP($B496,'[1]Plant data'!$A$1:$AB$315,4,0)</f>
        <v>black</v>
      </c>
      <c r="W496" t="str">
        <f>VLOOKUP($B496,'[1]Plant data'!$A$1:$AB$315,5,0)</f>
        <v>YES</v>
      </c>
      <c r="X496">
        <f>VLOOKUP($B496,'[1]Plant data'!$A$1:$AB$315,6,0)</f>
        <v>10.474</v>
      </c>
      <c r="Y496">
        <f>VLOOKUP($B496,'[1]Plant data'!$A$1:$AB$315,7,0)</f>
        <v>14.028</v>
      </c>
      <c r="Z496">
        <f>VLOOKUP($B496,'[1]Plant data'!$A$1:$AB$315,8,0)</f>
        <v>9.1466666666666665</v>
      </c>
      <c r="AA496">
        <f>VLOOKUP($B496,'[1]Plant data'!$A$1:$AB$315,9,0)</f>
        <v>11.63</v>
      </c>
      <c r="AB496">
        <f>VLOOKUP($B496,'[1]Plant data'!$A$1:$AB$315,10,0)</f>
        <v>0.74192499999999995</v>
      </c>
      <c r="AC496">
        <f>VLOOKUP($B496,'[1]Plant data'!$A$1:$AB$315,11,0)</f>
        <v>0.59</v>
      </c>
      <c r="AD496">
        <f>VLOOKUP($B496,'[1]Plant data'!$A$1:$AB$315,12,0)</f>
        <v>0.2601</v>
      </c>
      <c r="AE496">
        <f>VLOOKUP($B496,'[1]Plant data'!$A$1:$AB$315,13,0)</f>
        <v>0.56875000000000009</v>
      </c>
      <c r="AF496">
        <f>VLOOKUP($B496,'[1]Plant data'!$A$1:$AB$315,14,0)</f>
        <v>0.22020000000000001</v>
      </c>
      <c r="AG496">
        <f>VLOOKUP($B496,'[1]Plant data'!$A$1:$AB$315,15,0)</f>
        <v>1</v>
      </c>
      <c r="AH496" t="str">
        <f>VLOOKUP($B496,'[1]Plant data'!$A$1:$AB$315,16,0)</f>
        <v>NA</v>
      </c>
      <c r="AI496">
        <f>VLOOKUP($B496,'[1]Plant data'!$A$1:$AB$315,17,0)</f>
        <v>2.5043596730245232</v>
      </c>
      <c r="AJ496" t="str">
        <f>VLOOKUP($B496,'[1]Plant data'!$A$1:$AB$315,18,0)</f>
        <v>Santana et al. 2013, ATLANTIC, Cazetta 2007, Erica&amp;Wesley, FRUBASE, Gondim 2002</v>
      </c>
      <c r="AK496">
        <f>VLOOKUP($B496,'[1]Plant data'!$A$1:$AB$315,19,0)</f>
        <v>0.79535</v>
      </c>
      <c r="AL496">
        <f>VLOOKUP($B496,'[1]Plant data'!$A$1:$AB$315,20,0)</f>
        <v>7.5081210121013958E-2</v>
      </c>
      <c r="AM496">
        <f>VLOOKUP($B496,'[1]Plant data'!$A$1:$AB$315,21,0)</f>
        <v>4.8041E-2</v>
      </c>
      <c r="AN496">
        <f>VLOOKUP($B496,'[1]Plant data'!$A$1:$AB$315,22,0)</f>
        <v>5.3345778338190118E-2</v>
      </c>
      <c r="AO496">
        <f>VLOOKUP($B496,'[1]Plant data'!$A$1:$AB$315,23,0)</f>
        <v>0.11043249918861621</v>
      </c>
      <c r="AP496">
        <f>VLOOKUP($B496,'[1]Plant data'!$A$1:$AB$315,24,0)</f>
        <v>0.88</v>
      </c>
      <c r="AQ496" t="str">
        <f>VLOOKUP($B496,'[1]Plant data'!$A$1:$AB$315,25,0)</f>
        <v>NA</v>
      </c>
      <c r="AR496" t="str">
        <f>VLOOKUP($B496,'[1]Plant data'!$A$1:$AB$315,26,0)</f>
        <v>NA</v>
      </c>
      <c r="AS496" t="str">
        <f>VLOOKUP($B496,'[1]Plant data'!$A$1:$AB$315,27,0)</f>
        <v>NA</v>
      </c>
      <c r="AT496" t="str">
        <f>VLOOKUP($B496,'[1]Plant data'!$A$1:$AB$315,28,0)</f>
        <v>Santana et al. 2013, Erica &amp; Wesley, unpubl., Cazetta 2007, Gomes et al. 2010, FRUBASE</v>
      </c>
    </row>
    <row r="497" spans="1:46">
      <c r="A497" s="18" t="s">
        <v>28</v>
      </c>
      <c r="B497" s="33" t="s">
        <v>61</v>
      </c>
      <c r="C497" s="7">
        <v>72</v>
      </c>
      <c r="D497" s="25">
        <v>56</v>
      </c>
      <c r="E497" s="26">
        <f t="shared" si="41"/>
        <v>1.2857142857142858</v>
      </c>
      <c r="F497">
        <v>115</v>
      </c>
      <c r="G497" s="27">
        <f>F497/C497</f>
        <v>1.5972222222222223</v>
      </c>
      <c r="H497" s="27"/>
      <c r="I497" s="8">
        <f t="shared" si="40"/>
        <v>2.0535714285714288</v>
      </c>
      <c r="J497" t="s">
        <v>177</v>
      </c>
      <c r="K497" t="s">
        <v>178</v>
      </c>
      <c r="L497" t="s">
        <v>22</v>
      </c>
      <c r="M497" t="s">
        <v>30</v>
      </c>
      <c r="N497" s="11">
        <v>18</v>
      </c>
      <c r="O497" s="11">
        <v>7.4188405800000004</v>
      </c>
      <c r="P497" t="s">
        <v>24</v>
      </c>
      <c r="Q497" s="13" t="s">
        <v>25</v>
      </c>
      <c r="R497" s="13" t="s">
        <v>26</v>
      </c>
      <c r="S497" s="13" t="s">
        <v>31</v>
      </c>
      <c r="T497" t="str">
        <f>VLOOKUP(B497,'[1]Plant data'!$A$1:$AB$315,2,0)</f>
        <v>Anacardiaceae</v>
      </c>
      <c r="U497" t="str">
        <f>VLOOKUP($B497,'[1]Plant data'!$A$1:$AB$315,3,0)</f>
        <v>NA</v>
      </c>
      <c r="V497" t="str">
        <f>VLOOKUP($B497,'[1]Plant data'!$A$1:$AB$315,4,0)</f>
        <v>black</v>
      </c>
      <c r="W497" t="str">
        <f>VLOOKUP($B497,'[1]Plant data'!$A$1:$AB$315,5,0)</f>
        <v>YES</v>
      </c>
      <c r="X497">
        <f>VLOOKUP($B497,'[1]Plant data'!$A$1:$AB$315,6,0)</f>
        <v>10.474</v>
      </c>
      <c r="Y497">
        <f>VLOOKUP($B497,'[1]Plant data'!$A$1:$AB$315,7,0)</f>
        <v>14.028</v>
      </c>
      <c r="Z497">
        <f>VLOOKUP($B497,'[1]Plant data'!$A$1:$AB$315,8,0)</f>
        <v>9.1466666666666665</v>
      </c>
      <c r="AA497">
        <f>VLOOKUP($B497,'[1]Plant data'!$A$1:$AB$315,9,0)</f>
        <v>11.63</v>
      </c>
      <c r="AB497">
        <f>VLOOKUP($B497,'[1]Plant data'!$A$1:$AB$315,10,0)</f>
        <v>0.74192499999999995</v>
      </c>
      <c r="AC497">
        <f>VLOOKUP($B497,'[1]Plant data'!$A$1:$AB$315,11,0)</f>
        <v>0.59</v>
      </c>
      <c r="AD497">
        <f>VLOOKUP($B497,'[1]Plant data'!$A$1:$AB$315,12,0)</f>
        <v>0.2601</v>
      </c>
      <c r="AE497">
        <f>VLOOKUP($B497,'[1]Plant data'!$A$1:$AB$315,13,0)</f>
        <v>0.56875000000000009</v>
      </c>
      <c r="AF497">
        <f>VLOOKUP($B497,'[1]Plant data'!$A$1:$AB$315,14,0)</f>
        <v>0.22020000000000001</v>
      </c>
      <c r="AG497">
        <f>VLOOKUP($B497,'[1]Plant data'!$A$1:$AB$315,15,0)</f>
        <v>1</v>
      </c>
      <c r="AH497" t="str">
        <f>VLOOKUP($B497,'[1]Plant data'!$A$1:$AB$315,16,0)</f>
        <v>NA</v>
      </c>
      <c r="AI497">
        <f>VLOOKUP($B497,'[1]Plant data'!$A$1:$AB$315,17,0)</f>
        <v>2.5043596730245232</v>
      </c>
      <c r="AJ497" t="str">
        <f>VLOOKUP($B497,'[1]Plant data'!$A$1:$AB$315,18,0)</f>
        <v>Santana et al. 2013, ATLANTIC, Cazetta 2007, Erica&amp;Wesley, FRUBASE, Gondim 2002</v>
      </c>
      <c r="AK497">
        <f>VLOOKUP($B497,'[1]Plant data'!$A$1:$AB$315,19,0)</f>
        <v>0.79535</v>
      </c>
      <c r="AL497">
        <f>VLOOKUP($B497,'[1]Plant data'!$A$1:$AB$315,20,0)</f>
        <v>7.5081210121013958E-2</v>
      </c>
      <c r="AM497">
        <f>VLOOKUP($B497,'[1]Plant data'!$A$1:$AB$315,21,0)</f>
        <v>4.8041E-2</v>
      </c>
      <c r="AN497">
        <f>VLOOKUP($B497,'[1]Plant data'!$A$1:$AB$315,22,0)</f>
        <v>5.3345778338190118E-2</v>
      </c>
      <c r="AO497">
        <f>VLOOKUP($B497,'[1]Plant data'!$A$1:$AB$315,23,0)</f>
        <v>0.11043249918861621</v>
      </c>
      <c r="AP497">
        <f>VLOOKUP($B497,'[1]Plant data'!$A$1:$AB$315,24,0)</f>
        <v>0.88</v>
      </c>
      <c r="AQ497" t="str">
        <f>VLOOKUP($B497,'[1]Plant data'!$A$1:$AB$315,25,0)</f>
        <v>NA</v>
      </c>
      <c r="AR497" t="str">
        <f>VLOOKUP($B497,'[1]Plant data'!$A$1:$AB$315,26,0)</f>
        <v>NA</v>
      </c>
      <c r="AS497" t="str">
        <f>VLOOKUP($B497,'[1]Plant data'!$A$1:$AB$315,27,0)</f>
        <v>NA</v>
      </c>
      <c r="AT497" t="str">
        <f>VLOOKUP($B497,'[1]Plant data'!$A$1:$AB$315,28,0)</f>
        <v>Santana et al. 2013, Erica &amp; Wesley, unpubl., Cazetta 2007, Gomes et al. 2010, FRUBASE</v>
      </c>
    </row>
    <row r="498" spans="1:46">
      <c r="A498" s="5" t="s">
        <v>41</v>
      </c>
      <c r="B498" s="33" t="s">
        <v>61</v>
      </c>
      <c r="C498" s="7">
        <v>35</v>
      </c>
      <c r="D498" s="25">
        <v>56</v>
      </c>
      <c r="E498" s="26">
        <f t="shared" si="41"/>
        <v>0.625</v>
      </c>
      <c r="F498">
        <v>94</v>
      </c>
      <c r="G498" s="27">
        <f>F498/C498</f>
        <v>2.6857142857142855</v>
      </c>
      <c r="H498" s="27"/>
      <c r="I498" s="8">
        <f t="shared" si="40"/>
        <v>1.6785714285714284</v>
      </c>
      <c r="J498" t="s">
        <v>177</v>
      </c>
      <c r="K498" t="s">
        <v>178</v>
      </c>
      <c r="L498" t="s">
        <v>22</v>
      </c>
      <c r="M498" t="s">
        <v>30</v>
      </c>
      <c r="N498" s="11">
        <v>39</v>
      </c>
      <c r="O498" s="11">
        <v>8.2839869279999991</v>
      </c>
      <c r="P498" t="s">
        <v>24</v>
      </c>
      <c r="Q498" t="s">
        <v>25</v>
      </c>
      <c r="R498" t="s">
        <v>26</v>
      </c>
      <c r="S498" t="s">
        <v>31</v>
      </c>
      <c r="T498" t="str">
        <f>VLOOKUP(B498,'[1]Plant data'!$A$1:$AB$315,2,0)</f>
        <v>Anacardiaceae</v>
      </c>
      <c r="U498" t="str">
        <f>VLOOKUP($B498,'[1]Plant data'!$A$1:$AB$315,3,0)</f>
        <v>NA</v>
      </c>
      <c r="V498" t="str">
        <f>VLOOKUP($B498,'[1]Plant data'!$A$1:$AB$315,4,0)</f>
        <v>black</v>
      </c>
      <c r="W498" t="str">
        <f>VLOOKUP($B498,'[1]Plant data'!$A$1:$AB$315,5,0)</f>
        <v>YES</v>
      </c>
      <c r="X498">
        <f>VLOOKUP($B498,'[1]Plant data'!$A$1:$AB$315,6,0)</f>
        <v>10.474</v>
      </c>
      <c r="Y498">
        <f>VLOOKUP($B498,'[1]Plant data'!$A$1:$AB$315,7,0)</f>
        <v>14.028</v>
      </c>
      <c r="Z498">
        <f>VLOOKUP($B498,'[1]Plant data'!$A$1:$AB$315,8,0)</f>
        <v>9.1466666666666665</v>
      </c>
      <c r="AA498">
        <f>VLOOKUP($B498,'[1]Plant data'!$A$1:$AB$315,9,0)</f>
        <v>11.63</v>
      </c>
      <c r="AB498">
        <f>VLOOKUP($B498,'[1]Plant data'!$A$1:$AB$315,10,0)</f>
        <v>0.74192499999999995</v>
      </c>
      <c r="AC498">
        <f>VLOOKUP($B498,'[1]Plant data'!$A$1:$AB$315,11,0)</f>
        <v>0.59</v>
      </c>
      <c r="AD498">
        <f>VLOOKUP($B498,'[1]Plant data'!$A$1:$AB$315,12,0)</f>
        <v>0.2601</v>
      </c>
      <c r="AE498">
        <f>VLOOKUP($B498,'[1]Plant data'!$A$1:$AB$315,13,0)</f>
        <v>0.56875000000000009</v>
      </c>
      <c r="AF498">
        <f>VLOOKUP($B498,'[1]Plant data'!$A$1:$AB$315,14,0)</f>
        <v>0.22020000000000001</v>
      </c>
      <c r="AG498">
        <f>VLOOKUP($B498,'[1]Plant data'!$A$1:$AB$315,15,0)</f>
        <v>1</v>
      </c>
      <c r="AH498" t="str">
        <f>VLOOKUP($B498,'[1]Plant data'!$A$1:$AB$315,16,0)</f>
        <v>NA</v>
      </c>
      <c r="AI498">
        <f>VLOOKUP($B498,'[1]Plant data'!$A$1:$AB$315,17,0)</f>
        <v>2.5043596730245232</v>
      </c>
      <c r="AJ498" t="str">
        <f>VLOOKUP($B498,'[1]Plant data'!$A$1:$AB$315,18,0)</f>
        <v>Santana et al. 2013, ATLANTIC, Cazetta 2007, Erica&amp;Wesley, FRUBASE, Gondim 2002</v>
      </c>
      <c r="AK498">
        <f>VLOOKUP($B498,'[1]Plant data'!$A$1:$AB$315,19,0)</f>
        <v>0.79535</v>
      </c>
      <c r="AL498">
        <f>VLOOKUP($B498,'[1]Plant data'!$A$1:$AB$315,20,0)</f>
        <v>7.5081210121013958E-2</v>
      </c>
      <c r="AM498">
        <f>VLOOKUP($B498,'[1]Plant data'!$A$1:$AB$315,21,0)</f>
        <v>4.8041E-2</v>
      </c>
      <c r="AN498">
        <f>VLOOKUP($B498,'[1]Plant data'!$A$1:$AB$315,22,0)</f>
        <v>5.3345778338190118E-2</v>
      </c>
      <c r="AO498">
        <f>VLOOKUP($B498,'[1]Plant data'!$A$1:$AB$315,23,0)</f>
        <v>0.11043249918861621</v>
      </c>
      <c r="AP498">
        <f>VLOOKUP($B498,'[1]Plant data'!$A$1:$AB$315,24,0)</f>
        <v>0.88</v>
      </c>
      <c r="AQ498" t="str">
        <f>VLOOKUP($B498,'[1]Plant data'!$A$1:$AB$315,25,0)</f>
        <v>NA</v>
      </c>
      <c r="AR498" t="str">
        <f>VLOOKUP($B498,'[1]Plant data'!$A$1:$AB$315,26,0)</f>
        <v>NA</v>
      </c>
      <c r="AS498" t="str">
        <f>VLOOKUP($B498,'[1]Plant data'!$A$1:$AB$315,27,0)</f>
        <v>NA</v>
      </c>
      <c r="AT498" t="str">
        <f>VLOOKUP($B498,'[1]Plant data'!$A$1:$AB$315,28,0)</f>
        <v>Santana et al. 2013, Erica &amp; Wesley, unpubl., Cazetta 2007, Gomes et al. 2010, FRUBASE</v>
      </c>
    </row>
    <row r="499" spans="1:46">
      <c r="A499" s="5" t="s">
        <v>43</v>
      </c>
      <c r="B499" s="33" t="s">
        <v>61</v>
      </c>
      <c r="C499" s="25">
        <v>86</v>
      </c>
      <c r="D499" s="25">
        <v>56</v>
      </c>
      <c r="E499" s="26">
        <f t="shared" si="41"/>
        <v>1.5357142857142858</v>
      </c>
      <c r="F499" s="25">
        <v>178</v>
      </c>
      <c r="G499" s="27">
        <f>F499/C499</f>
        <v>2.0697674418604652</v>
      </c>
      <c r="H499" s="27"/>
      <c r="I499" s="8">
        <f t="shared" si="40"/>
        <v>3.1785714285714288</v>
      </c>
      <c r="J499" t="s">
        <v>177</v>
      </c>
      <c r="K499" t="s">
        <v>178</v>
      </c>
      <c r="L499" t="s">
        <v>22</v>
      </c>
      <c r="M499" t="s">
        <v>30</v>
      </c>
      <c r="N499" s="11">
        <v>32.5</v>
      </c>
      <c r="O499" s="11">
        <v>8.9205555560000001</v>
      </c>
      <c r="P499" t="s">
        <v>24</v>
      </c>
      <c r="Q499" t="s">
        <v>25</v>
      </c>
      <c r="R499" t="s">
        <v>26</v>
      </c>
      <c r="S499" t="s">
        <v>31</v>
      </c>
      <c r="T499" t="str">
        <f>VLOOKUP(B499,'[1]Plant data'!$A$1:$AB$315,2,0)</f>
        <v>Anacardiaceae</v>
      </c>
      <c r="U499" t="str">
        <f>VLOOKUP($B499,'[1]Plant data'!$A$1:$AB$315,3,0)</f>
        <v>NA</v>
      </c>
      <c r="V499" t="str">
        <f>VLOOKUP($B499,'[1]Plant data'!$A$1:$AB$315,4,0)</f>
        <v>black</v>
      </c>
      <c r="W499" t="str">
        <f>VLOOKUP($B499,'[1]Plant data'!$A$1:$AB$315,5,0)</f>
        <v>YES</v>
      </c>
      <c r="X499">
        <f>VLOOKUP($B499,'[1]Plant data'!$A$1:$AB$315,6,0)</f>
        <v>10.474</v>
      </c>
      <c r="Y499">
        <f>VLOOKUP($B499,'[1]Plant data'!$A$1:$AB$315,7,0)</f>
        <v>14.028</v>
      </c>
      <c r="Z499">
        <f>VLOOKUP($B499,'[1]Plant data'!$A$1:$AB$315,8,0)</f>
        <v>9.1466666666666665</v>
      </c>
      <c r="AA499">
        <f>VLOOKUP($B499,'[1]Plant data'!$A$1:$AB$315,9,0)</f>
        <v>11.63</v>
      </c>
      <c r="AB499">
        <f>VLOOKUP($B499,'[1]Plant data'!$A$1:$AB$315,10,0)</f>
        <v>0.74192499999999995</v>
      </c>
      <c r="AC499">
        <f>VLOOKUP($B499,'[1]Plant data'!$A$1:$AB$315,11,0)</f>
        <v>0.59</v>
      </c>
      <c r="AD499">
        <f>VLOOKUP($B499,'[1]Plant data'!$A$1:$AB$315,12,0)</f>
        <v>0.2601</v>
      </c>
      <c r="AE499">
        <f>VLOOKUP($B499,'[1]Plant data'!$A$1:$AB$315,13,0)</f>
        <v>0.56875000000000009</v>
      </c>
      <c r="AF499">
        <f>VLOOKUP($B499,'[1]Plant data'!$A$1:$AB$315,14,0)</f>
        <v>0.22020000000000001</v>
      </c>
      <c r="AG499">
        <f>VLOOKUP($B499,'[1]Plant data'!$A$1:$AB$315,15,0)</f>
        <v>1</v>
      </c>
      <c r="AH499" t="str">
        <f>VLOOKUP($B499,'[1]Plant data'!$A$1:$AB$315,16,0)</f>
        <v>NA</v>
      </c>
      <c r="AI499">
        <f>VLOOKUP($B499,'[1]Plant data'!$A$1:$AB$315,17,0)</f>
        <v>2.5043596730245232</v>
      </c>
      <c r="AJ499" t="str">
        <f>VLOOKUP($B499,'[1]Plant data'!$A$1:$AB$315,18,0)</f>
        <v>Santana et al. 2013, ATLANTIC, Cazetta 2007, Erica&amp;Wesley, FRUBASE, Gondim 2002</v>
      </c>
      <c r="AK499">
        <f>VLOOKUP($B499,'[1]Plant data'!$A$1:$AB$315,19,0)</f>
        <v>0.79535</v>
      </c>
      <c r="AL499">
        <f>VLOOKUP($B499,'[1]Plant data'!$A$1:$AB$315,20,0)</f>
        <v>7.5081210121013958E-2</v>
      </c>
      <c r="AM499">
        <f>VLOOKUP($B499,'[1]Plant data'!$A$1:$AB$315,21,0)</f>
        <v>4.8041E-2</v>
      </c>
      <c r="AN499">
        <f>VLOOKUP($B499,'[1]Plant data'!$A$1:$AB$315,22,0)</f>
        <v>5.3345778338190118E-2</v>
      </c>
      <c r="AO499">
        <f>VLOOKUP($B499,'[1]Plant data'!$A$1:$AB$315,23,0)</f>
        <v>0.11043249918861621</v>
      </c>
      <c r="AP499">
        <f>VLOOKUP($B499,'[1]Plant data'!$A$1:$AB$315,24,0)</f>
        <v>0.88</v>
      </c>
      <c r="AQ499" t="str">
        <f>VLOOKUP($B499,'[1]Plant data'!$A$1:$AB$315,25,0)</f>
        <v>NA</v>
      </c>
      <c r="AR499" t="str">
        <f>VLOOKUP($B499,'[1]Plant data'!$A$1:$AB$315,26,0)</f>
        <v>NA</v>
      </c>
      <c r="AS499" t="str">
        <f>VLOOKUP($B499,'[1]Plant data'!$A$1:$AB$315,27,0)</f>
        <v>NA</v>
      </c>
      <c r="AT499" t="str">
        <f>VLOOKUP($B499,'[1]Plant data'!$A$1:$AB$315,28,0)</f>
        <v>Santana et al. 2013, Erica &amp; Wesley, unpubl., Cazetta 2007, Gomes et al. 2010, FRUBASE</v>
      </c>
    </row>
    <row r="500" spans="1:46">
      <c r="A500" s="5" t="s">
        <v>28</v>
      </c>
      <c r="B500" s="32" t="s">
        <v>85</v>
      </c>
      <c r="C500">
        <v>9</v>
      </c>
      <c r="D500" s="7">
        <v>23</v>
      </c>
      <c r="E500" s="8">
        <f>C500/10</f>
        <v>0.9</v>
      </c>
      <c r="F500">
        <v>39</v>
      </c>
      <c r="G500" s="9">
        <v>4</v>
      </c>
      <c r="H500" s="9"/>
      <c r="I500" s="8">
        <f t="shared" si="40"/>
        <v>3.6</v>
      </c>
      <c r="J500" t="s">
        <v>79</v>
      </c>
      <c r="K500" t="s">
        <v>80</v>
      </c>
      <c r="L500" t="s">
        <v>22</v>
      </c>
      <c r="M500" t="s">
        <v>30</v>
      </c>
      <c r="N500" s="11">
        <v>18</v>
      </c>
      <c r="O500" s="11">
        <v>7.4188405800000004</v>
      </c>
      <c r="P500" t="s">
        <v>24</v>
      </c>
      <c r="Q500" s="13" t="s">
        <v>25</v>
      </c>
      <c r="R500" s="13" t="s">
        <v>26</v>
      </c>
      <c r="S500" s="13" t="s">
        <v>31</v>
      </c>
      <c r="T500" t="str">
        <f>VLOOKUP(B500,'[1]Plant data'!$A$1:$AB$315,2,0)</f>
        <v>Cannabaceae</v>
      </c>
      <c r="U500" t="str">
        <f>VLOOKUP($B500,'[1]Plant data'!$A$1:$AB$315,3,0)</f>
        <v>NA</v>
      </c>
      <c r="V500" t="str">
        <f>VLOOKUP($B500,'[1]Plant data'!$A$1:$AB$315,4,0)</f>
        <v>red</v>
      </c>
      <c r="W500" t="str">
        <f>VLOOKUP($B500,'[1]Plant data'!$A$1:$AB$315,5,0)</f>
        <v>YES</v>
      </c>
      <c r="X500">
        <f>VLOOKUP($B500,'[1]Plant data'!$A$1:$AB$315,6,0)</f>
        <v>2.9199999999999995</v>
      </c>
      <c r="Y500">
        <f>VLOOKUP($B500,'[1]Plant data'!$A$1:$AB$315,7,0)</f>
        <v>3.2375000000000003</v>
      </c>
      <c r="Z500">
        <f>VLOOKUP($B500,'[1]Plant data'!$A$1:$AB$315,8,0)</f>
        <v>1.83125</v>
      </c>
      <c r="AA500">
        <f>VLOOKUP($B500,'[1]Plant data'!$A$1:$AB$315,9,0)</f>
        <v>1.96875</v>
      </c>
      <c r="AB500">
        <f>VLOOKUP($B500,'[1]Plant data'!$A$1:$AB$315,10,0)</f>
        <v>9.75E-3</v>
      </c>
      <c r="AC500" t="str">
        <f>VLOOKUP($B500,'[1]Plant data'!$A$1:$AB$315,11,0)</f>
        <v>NA</v>
      </c>
      <c r="AD500">
        <f>VLOOKUP($B500,'[1]Plant data'!$A$1:$AB$315,12,0)</f>
        <v>4.0000000000000001E-3</v>
      </c>
      <c r="AE500">
        <f>VLOOKUP($B500,'[1]Plant data'!$A$1:$AB$315,13,0)</f>
        <v>5.749999999999999E-3</v>
      </c>
      <c r="AF500" t="str">
        <f>VLOOKUP($B500,'[1]Plant data'!$A$1:$AB$315,14,0)</f>
        <v>NA</v>
      </c>
      <c r="AG500">
        <f>VLOOKUP($B500,'[1]Plant data'!$A$1:$AB$315,15,0)</f>
        <v>1</v>
      </c>
      <c r="AH500" t="str">
        <f>VLOOKUP($B500,'[1]Plant data'!$A$1:$AB$315,16,0)</f>
        <v>NA</v>
      </c>
      <c r="AI500">
        <f>VLOOKUP($B500,'[1]Plant data'!$A$1:$AB$315,17,0)</f>
        <v>1.4374999999999998</v>
      </c>
      <c r="AJ500" t="str">
        <f>VLOOKUP($B500,'[1]Plant data'!$A$1:$AB$315,18,0)</f>
        <v>ATLANTIC, Castro 2001, Erica&amp;Wesley, Intervales_morfo, Mikich 2002, Souza 2004, Correia 1997</v>
      </c>
      <c r="AK500" t="str">
        <f>VLOOKUP($B500,'[1]Plant data'!$A$1:$AB$315,19,0)</f>
        <v>NA</v>
      </c>
      <c r="AL500">
        <f>VLOOKUP($B500,'[1]Plant data'!$A$1:$AB$315,20,0)</f>
        <v>0.48760568793234976</v>
      </c>
      <c r="AM500">
        <f>VLOOKUP($B500,'[1]Plant data'!$A$1:$AB$315,21,0)</f>
        <v>0.107406</v>
      </c>
      <c r="AN500">
        <f>VLOOKUP($B500,'[1]Plant data'!$A$1:$AB$315,22,0)</f>
        <v>1.2626597282962414E-3</v>
      </c>
      <c r="AO500">
        <f>VLOOKUP($B500,'[1]Plant data'!$A$1:$AB$315,23,0)</f>
        <v>2.0982975076643082E-2</v>
      </c>
      <c r="AP500" t="str">
        <f>VLOOKUP($B500,'[1]Plant data'!$A$1:$AB$315,24,0)</f>
        <v>NA</v>
      </c>
      <c r="AQ500" t="str">
        <f>VLOOKUP($B500,'[1]Plant data'!$A$1:$AB$315,25,0)</f>
        <v>NA</v>
      </c>
      <c r="AR500" t="str">
        <f>VLOOKUP($B500,'[1]Plant data'!$A$1:$AB$315,26,0)</f>
        <v>NA</v>
      </c>
      <c r="AS500" t="str">
        <f>VLOOKUP($B500,'[1]Plant data'!$A$1:$AB$315,27,0)</f>
        <v>NA</v>
      </c>
      <c r="AT500" t="str">
        <f>VLOOKUP($B500,'[1]Plant data'!$A$1:$AB$315,28,0)</f>
        <v>Erica &amp; Wesley, unpubl.</v>
      </c>
    </row>
    <row r="501" spans="1:46">
      <c r="A501" s="5" t="s">
        <v>43</v>
      </c>
      <c r="B501" s="32" t="s">
        <v>85</v>
      </c>
      <c r="C501" s="7">
        <v>1</v>
      </c>
      <c r="D501" s="7">
        <v>23</v>
      </c>
      <c r="E501" s="8">
        <f>C501/23</f>
        <v>4.3478260869565216E-2</v>
      </c>
      <c r="F501">
        <v>1</v>
      </c>
      <c r="G501" s="9">
        <v>1</v>
      </c>
      <c r="H501" s="9"/>
      <c r="I501" s="8">
        <f t="shared" si="40"/>
        <v>4.3478260869565216E-2</v>
      </c>
      <c r="J501" t="s">
        <v>79</v>
      </c>
      <c r="K501" t="s">
        <v>80</v>
      </c>
      <c r="L501" t="s">
        <v>22</v>
      </c>
      <c r="M501" t="s">
        <v>30</v>
      </c>
      <c r="N501" s="11">
        <v>32.5</v>
      </c>
      <c r="O501" s="11">
        <v>8.9205555560000001</v>
      </c>
      <c r="P501" t="s">
        <v>24</v>
      </c>
      <c r="Q501" t="s">
        <v>25</v>
      </c>
      <c r="R501" t="s">
        <v>26</v>
      </c>
      <c r="S501" t="s">
        <v>31</v>
      </c>
      <c r="T501" t="str">
        <f>VLOOKUP(B501,'[1]Plant data'!$A$1:$AB$315,2,0)</f>
        <v>Cannabaceae</v>
      </c>
      <c r="U501" t="str">
        <f>VLOOKUP($B501,'[1]Plant data'!$A$1:$AB$315,3,0)</f>
        <v>NA</v>
      </c>
      <c r="V501" t="str">
        <f>VLOOKUP($B501,'[1]Plant data'!$A$1:$AB$315,4,0)</f>
        <v>red</v>
      </c>
      <c r="W501" t="str">
        <f>VLOOKUP($B501,'[1]Plant data'!$A$1:$AB$315,5,0)</f>
        <v>YES</v>
      </c>
      <c r="X501">
        <f>VLOOKUP($B501,'[1]Plant data'!$A$1:$AB$315,6,0)</f>
        <v>2.9199999999999995</v>
      </c>
      <c r="Y501">
        <f>VLOOKUP($B501,'[1]Plant data'!$A$1:$AB$315,7,0)</f>
        <v>3.2375000000000003</v>
      </c>
      <c r="Z501">
        <f>VLOOKUP($B501,'[1]Plant data'!$A$1:$AB$315,8,0)</f>
        <v>1.83125</v>
      </c>
      <c r="AA501">
        <f>VLOOKUP($B501,'[1]Plant data'!$A$1:$AB$315,9,0)</f>
        <v>1.96875</v>
      </c>
      <c r="AB501">
        <f>VLOOKUP($B501,'[1]Plant data'!$A$1:$AB$315,10,0)</f>
        <v>9.75E-3</v>
      </c>
      <c r="AC501" t="str">
        <f>VLOOKUP($B501,'[1]Plant data'!$A$1:$AB$315,11,0)</f>
        <v>NA</v>
      </c>
      <c r="AD501">
        <f>VLOOKUP($B501,'[1]Plant data'!$A$1:$AB$315,12,0)</f>
        <v>4.0000000000000001E-3</v>
      </c>
      <c r="AE501">
        <f>VLOOKUP($B501,'[1]Plant data'!$A$1:$AB$315,13,0)</f>
        <v>5.749999999999999E-3</v>
      </c>
      <c r="AF501" t="str">
        <f>VLOOKUP($B501,'[1]Plant data'!$A$1:$AB$315,14,0)</f>
        <v>NA</v>
      </c>
      <c r="AG501">
        <f>VLOOKUP($B501,'[1]Plant data'!$A$1:$AB$315,15,0)</f>
        <v>1</v>
      </c>
      <c r="AH501" t="str">
        <f>VLOOKUP($B501,'[1]Plant data'!$A$1:$AB$315,16,0)</f>
        <v>NA</v>
      </c>
      <c r="AI501">
        <f>VLOOKUP($B501,'[1]Plant data'!$A$1:$AB$315,17,0)</f>
        <v>1.4374999999999998</v>
      </c>
      <c r="AJ501" t="str">
        <f>VLOOKUP($B501,'[1]Plant data'!$A$1:$AB$315,18,0)</f>
        <v>ATLANTIC, Castro 2001, Erica&amp;Wesley, Intervales_morfo, Mikich 2002, Souza 2004, Correia 1997</v>
      </c>
      <c r="AK501" t="str">
        <f>VLOOKUP($B501,'[1]Plant data'!$A$1:$AB$315,19,0)</f>
        <v>NA</v>
      </c>
      <c r="AL501">
        <f>VLOOKUP($B501,'[1]Plant data'!$A$1:$AB$315,20,0)</f>
        <v>0.48760568793234976</v>
      </c>
      <c r="AM501">
        <f>VLOOKUP($B501,'[1]Plant data'!$A$1:$AB$315,21,0)</f>
        <v>0.107406</v>
      </c>
      <c r="AN501">
        <f>VLOOKUP($B501,'[1]Plant data'!$A$1:$AB$315,22,0)</f>
        <v>1.2626597282962414E-3</v>
      </c>
      <c r="AO501">
        <f>VLOOKUP($B501,'[1]Plant data'!$A$1:$AB$315,23,0)</f>
        <v>2.0982975076643082E-2</v>
      </c>
      <c r="AP501" t="str">
        <f>VLOOKUP($B501,'[1]Plant data'!$A$1:$AB$315,24,0)</f>
        <v>NA</v>
      </c>
      <c r="AQ501" t="str">
        <f>VLOOKUP($B501,'[1]Plant data'!$A$1:$AB$315,25,0)</f>
        <v>NA</v>
      </c>
      <c r="AR501" t="str">
        <f>VLOOKUP($B501,'[1]Plant data'!$A$1:$AB$315,26,0)</f>
        <v>NA</v>
      </c>
      <c r="AS501" t="str">
        <f>VLOOKUP($B501,'[1]Plant data'!$A$1:$AB$315,27,0)</f>
        <v>NA</v>
      </c>
      <c r="AT501" t="str">
        <f>VLOOKUP($B501,'[1]Plant data'!$A$1:$AB$315,28,0)</f>
        <v>Erica &amp; Wesley, unpubl.</v>
      </c>
    </row>
    <row r="502" spans="1:46">
      <c r="A502" s="5" t="s">
        <v>41</v>
      </c>
      <c r="B502" s="32" t="s">
        <v>85</v>
      </c>
      <c r="C502">
        <v>1</v>
      </c>
      <c r="D502" s="16">
        <v>10</v>
      </c>
      <c r="E502" s="8">
        <f>C502/10</f>
        <v>0.1</v>
      </c>
      <c r="F502">
        <v>1</v>
      </c>
      <c r="G502" s="9">
        <v>1</v>
      </c>
      <c r="H502" s="9"/>
      <c r="I502" s="8">
        <f t="shared" si="40"/>
        <v>0.1</v>
      </c>
      <c r="J502" s="25" t="s">
        <v>274</v>
      </c>
      <c r="K502" s="25" t="s">
        <v>275</v>
      </c>
      <c r="L502" t="s">
        <v>22</v>
      </c>
      <c r="M502" t="s">
        <v>30</v>
      </c>
      <c r="N502" s="11">
        <v>39</v>
      </c>
      <c r="O502" s="11">
        <v>8.2839869279999991</v>
      </c>
      <c r="P502" t="s">
        <v>24</v>
      </c>
      <c r="Q502" t="s">
        <v>25</v>
      </c>
      <c r="R502" t="s">
        <v>26</v>
      </c>
      <c r="S502" t="s">
        <v>31</v>
      </c>
      <c r="T502" t="str">
        <f>VLOOKUP(B502,'[1]Plant data'!$A$1:$AB$315,2,0)</f>
        <v>Cannabaceae</v>
      </c>
      <c r="U502" t="str">
        <f>VLOOKUP($B502,'[1]Plant data'!$A$1:$AB$315,3,0)</f>
        <v>NA</v>
      </c>
      <c r="V502" t="str">
        <f>VLOOKUP($B502,'[1]Plant data'!$A$1:$AB$315,4,0)</f>
        <v>red</v>
      </c>
      <c r="W502" t="str">
        <f>VLOOKUP($B502,'[1]Plant data'!$A$1:$AB$315,5,0)</f>
        <v>YES</v>
      </c>
      <c r="X502">
        <f>VLOOKUP($B502,'[1]Plant data'!$A$1:$AB$315,6,0)</f>
        <v>2.9199999999999995</v>
      </c>
      <c r="Y502">
        <f>VLOOKUP($B502,'[1]Plant data'!$A$1:$AB$315,7,0)</f>
        <v>3.2375000000000003</v>
      </c>
      <c r="Z502">
        <f>VLOOKUP($B502,'[1]Plant data'!$A$1:$AB$315,8,0)</f>
        <v>1.83125</v>
      </c>
      <c r="AA502">
        <f>VLOOKUP($B502,'[1]Plant data'!$A$1:$AB$315,9,0)</f>
        <v>1.96875</v>
      </c>
      <c r="AB502">
        <f>VLOOKUP($B502,'[1]Plant data'!$A$1:$AB$315,10,0)</f>
        <v>9.75E-3</v>
      </c>
      <c r="AC502" t="str">
        <f>VLOOKUP($B502,'[1]Plant data'!$A$1:$AB$315,11,0)</f>
        <v>NA</v>
      </c>
      <c r="AD502">
        <f>VLOOKUP($B502,'[1]Plant data'!$A$1:$AB$315,12,0)</f>
        <v>4.0000000000000001E-3</v>
      </c>
      <c r="AE502">
        <f>VLOOKUP($B502,'[1]Plant data'!$A$1:$AB$315,13,0)</f>
        <v>5.749999999999999E-3</v>
      </c>
      <c r="AF502" t="str">
        <f>VLOOKUP($B502,'[1]Plant data'!$A$1:$AB$315,14,0)</f>
        <v>NA</v>
      </c>
      <c r="AG502">
        <f>VLOOKUP($B502,'[1]Plant data'!$A$1:$AB$315,15,0)</f>
        <v>1</v>
      </c>
      <c r="AH502" t="str">
        <f>VLOOKUP($B502,'[1]Plant data'!$A$1:$AB$315,16,0)</f>
        <v>NA</v>
      </c>
      <c r="AI502">
        <f>VLOOKUP($B502,'[1]Plant data'!$A$1:$AB$315,17,0)</f>
        <v>1.4374999999999998</v>
      </c>
      <c r="AJ502" t="str">
        <f>VLOOKUP($B502,'[1]Plant data'!$A$1:$AB$315,18,0)</f>
        <v>ATLANTIC, Castro 2001, Erica&amp;Wesley, Intervales_morfo, Mikich 2002, Souza 2004, Correia 1997</v>
      </c>
      <c r="AK502" t="str">
        <f>VLOOKUP($B502,'[1]Plant data'!$A$1:$AB$315,19,0)</f>
        <v>NA</v>
      </c>
      <c r="AL502">
        <f>VLOOKUP($B502,'[1]Plant data'!$A$1:$AB$315,20,0)</f>
        <v>0.48760568793234976</v>
      </c>
      <c r="AM502">
        <f>VLOOKUP($B502,'[1]Plant data'!$A$1:$AB$315,21,0)</f>
        <v>0.107406</v>
      </c>
      <c r="AN502">
        <f>VLOOKUP($B502,'[1]Plant data'!$A$1:$AB$315,22,0)</f>
        <v>1.2626597282962414E-3</v>
      </c>
      <c r="AO502">
        <f>VLOOKUP($B502,'[1]Plant data'!$A$1:$AB$315,23,0)</f>
        <v>2.0982975076643082E-2</v>
      </c>
      <c r="AP502" t="str">
        <f>VLOOKUP($B502,'[1]Plant data'!$A$1:$AB$315,24,0)</f>
        <v>NA</v>
      </c>
      <c r="AQ502" t="str">
        <f>VLOOKUP($B502,'[1]Plant data'!$A$1:$AB$315,25,0)</f>
        <v>NA</v>
      </c>
      <c r="AR502" t="str">
        <f>VLOOKUP($B502,'[1]Plant data'!$A$1:$AB$315,26,0)</f>
        <v>NA</v>
      </c>
      <c r="AS502" t="str">
        <f>VLOOKUP($B502,'[1]Plant data'!$A$1:$AB$315,27,0)</f>
        <v>NA</v>
      </c>
      <c r="AT502" t="str">
        <f>VLOOKUP($B502,'[1]Plant data'!$A$1:$AB$315,28,0)</f>
        <v>Erica &amp; Wesley, unpubl.</v>
      </c>
    </row>
    <row r="503" spans="1:46">
      <c r="A503" s="5" t="s">
        <v>43</v>
      </c>
      <c r="B503" s="32" t="s">
        <v>85</v>
      </c>
      <c r="C503">
        <v>12</v>
      </c>
      <c r="D503" s="16">
        <v>10</v>
      </c>
      <c r="E503" s="8">
        <f>C503/10</f>
        <v>1.2</v>
      </c>
      <c r="F503">
        <v>9</v>
      </c>
      <c r="G503" s="9">
        <f t="shared" ref="G503:G523" si="42">F503/C503</f>
        <v>0.75</v>
      </c>
      <c r="H503" s="9"/>
      <c r="I503" s="8">
        <f t="shared" si="40"/>
        <v>0.89999999999999991</v>
      </c>
      <c r="J503" t="s">
        <v>274</v>
      </c>
      <c r="K503" t="s">
        <v>275</v>
      </c>
      <c r="L503" t="s">
        <v>22</v>
      </c>
      <c r="M503" t="s">
        <v>30</v>
      </c>
      <c r="N503" s="11">
        <v>32.5</v>
      </c>
      <c r="O503" s="11">
        <v>8.9205555560000001</v>
      </c>
      <c r="P503" t="s">
        <v>24</v>
      </c>
      <c r="Q503" t="s">
        <v>25</v>
      </c>
      <c r="R503" t="s">
        <v>26</v>
      </c>
      <c r="S503" t="s">
        <v>31</v>
      </c>
      <c r="T503" t="str">
        <f>VLOOKUP(B503,'[1]Plant data'!$A$1:$AB$315,2,0)</f>
        <v>Cannabaceae</v>
      </c>
      <c r="U503" t="str">
        <f>VLOOKUP($B503,'[1]Plant data'!$A$1:$AB$315,3,0)</f>
        <v>NA</v>
      </c>
      <c r="V503" t="str">
        <f>VLOOKUP($B503,'[1]Plant data'!$A$1:$AB$315,4,0)</f>
        <v>red</v>
      </c>
      <c r="W503" t="str">
        <f>VLOOKUP($B503,'[1]Plant data'!$A$1:$AB$315,5,0)</f>
        <v>YES</v>
      </c>
      <c r="X503">
        <f>VLOOKUP($B503,'[1]Plant data'!$A$1:$AB$315,6,0)</f>
        <v>2.9199999999999995</v>
      </c>
      <c r="Y503">
        <f>VLOOKUP($B503,'[1]Plant data'!$A$1:$AB$315,7,0)</f>
        <v>3.2375000000000003</v>
      </c>
      <c r="Z503">
        <f>VLOOKUP($B503,'[1]Plant data'!$A$1:$AB$315,8,0)</f>
        <v>1.83125</v>
      </c>
      <c r="AA503">
        <f>VLOOKUP($B503,'[1]Plant data'!$A$1:$AB$315,9,0)</f>
        <v>1.96875</v>
      </c>
      <c r="AB503">
        <f>VLOOKUP($B503,'[1]Plant data'!$A$1:$AB$315,10,0)</f>
        <v>9.75E-3</v>
      </c>
      <c r="AC503" t="str">
        <f>VLOOKUP($B503,'[1]Plant data'!$A$1:$AB$315,11,0)</f>
        <v>NA</v>
      </c>
      <c r="AD503">
        <f>VLOOKUP($B503,'[1]Plant data'!$A$1:$AB$315,12,0)</f>
        <v>4.0000000000000001E-3</v>
      </c>
      <c r="AE503">
        <f>VLOOKUP($B503,'[1]Plant data'!$A$1:$AB$315,13,0)</f>
        <v>5.749999999999999E-3</v>
      </c>
      <c r="AF503" t="str">
        <f>VLOOKUP($B503,'[1]Plant data'!$A$1:$AB$315,14,0)</f>
        <v>NA</v>
      </c>
      <c r="AG503">
        <f>VLOOKUP($B503,'[1]Plant data'!$A$1:$AB$315,15,0)</f>
        <v>1</v>
      </c>
      <c r="AH503" t="str">
        <f>VLOOKUP($B503,'[1]Plant data'!$A$1:$AB$315,16,0)</f>
        <v>NA</v>
      </c>
      <c r="AI503">
        <f>VLOOKUP($B503,'[1]Plant data'!$A$1:$AB$315,17,0)</f>
        <v>1.4374999999999998</v>
      </c>
      <c r="AJ503" t="str">
        <f>VLOOKUP($B503,'[1]Plant data'!$A$1:$AB$315,18,0)</f>
        <v>ATLANTIC, Castro 2001, Erica&amp;Wesley, Intervales_morfo, Mikich 2002, Souza 2004, Correia 1997</v>
      </c>
      <c r="AK503" t="str">
        <f>VLOOKUP($B503,'[1]Plant data'!$A$1:$AB$315,19,0)</f>
        <v>NA</v>
      </c>
      <c r="AL503">
        <f>VLOOKUP($B503,'[1]Plant data'!$A$1:$AB$315,20,0)</f>
        <v>0.48760568793234976</v>
      </c>
      <c r="AM503">
        <f>VLOOKUP($B503,'[1]Plant data'!$A$1:$AB$315,21,0)</f>
        <v>0.107406</v>
      </c>
      <c r="AN503">
        <f>VLOOKUP($B503,'[1]Plant data'!$A$1:$AB$315,22,0)</f>
        <v>1.2626597282962414E-3</v>
      </c>
      <c r="AO503">
        <f>VLOOKUP($B503,'[1]Plant data'!$A$1:$AB$315,23,0)</f>
        <v>2.0982975076643082E-2</v>
      </c>
      <c r="AP503" t="str">
        <f>VLOOKUP($B503,'[1]Plant data'!$A$1:$AB$315,24,0)</f>
        <v>NA</v>
      </c>
      <c r="AQ503" t="str">
        <f>VLOOKUP($B503,'[1]Plant data'!$A$1:$AB$315,25,0)</f>
        <v>NA</v>
      </c>
      <c r="AR503" t="str">
        <f>VLOOKUP($B503,'[1]Plant data'!$A$1:$AB$315,26,0)</f>
        <v>NA</v>
      </c>
      <c r="AS503" t="str">
        <f>VLOOKUP($B503,'[1]Plant data'!$A$1:$AB$315,27,0)</f>
        <v>NA</v>
      </c>
      <c r="AT503" t="str">
        <f>VLOOKUP($B503,'[1]Plant data'!$A$1:$AB$315,28,0)</f>
        <v>Erica &amp; Wesley, unpubl.</v>
      </c>
    </row>
    <row r="504" spans="1:46">
      <c r="A504" s="5" t="s">
        <v>32</v>
      </c>
      <c r="B504" s="32" t="s">
        <v>85</v>
      </c>
      <c r="C504">
        <v>4</v>
      </c>
      <c r="D504">
        <v>13</v>
      </c>
      <c r="E504" s="8">
        <f>C504/D504</f>
        <v>0.30769230769230771</v>
      </c>
      <c r="F504">
        <v>19</v>
      </c>
      <c r="G504" s="9">
        <f t="shared" si="42"/>
        <v>4.75</v>
      </c>
      <c r="H504" s="9"/>
      <c r="I504" s="8">
        <f t="shared" si="40"/>
        <v>1.4615384615384617</v>
      </c>
      <c r="J504" t="s">
        <v>284</v>
      </c>
      <c r="K504" t="s">
        <v>263</v>
      </c>
      <c r="L504" t="s">
        <v>22</v>
      </c>
      <c r="M504" t="s">
        <v>30</v>
      </c>
      <c r="N504" s="11">
        <v>18</v>
      </c>
      <c r="O504" s="11">
        <v>5.1684999999999999</v>
      </c>
      <c r="P504" t="s">
        <v>24</v>
      </c>
      <c r="Q504" s="13" t="s">
        <v>25</v>
      </c>
      <c r="R504" s="13" t="s">
        <v>26</v>
      </c>
      <c r="S504" s="13" t="s">
        <v>31</v>
      </c>
      <c r="T504" t="str">
        <f>VLOOKUP(B504,'[1]Plant data'!$A$1:$AB$315,2,0)</f>
        <v>Cannabaceae</v>
      </c>
      <c r="U504" t="str">
        <f>VLOOKUP($B504,'[1]Plant data'!$A$1:$AB$315,3,0)</f>
        <v>NA</v>
      </c>
      <c r="V504" t="str">
        <f>VLOOKUP($B504,'[1]Plant data'!$A$1:$AB$315,4,0)</f>
        <v>red</v>
      </c>
      <c r="W504" t="str">
        <f>VLOOKUP($B504,'[1]Plant data'!$A$1:$AB$315,5,0)</f>
        <v>YES</v>
      </c>
      <c r="X504">
        <f>VLOOKUP($B504,'[1]Plant data'!$A$1:$AB$315,6,0)</f>
        <v>2.9199999999999995</v>
      </c>
      <c r="Y504">
        <f>VLOOKUP($B504,'[1]Plant data'!$A$1:$AB$315,7,0)</f>
        <v>3.2375000000000003</v>
      </c>
      <c r="Z504">
        <f>VLOOKUP($B504,'[1]Plant data'!$A$1:$AB$315,8,0)</f>
        <v>1.83125</v>
      </c>
      <c r="AA504">
        <f>VLOOKUP($B504,'[1]Plant data'!$A$1:$AB$315,9,0)</f>
        <v>1.96875</v>
      </c>
      <c r="AB504">
        <f>VLOOKUP($B504,'[1]Plant data'!$A$1:$AB$315,10,0)</f>
        <v>9.75E-3</v>
      </c>
      <c r="AC504" t="str">
        <f>VLOOKUP($B504,'[1]Plant data'!$A$1:$AB$315,11,0)</f>
        <v>NA</v>
      </c>
      <c r="AD504">
        <f>VLOOKUP($B504,'[1]Plant data'!$A$1:$AB$315,12,0)</f>
        <v>4.0000000000000001E-3</v>
      </c>
      <c r="AE504">
        <f>VLOOKUP($B504,'[1]Plant data'!$A$1:$AB$315,13,0)</f>
        <v>5.749999999999999E-3</v>
      </c>
      <c r="AF504" t="str">
        <f>VLOOKUP($B504,'[1]Plant data'!$A$1:$AB$315,14,0)</f>
        <v>NA</v>
      </c>
      <c r="AG504">
        <f>VLOOKUP($B504,'[1]Plant data'!$A$1:$AB$315,15,0)</f>
        <v>1</v>
      </c>
      <c r="AH504" t="str">
        <f>VLOOKUP($B504,'[1]Plant data'!$A$1:$AB$315,16,0)</f>
        <v>NA</v>
      </c>
      <c r="AI504">
        <f>VLOOKUP($B504,'[1]Plant data'!$A$1:$AB$315,17,0)</f>
        <v>1.4374999999999998</v>
      </c>
      <c r="AJ504" t="str">
        <f>VLOOKUP($B504,'[1]Plant data'!$A$1:$AB$315,18,0)</f>
        <v>ATLANTIC, Castro 2001, Erica&amp;Wesley, Intervales_morfo, Mikich 2002, Souza 2004, Correia 1997</v>
      </c>
      <c r="AK504" t="str">
        <f>VLOOKUP($B504,'[1]Plant data'!$A$1:$AB$315,19,0)</f>
        <v>NA</v>
      </c>
      <c r="AL504">
        <f>VLOOKUP($B504,'[1]Plant data'!$A$1:$AB$315,20,0)</f>
        <v>0.48760568793234976</v>
      </c>
      <c r="AM504">
        <f>VLOOKUP($B504,'[1]Plant data'!$A$1:$AB$315,21,0)</f>
        <v>0.107406</v>
      </c>
      <c r="AN504">
        <f>VLOOKUP($B504,'[1]Plant data'!$A$1:$AB$315,22,0)</f>
        <v>1.2626597282962414E-3</v>
      </c>
      <c r="AO504">
        <f>VLOOKUP($B504,'[1]Plant data'!$A$1:$AB$315,23,0)</f>
        <v>2.0982975076643082E-2</v>
      </c>
      <c r="AP504" t="str">
        <f>VLOOKUP($B504,'[1]Plant data'!$A$1:$AB$315,24,0)</f>
        <v>NA</v>
      </c>
      <c r="AQ504" t="str">
        <f>VLOOKUP($B504,'[1]Plant data'!$A$1:$AB$315,25,0)</f>
        <v>NA</v>
      </c>
      <c r="AR504" t="str">
        <f>VLOOKUP($B504,'[1]Plant data'!$A$1:$AB$315,26,0)</f>
        <v>NA</v>
      </c>
      <c r="AS504" t="str">
        <f>VLOOKUP($B504,'[1]Plant data'!$A$1:$AB$315,27,0)</f>
        <v>NA</v>
      </c>
      <c r="AT504" t="str">
        <f>VLOOKUP($B504,'[1]Plant data'!$A$1:$AB$315,28,0)</f>
        <v>Erica &amp; Wesley, unpubl.</v>
      </c>
    </row>
    <row r="505" spans="1:46">
      <c r="A505" s="5" t="s">
        <v>41</v>
      </c>
      <c r="B505" s="32" t="s">
        <v>85</v>
      </c>
      <c r="C505">
        <v>3</v>
      </c>
      <c r="D505">
        <v>13</v>
      </c>
      <c r="E505" s="8">
        <f>C505/13</f>
        <v>0.23076923076923078</v>
      </c>
      <c r="F505">
        <v>33</v>
      </c>
      <c r="G505" s="9">
        <f t="shared" si="42"/>
        <v>11</v>
      </c>
      <c r="H505" s="9"/>
      <c r="I505" s="8">
        <f t="shared" si="40"/>
        <v>2.5384615384615388</v>
      </c>
      <c r="J505" s="25" t="s">
        <v>284</v>
      </c>
      <c r="K505" s="25" t="s">
        <v>263</v>
      </c>
      <c r="L505" t="s">
        <v>22</v>
      </c>
      <c r="M505" t="s">
        <v>30</v>
      </c>
      <c r="N505" s="11">
        <v>39</v>
      </c>
      <c r="O505" s="11">
        <v>8.2839869279999991</v>
      </c>
      <c r="P505" t="s">
        <v>24</v>
      </c>
      <c r="Q505" t="s">
        <v>25</v>
      </c>
      <c r="R505" t="s">
        <v>26</v>
      </c>
      <c r="S505" t="s">
        <v>31</v>
      </c>
      <c r="T505" t="str">
        <f>VLOOKUP(B505,'[1]Plant data'!$A$1:$AB$315,2,0)</f>
        <v>Cannabaceae</v>
      </c>
      <c r="U505" t="str">
        <f>VLOOKUP($B505,'[1]Plant data'!$A$1:$AB$315,3,0)</f>
        <v>NA</v>
      </c>
      <c r="V505" t="str">
        <f>VLOOKUP($B505,'[1]Plant data'!$A$1:$AB$315,4,0)</f>
        <v>red</v>
      </c>
      <c r="W505" t="str">
        <f>VLOOKUP($B505,'[1]Plant data'!$A$1:$AB$315,5,0)</f>
        <v>YES</v>
      </c>
      <c r="X505">
        <f>VLOOKUP($B505,'[1]Plant data'!$A$1:$AB$315,6,0)</f>
        <v>2.9199999999999995</v>
      </c>
      <c r="Y505">
        <f>VLOOKUP($B505,'[1]Plant data'!$A$1:$AB$315,7,0)</f>
        <v>3.2375000000000003</v>
      </c>
      <c r="Z505">
        <f>VLOOKUP($B505,'[1]Plant data'!$A$1:$AB$315,8,0)</f>
        <v>1.83125</v>
      </c>
      <c r="AA505">
        <f>VLOOKUP($B505,'[1]Plant data'!$A$1:$AB$315,9,0)</f>
        <v>1.96875</v>
      </c>
      <c r="AB505">
        <f>VLOOKUP($B505,'[1]Plant data'!$A$1:$AB$315,10,0)</f>
        <v>9.75E-3</v>
      </c>
      <c r="AC505" t="str">
        <f>VLOOKUP($B505,'[1]Plant data'!$A$1:$AB$315,11,0)</f>
        <v>NA</v>
      </c>
      <c r="AD505">
        <f>VLOOKUP($B505,'[1]Plant data'!$A$1:$AB$315,12,0)</f>
        <v>4.0000000000000001E-3</v>
      </c>
      <c r="AE505">
        <f>VLOOKUP($B505,'[1]Plant data'!$A$1:$AB$315,13,0)</f>
        <v>5.749999999999999E-3</v>
      </c>
      <c r="AF505" t="str">
        <f>VLOOKUP($B505,'[1]Plant data'!$A$1:$AB$315,14,0)</f>
        <v>NA</v>
      </c>
      <c r="AG505">
        <f>VLOOKUP($B505,'[1]Plant data'!$A$1:$AB$315,15,0)</f>
        <v>1</v>
      </c>
      <c r="AH505" t="str">
        <f>VLOOKUP($B505,'[1]Plant data'!$A$1:$AB$315,16,0)</f>
        <v>NA</v>
      </c>
      <c r="AI505">
        <f>VLOOKUP($B505,'[1]Plant data'!$A$1:$AB$315,17,0)</f>
        <v>1.4374999999999998</v>
      </c>
      <c r="AJ505" t="str">
        <f>VLOOKUP($B505,'[1]Plant data'!$A$1:$AB$315,18,0)</f>
        <v>ATLANTIC, Castro 2001, Erica&amp;Wesley, Intervales_morfo, Mikich 2002, Souza 2004, Correia 1997</v>
      </c>
      <c r="AK505" t="str">
        <f>VLOOKUP($B505,'[1]Plant data'!$A$1:$AB$315,19,0)</f>
        <v>NA</v>
      </c>
      <c r="AL505">
        <f>VLOOKUP($B505,'[1]Plant data'!$A$1:$AB$315,20,0)</f>
        <v>0.48760568793234976</v>
      </c>
      <c r="AM505">
        <f>VLOOKUP($B505,'[1]Plant data'!$A$1:$AB$315,21,0)</f>
        <v>0.107406</v>
      </c>
      <c r="AN505">
        <f>VLOOKUP($B505,'[1]Plant data'!$A$1:$AB$315,22,0)</f>
        <v>1.2626597282962414E-3</v>
      </c>
      <c r="AO505">
        <f>VLOOKUP($B505,'[1]Plant data'!$A$1:$AB$315,23,0)</f>
        <v>2.0982975076643082E-2</v>
      </c>
      <c r="AP505" t="str">
        <f>VLOOKUP($B505,'[1]Plant data'!$A$1:$AB$315,24,0)</f>
        <v>NA</v>
      </c>
      <c r="AQ505" t="str">
        <f>VLOOKUP($B505,'[1]Plant data'!$A$1:$AB$315,25,0)</f>
        <v>NA</v>
      </c>
      <c r="AR505" t="str">
        <f>VLOOKUP($B505,'[1]Plant data'!$A$1:$AB$315,26,0)</f>
        <v>NA</v>
      </c>
      <c r="AS505" t="str">
        <f>VLOOKUP($B505,'[1]Plant data'!$A$1:$AB$315,27,0)</f>
        <v>NA</v>
      </c>
      <c r="AT505" t="str">
        <f>VLOOKUP($B505,'[1]Plant data'!$A$1:$AB$315,28,0)</f>
        <v>Erica &amp; Wesley, unpubl.</v>
      </c>
    </row>
    <row r="506" spans="1:46">
      <c r="A506" s="5" t="s">
        <v>43</v>
      </c>
      <c r="B506" s="14" t="s">
        <v>85</v>
      </c>
      <c r="C506">
        <v>9</v>
      </c>
      <c r="D506">
        <v>13</v>
      </c>
      <c r="E506" s="8">
        <f>C506/13</f>
        <v>0.69230769230769229</v>
      </c>
      <c r="F506">
        <v>94</v>
      </c>
      <c r="G506" s="9">
        <f t="shared" si="42"/>
        <v>10.444444444444445</v>
      </c>
      <c r="H506" s="9"/>
      <c r="I506" s="8">
        <f t="shared" si="40"/>
        <v>7.2307692307692308</v>
      </c>
      <c r="J506" t="s">
        <v>284</v>
      </c>
      <c r="K506" t="s">
        <v>263</v>
      </c>
      <c r="L506" t="s">
        <v>22</v>
      </c>
      <c r="M506" t="s">
        <v>30</v>
      </c>
      <c r="N506" s="11">
        <v>32.5</v>
      </c>
      <c r="O506" s="11">
        <v>8.9205555560000001</v>
      </c>
      <c r="P506" t="s">
        <v>24</v>
      </c>
      <c r="Q506" t="s">
        <v>25</v>
      </c>
      <c r="R506" t="s">
        <v>26</v>
      </c>
      <c r="S506" t="s">
        <v>31</v>
      </c>
      <c r="T506" t="str">
        <f>VLOOKUP(B506,'[1]Plant data'!$A$1:$AB$315,2,0)</f>
        <v>Cannabaceae</v>
      </c>
      <c r="U506" t="str">
        <f>VLOOKUP($B506,'[1]Plant data'!$A$1:$AB$315,3,0)</f>
        <v>NA</v>
      </c>
      <c r="V506" t="str">
        <f>VLOOKUP($B506,'[1]Plant data'!$A$1:$AB$315,4,0)</f>
        <v>red</v>
      </c>
      <c r="W506" t="str">
        <f>VLOOKUP($B506,'[1]Plant data'!$A$1:$AB$315,5,0)</f>
        <v>YES</v>
      </c>
      <c r="X506">
        <f>VLOOKUP($B506,'[1]Plant data'!$A$1:$AB$315,6,0)</f>
        <v>2.9199999999999995</v>
      </c>
      <c r="Y506">
        <f>VLOOKUP($B506,'[1]Plant data'!$A$1:$AB$315,7,0)</f>
        <v>3.2375000000000003</v>
      </c>
      <c r="Z506">
        <f>VLOOKUP($B506,'[1]Plant data'!$A$1:$AB$315,8,0)</f>
        <v>1.83125</v>
      </c>
      <c r="AA506">
        <f>VLOOKUP($B506,'[1]Plant data'!$A$1:$AB$315,9,0)</f>
        <v>1.96875</v>
      </c>
      <c r="AB506">
        <f>VLOOKUP($B506,'[1]Plant data'!$A$1:$AB$315,10,0)</f>
        <v>9.75E-3</v>
      </c>
      <c r="AC506" t="str">
        <f>VLOOKUP($B506,'[1]Plant data'!$A$1:$AB$315,11,0)</f>
        <v>NA</v>
      </c>
      <c r="AD506">
        <f>VLOOKUP($B506,'[1]Plant data'!$A$1:$AB$315,12,0)</f>
        <v>4.0000000000000001E-3</v>
      </c>
      <c r="AE506">
        <f>VLOOKUP($B506,'[1]Plant data'!$A$1:$AB$315,13,0)</f>
        <v>5.749999999999999E-3</v>
      </c>
      <c r="AF506" t="str">
        <f>VLOOKUP($B506,'[1]Plant data'!$A$1:$AB$315,14,0)</f>
        <v>NA</v>
      </c>
      <c r="AG506">
        <f>VLOOKUP($B506,'[1]Plant data'!$A$1:$AB$315,15,0)</f>
        <v>1</v>
      </c>
      <c r="AH506" t="str">
        <f>VLOOKUP($B506,'[1]Plant data'!$A$1:$AB$315,16,0)</f>
        <v>NA</v>
      </c>
      <c r="AI506">
        <f>VLOOKUP($B506,'[1]Plant data'!$A$1:$AB$315,17,0)</f>
        <v>1.4374999999999998</v>
      </c>
      <c r="AJ506" t="str">
        <f>VLOOKUP($B506,'[1]Plant data'!$A$1:$AB$315,18,0)</f>
        <v>ATLANTIC, Castro 2001, Erica&amp;Wesley, Intervales_morfo, Mikich 2002, Souza 2004, Correia 1997</v>
      </c>
      <c r="AK506" t="str">
        <f>VLOOKUP($B506,'[1]Plant data'!$A$1:$AB$315,19,0)</f>
        <v>NA</v>
      </c>
      <c r="AL506">
        <f>VLOOKUP($B506,'[1]Plant data'!$A$1:$AB$315,20,0)</f>
        <v>0.48760568793234976</v>
      </c>
      <c r="AM506">
        <f>VLOOKUP($B506,'[1]Plant data'!$A$1:$AB$315,21,0)</f>
        <v>0.107406</v>
      </c>
      <c r="AN506">
        <f>VLOOKUP($B506,'[1]Plant data'!$A$1:$AB$315,22,0)</f>
        <v>1.2626597282962414E-3</v>
      </c>
      <c r="AO506">
        <f>VLOOKUP($B506,'[1]Plant data'!$A$1:$AB$315,23,0)</f>
        <v>2.0982975076643082E-2</v>
      </c>
      <c r="AP506" t="str">
        <f>VLOOKUP($B506,'[1]Plant data'!$A$1:$AB$315,24,0)</f>
        <v>NA</v>
      </c>
      <c r="AQ506" t="str">
        <f>VLOOKUP($B506,'[1]Plant data'!$A$1:$AB$315,25,0)</f>
        <v>NA</v>
      </c>
      <c r="AR506" t="str">
        <f>VLOOKUP($B506,'[1]Plant data'!$A$1:$AB$315,26,0)</f>
        <v>NA</v>
      </c>
      <c r="AS506" t="str">
        <f>VLOOKUP($B506,'[1]Plant data'!$A$1:$AB$315,27,0)</f>
        <v>NA</v>
      </c>
      <c r="AT506" t="str">
        <f>VLOOKUP($B506,'[1]Plant data'!$A$1:$AB$315,28,0)</f>
        <v>Erica &amp; Wesley, unpubl.</v>
      </c>
    </row>
    <row r="507" spans="1:46">
      <c r="A507" s="5" t="s">
        <v>50</v>
      </c>
      <c r="B507" s="14" t="s">
        <v>85</v>
      </c>
      <c r="C507">
        <v>6</v>
      </c>
      <c r="D507">
        <v>13</v>
      </c>
      <c r="E507" s="8">
        <f>C507/13</f>
        <v>0.46153846153846156</v>
      </c>
      <c r="F507">
        <v>145</v>
      </c>
      <c r="G507" s="9">
        <f t="shared" si="42"/>
        <v>24.166666666666668</v>
      </c>
      <c r="H507" s="9"/>
      <c r="I507" s="8">
        <f t="shared" si="40"/>
        <v>11.153846153846155</v>
      </c>
      <c r="J507" t="s">
        <v>284</v>
      </c>
      <c r="K507" t="s">
        <v>263</v>
      </c>
      <c r="L507" t="s">
        <v>22</v>
      </c>
      <c r="M507" t="s">
        <v>47</v>
      </c>
      <c r="N507" s="11">
        <v>69.5</v>
      </c>
      <c r="O507" s="11">
        <v>13.253214290000001</v>
      </c>
      <c r="P507" t="s">
        <v>48</v>
      </c>
      <c r="Q507" t="s">
        <v>25</v>
      </c>
      <c r="R507" t="s">
        <v>26</v>
      </c>
      <c r="S507" t="s">
        <v>31</v>
      </c>
      <c r="T507" t="str">
        <f>VLOOKUP(B507,'[1]Plant data'!$A$1:$AB$315,2,0)</f>
        <v>Cannabaceae</v>
      </c>
      <c r="U507" t="str">
        <f>VLOOKUP($B507,'[1]Plant data'!$A$1:$AB$315,3,0)</f>
        <v>NA</v>
      </c>
      <c r="V507" t="str">
        <f>VLOOKUP($B507,'[1]Plant data'!$A$1:$AB$315,4,0)</f>
        <v>red</v>
      </c>
      <c r="W507" t="str">
        <f>VLOOKUP($B507,'[1]Plant data'!$A$1:$AB$315,5,0)</f>
        <v>YES</v>
      </c>
      <c r="X507">
        <f>VLOOKUP($B507,'[1]Plant data'!$A$1:$AB$315,6,0)</f>
        <v>2.9199999999999995</v>
      </c>
      <c r="Y507">
        <f>VLOOKUP($B507,'[1]Plant data'!$A$1:$AB$315,7,0)</f>
        <v>3.2375000000000003</v>
      </c>
      <c r="Z507">
        <f>VLOOKUP($B507,'[1]Plant data'!$A$1:$AB$315,8,0)</f>
        <v>1.83125</v>
      </c>
      <c r="AA507">
        <f>VLOOKUP($B507,'[1]Plant data'!$A$1:$AB$315,9,0)</f>
        <v>1.96875</v>
      </c>
      <c r="AB507">
        <f>VLOOKUP($B507,'[1]Plant data'!$A$1:$AB$315,10,0)</f>
        <v>9.75E-3</v>
      </c>
      <c r="AC507" t="str">
        <f>VLOOKUP($B507,'[1]Plant data'!$A$1:$AB$315,11,0)</f>
        <v>NA</v>
      </c>
      <c r="AD507">
        <f>VLOOKUP($B507,'[1]Plant data'!$A$1:$AB$315,12,0)</f>
        <v>4.0000000000000001E-3</v>
      </c>
      <c r="AE507">
        <f>VLOOKUP($B507,'[1]Plant data'!$A$1:$AB$315,13,0)</f>
        <v>5.749999999999999E-3</v>
      </c>
      <c r="AF507" t="str">
        <f>VLOOKUP($B507,'[1]Plant data'!$A$1:$AB$315,14,0)</f>
        <v>NA</v>
      </c>
      <c r="AG507">
        <f>VLOOKUP($B507,'[1]Plant data'!$A$1:$AB$315,15,0)</f>
        <v>1</v>
      </c>
      <c r="AH507" t="str">
        <f>VLOOKUP($B507,'[1]Plant data'!$A$1:$AB$315,16,0)</f>
        <v>NA</v>
      </c>
      <c r="AI507">
        <f>VLOOKUP($B507,'[1]Plant data'!$A$1:$AB$315,17,0)</f>
        <v>1.4374999999999998</v>
      </c>
      <c r="AJ507" t="str">
        <f>VLOOKUP($B507,'[1]Plant data'!$A$1:$AB$315,18,0)</f>
        <v>ATLANTIC, Castro 2001, Erica&amp;Wesley, Intervales_morfo, Mikich 2002, Souza 2004, Correia 1997</v>
      </c>
      <c r="AK507" t="str">
        <f>VLOOKUP($B507,'[1]Plant data'!$A$1:$AB$315,19,0)</f>
        <v>NA</v>
      </c>
      <c r="AL507">
        <f>VLOOKUP($B507,'[1]Plant data'!$A$1:$AB$315,20,0)</f>
        <v>0.48760568793234976</v>
      </c>
      <c r="AM507">
        <f>VLOOKUP($B507,'[1]Plant data'!$A$1:$AB$315,21,0)</f>
        <v>0.107406</v>
      </c>
      <c r="AN507">
        <f>VLOOKUP($B507,'[1]Plant data'!$A$1:$AB$315,22,0)</f>
        <v>1.2626597282962414E-3</v>
      </c>
      <c r="AO507">
        <f>VLOOKUP($B507,'[1]Plant data'!$A$1:$AB$315,23,0)</f>
        <v>2.0982975076643082E-2</v>
      </c>
      <c r="AP507" t="str">
        <f>VLOOKUP($B507,'[1]Plant data'!$A$1:$AB$315,24,0)</f>
        <v>NA</v>
      </c>
      <c r="AQ507" t="str">
        <f>VLOOKUP($B507,'[1]Plant data'!$A$1:$AB$315,25,0)</f>
        <v>NA</v>
      </c>
      <c r="AR507" t="str">
        <f>VLOOKUP($B507,'[1]Plant data'!$A$1:$AB$315,26,0)</f>
        <v>NA</v>
      </c>
      <c r="AS507" t="str">
        <f>VLOOKUP($B507,'[1]Plant data'!$A$1:$AB$315,27,0)</f>
        <v>NA</v>
      </c>
      <c r="AT507" t="str">
        <f>VLOOKUP($B507,'[1]Plant data'!$A$1:$AB$315,28,0)</f>
        <v>Erica &amp; Wesley, unpubl.</v>
      </c>
    </row>
    <row r="508" spans="1:46">
      <c r="A508" s="18" t="s">
        <v>65</v>
      </c>
      <c r="B508" s="15" t="s">
        <v>168</v>
      </c>
      <c r="C508">
        <v>1</v>
      </c>
      <c r="D508">
        <v>91.4</v>
      </c>
      <c r="E508" s="9">
        <f>C508/D508</f>
        <v>1.0940919037199124E-2</v>
      </c>
      <c r="F508" s="9">
        <v>3</v>
      </c>
      <c r="G508" s="9">
        <f t="shared" si="42"/>
        <v>3</v>
      </c>
      <c r="H508" s="9"/>
      <c r="I508" s="8">
        <f t="shared" si="40"/>
        <v>3.2822757111597371E-2</v>
      </c>
      <c r="J508" t="s">
        <v>169</v>
      </c>
      <c r="K508" t="s">
        <v>80</v>
      </c>
      <c r="L508" t="s">
        <v>22</v>
      </c>
      <c r="M508" t="s">
        <v>23</v>
      </c>
      <c r="N508" s="11">
        <v>11</v>
      </c>
      <c r="O508" s="11">
        <v>6.1466666669999999</v>
      </c>
      <c r="P508" t="s">
        <v>24</v>
      </c>
      <c r="Q508" t="s">
        <v>25</v>
      </c>
      <c r="R508" t="s">
        <v>26</v>
      </c>
      <c r="S508" s="13" t="s">
        <v>31</v>
      </c>
      <c r="T508" t="str">
        <f>VLOOKUP(B508,'[1]Plant data'!$A$1:$AB$315,2,0)</f>
        <v>Meliaceae</v>
      </c>
      <c r="U508" t="str">
        <f>VLOOKUP($B508,'[1]Plant data'!$A$1:$AB$315,3,0)</f>
        <v>NA</v>
      </c>
      <c r="V508" t="str">
        <f>VLOOKUP($B508,'[1]Plant data'!$A$1:$AB$315,4,0)</f>
        <v>red</v>
      </c>
      <c r="W508" t="str">
        <f>VLOOKUP($B508,'[1]Plant data'!$A$1:$AB$315,5,0)</f>
        <v>YES</v>
      </c>
      <c r="X508">
        <f>VLOOKUP($B508,'[1]Plant data'!$A$1:$AB$315,6,0)</f>
        <v>7.2</v>
      </c>
      <c r="Y508">
        <f>VLOOKUP($B508,'[1]Plant data'!$A$1:$AB$315,7,0)</f>
        <v>14.1</v>
      </c>
      <c r="Z508">
        <f>VLOOKUP($B508,'[1]Plant data'!$A$1:$AB$315,8,0)</f>
        <v>5.85</v>
      </c>
      <c r="AA508">
        <f>VLOOKUP($B508,'[1]Plant data'!$A$1:$AB$315,9,0)</f>
        <v>10.65</v>
      </c>
      <c r="AB508" t="str">
        <f>VLOOKUP($B508,'[1]Plant data'!$A$1:$AB$315,10,0)</f>
        <v>NA</v>
      </c>
      <c r="AC508" t="str">
        <f>VLOOKUP($B508,'[1]Plant data'!$A$1:$AB$315,11,0)</f>
        <v>NA</v>
      </c>
      <c r="AD508" t="str">
        <f>VLOOKUP($B508,'[1]Plant data'!$A$1:$AB$315,12,0)</f>
        <v>NA</v>
      </c>
      <c r="AE508" t="str">
        <f>VLOOKUP($B508,'[1]Plant data'!$A$1:$AB$315,13,0)</f>
        <v>NA</v>
      </c>
      <c r="AF508">
        <f>VLOOKUP($B508,'[1]Plant data'!$A$1:$AB$315,14,0)</f>
        <v>2</v>
      </c>
      <c r="AG508" t="str">
        <f>VLOOKUP($B508,'[1]Plant data'!$A$1:$AB$315,15,0)</f>
        <v>NA</v>
      </c>
      <c r="AH508" t="str">
        <f>VLOOKUP($B508,'[1]Plant data'!$A$1:$AB$315,16,0)</f>
        <v>NA</v>
      </c>
      <c r="AI508" t="str">
        <f>VLOOKUP($B508,'[1]Plant data'!$A$1:$AB$315,17,0)</f>
        <v>NA</v>
      </c>
      <c r="AJ508" t="str">
        <f>VLOOKUP($B508,'[1]Plant data'!$A$1:$AB$315,18,0)</f>
        <v>ATLANTIC, Mikich 2002</v>
      </c>
      <c r="AK508" t="str">
        <f>VLOOKUP($B508,'[1]Plant data'!$A$1:$AB$315,19,0)</f>
        <v>NA</v>
      </c>
      <c r="AL508" t="str">
        <f>VLOOKUP($B508,'[1]Plant data'!$A$1:$AB$315,20,0)</f>
        <v>NA</v>
      </c>
      <c r="AM508" t="str">
        <f>VLOOKUP($B508,'[1]Plant data'!$A$1:$AB$315,21,0)</f>
        <v>NA</v>
      </c>
      <c r="AN508" t="str">
        <f>VLOOKUP($B508,'[1]Plant data'!$A$1:$AB$315,22,0)</f>
        <v>NA</v>
      </c>
      <c r="AO508" t="str">
        <f>VLOOKUP($B508,'[1]Plant data'!$A$1:$AB$315,23,0)</f>
        <v>NA</v>
      </c>
      <c r="AP508" t="str">
        <f>VLOOKUP($B508,'[1]Plant data'!$A$1:$AB$315,24,0)</f>
        <v>NA</v>
      </c>
      <c r="AQ508" t="str">
        <f>VLOOKUP($B508,'[1]Plant data'!$A$1:$AB$315,25,0)</f>
        <v>NA</v>
      </c>
      <c r="AR508" t="str">
        <f>VLOOKUP($B508,'[1]Plant data'!$A$1:$AB$315,26,0)</f>
        <v>NA</v>
      </c>
      <c r="AS508" t="str">
        <f>VLOOKUP($B508,'[1]Plant data'!$A$1:$AB$315,27,0)</f>
        <v>NA</v>
      </c>
      <c r="AT508" t="str">
        <f>VLOOKUP($B508,'[1]Plant data'!$A$1:$AB$315,28,0)</f>
        <v>NA</v>
      </c>
    </row>
    <row r="509" spans="1:46">
      <c r="A509" s="18" t="s">
        <v>28</v>
      </c>
      <c r="B509" s="15" t="s">
        <v>168</v>
      </c>
      <c r="C509">
        <v>3</v>
      </c>
      <c r="D509">
        <v>91.4</v>
      </c>
      <c r="E509" s="9">
        <f>C509/D509</f>
        <v>3.2822757111597371E-2</v>
      </c>
      <c r="F509" s="9">
        <v>3</v>
      </c>
      <c r="G509" s="9">
        <f t="shared" si="42"/>
        <v>1</v>
      </c>
      <c r="H509" s="9"/>
      <c r="I509" s="8">
        <f t="shared" si="40"/>
        <v>3.2822757111597371E-2</v>
      </c>
      <c r="J509" t="s">
        <v>169</v>
      </c>
      <c r="K509" t="s">
        <v>80</v>
      </c>
      <c r="L509" t="s">
        <v>22</v>
      </c>
      <c r="M509" t="s">
        <v>30</v>
      </c>
      <c r="N509" s="11">
        <v>18</v>
      </c>
      <c r="O509" s="11">
        <v>7.4188405800000004</v>
      </c>
      <c r="P509" t="s">
        <v>24</v>
      </c>
      <c r="Q509" s="13" t="s">
        <v>25</v>
      </c>
      <c r="R509" s="13" t="s">
        <v>26</v>
      </c>
      <c r="S509" s="13" t="s">
        <v>31</v>
      </c>
      <c r="T509" t="str">
        <f>VLOOKUP(B509,'[1]Plant data'!$A$1:$AB$315,2,0)</f>
        <v>Meliaceae</v>
      </c>
      <c r="U509" t="str">
        <f>VLOOKUP($B509,'[1]Plant data'!$A$1:$AB$315,3,0)</f>
        <v>NA</v>
      </c>
      <c r="V509" t="str">
        <f>VLOOKUP($B509,'[1]Plant data'!$A$1:$AB$315,4,0)</f>
        <v>red</v>
      </c>
      <c r="W509" t="str">
        <f>VLOOKUP($B509,'[1]Plant data'!$A$1:$AB$315,5,0)</f>
        <v>YES</v>
      </c>
      <c r="X509">
        <f>VLOOKUP($B509,'[1]Plant data'!$A$1:$AB$315,6,0)</f>
        <v>7.2</v>
      </c>
      <c r="Y509">
        <f>VLOOKUP($B509,'[1]Plant data'!$A$1:$AB$315,7,0)</f>
        <v>14.1</v>
      </c>
      <c r="Z509">
        <f>VLOOKUP($B509,'[1]Plant data'!$A$1:$AB$315,8,0)</f>
        <v>5.85</v>
      </c>
      <c r="AA509">
        <f>VLOOKUP($B509,'[1]Plant data'!$A$1:$AB$315,9,0)</f>
        <v>10.65</v>
      </c>
      <c r="AB509" t="str">
        <f>VLOOKUP($B509,'[1]Plant data'!$A$1:$AB$315,10,0)</f>
        <v>NA</v>
      </c>
      <c r="AC509" t="str">
        <f>VLOOKUP($B509,'[1]Plant data'!$A$1:$AB$315,11,0)</f>
        <v>NA</v>
      </c>
      <c r="AD509" t="str">
        <f>VLOOKUP($B509,'[1]Plant data'!$A$1:$AB$315,12,0)</f>
        <v>NA</v>
      </c>
      <c r="AE509" t="str">
        <f>VLOOKUP($B509,'[1]Plant data'!$A$1:$AB$315,13,0)</f>
        <v>NA</v>
      </c>
      <c r="AF509">
        <f>VLOOKUP($B509,'[1]Plant data'!$A$1:$AB$315,14,0)</f>
        <v>2</v>
      </c>
      <c r="AG509" t="str">
        <f>VLOOKUP($B509,'[1]Plant data'!$A$1:$AB$315,15,0)</f>
        <v>NA</v>
      </c>
      <c r="AH509" t="str">
        <f>VLOOKUP($B509,'[1]Plant data'!$A$1:$AB$315,16,0)</f>
        <v>NA</v>
      </c>
      <c r="AI509" t="str">
        <f>VLOOKUP($B509,'[1]Plant data'!$A$1:$AB$315,17,0)</f>
        <v>NA</v>
      </c>
      <c r="AJ509" t="str">
        <f>VLOOKUP($B509,'[1]Plant data'!$A$1:$AB$315,18,0)</f>
        <v>ATLANTIC, Mikich 2002</v>
      </c>
      <c r="AK509" t="str">
        <f>VLOOKUP($B509,'[1]Plant data'!$A$1:$AB$315,19,0)</f>
        <v>NA</v>
      </c>
      <c r="AL509" t="str">
        <f>VLOOKUP($B509,'[1]Plant data'!$A$1:$AB$315,20,0)</f>
        <v>NA</v>
      </c>
      <c r="AM509" t="str">
        <f>VLOOKUP($B509,'[1]Plant data'!$A$1:$AB$315,21,0)</f>
        <v>NA</v>
      </c>
      <c r="AN509" t="str">
        <f>VLOOKUP($B509,'[1]Plant data'!$A$1:$AB$315,22,0)</f>
        <v>NA</v>
      </c>
      <c r="AO509" t="str">
        <f>VLOOKUP($B509,'[1]Plant data'!$A$1:$AB$315,23,0)</f>
        <v>NA</v>
      </c>
      <c r="AP509" t="str">
        <f>VLOOKUP($B509,'[1]Plant data'!$A$1:$AB$315,24,0)</f>
        <v>NA</v>
      </c>
      <c r="AQ509" t="str">
        <f>VLOOKUP($B509,'[1]Plant data'!$A$1:$AB$315,25,0)</f>
        <v>NA</v>
      </c>
      <c r="AR509" t="str">
        <f>VLOOKUP($B509,'[1]Plant data'!$A$1:$AB$315,26,0)</f>
        <v>NA</v>
      </c>
      <c r="AS509" t="str">
        <f>VLOOKUP($B509,'[1]Plant data'!$A$1:$AB$315,27,0)</f>
        <v>NA</v>
      </c>
      <c r="AT509" t="str">
        <f>VLOOKUP($B509,'[1]Plant data'!$A$1:$AB$315,28,0)</f>
        <v>NA</v>
      </c>
    </row>
    <row r="510" spans="1:46">
      <c r="A510" s="5" t="s">
        <v>106</v>
      </c>
      <c r="B510" s="14" t="s">
        <v>168</v>
      </c>
      <c r="C510">
        <v>3</v>
      </c>
      <c r="D510" s="7">
        <v>91.4</v>
      </c>
      <c r="E510" s="8">
        <f>C510/D510</f>
        <v>3.2822757111597371E-2</v>
      </c>
      <c r="F510">
        <v>4</v>
      </c>
      <c r="G510" s="9">
        <f t="shared" si="42"/>
        <v>1.3333333333333333</v>
      </c>
      <c r="H510" s="9"/>
      <c r="I510" s="8">
        <f t="shared" si="40"/>
        <v>4.376367614879649E-2</v>
      </c>
      <c r="J510" t="s">
        <v>169</v>
      </c>
      <c r="K510" t="s">
        <v>80</v>
      </c>
      <c r="L510" t="s">
        <v>22</v>
      </c>
      <c r="M510" t="s">
        <v>75</v>
      </c>
      <c r="N510" s="11">
        <v>68.099999999999994</v>
      </c>
      <c r="O510" s="11">
        <v>16.570370369999999</v>
      </c>
      <c r="P510" t="s">
        <v>48</v>
      </c>
      <c r="Q510" t="s">
        <v>49</v>
      </c>
      <c r="R510" t="s">
        <v>26</v>
      </c>
      <c r="S510" t="s">
        <v>27</v>
      </c>
      <c r="T510" t="str">
        <f>VLOOKUP(B510,'[1]Plant data'!$A$1:$AB$315,2,0)</f>
        <v>Meliaceae</v>
      </c>
      <c r="U510" t="str">
        <f>VLOOKUP($B510,'[1]Plant data'!$A$1:$AB$315,3,0)</f>
        <v>NA</v>
      </c>
      <c r="V510" t="str">
        <f>VLOOKUP($B510,'[1]Plant data'!$A$1:$AB$315,4,0)</f>
        <v>red</v>
      </c>
      <c r="W510" t="str">
        <f>VLOOKUP($B510,'[1]Plant data'!$A$1:$AB$315,5,0)</f>
        <v>YES</v>
      </c>
      <c r="X510">
        <f>VLOOKUP($B510,'[1]Plant data'!$A$1:$AB$315,6,0)</f>
        <v>7.2</v>
      </c>
      <c r="Y510">
        <f>VLOOKUP($B510,'[1]Plant data'!$A$1:$AB$315,7,0)</f>
        <v>14.1</v>
      </c>
      <c r="Z510">
        <f>VLOOKUP($B510,'[1]Plant data'!$A$1:$AB$315,8,0)</f>
        <v>5.85</v>
      </c>
      <c r="AA510">
        <f>VLOOKUP($B510,'[1]Plant data'!$A$1:$AB$315,9,0)</f>
        <v>10.65</v>
      </c>
      <c r="AB510" t="str">
        <f>VLOOKUP($B510,'[1]Plant data'!$A$1:$AB$315,10,0)</f>
        <v>NA</v>
      </c>
      <c r="AC510" t="str">
        <f>VLOOKUP($B510,'[1]Plant data'!$A$1:$AB$315,11,0)</f>
        <v>NA</v>
      </c>
      <c r="AD510" t="str">
        <f>VLOOKUP($B510,'[1]Plant data'!$A$1:$AB$315,12,0)</f>
        <v>NA</v>
      </c>
      <c r="AE510" t="str">
        <f>VLOOKUP($B510,'[1]Plant data'!$A$1:$AB$315,13,0)</f>
        <v>NA</v>
      </c>
      <c r="AF510">
        <f>VLOOKUP($B510,'[1]Plant data'!$A$1:$AB$315,14,0)</f>
        <v>2</v>
      </c>
      <c r="AG510" t="str">
        <f>VLOOKUP($B510,'[1]Plant data'!$A$1:$AB$315,15,0)</f>
        <v>NA</v>
      </c>
      <c r="AH510" t="str">
        <f>VLOOKUP($B510,'[1]Plant data'!$A$1:$AB$315,16,0)</f>
        <v>NA</v>
      </c>
      <c r="AI510" t="str">
        <f>VLOOKUP($B510,'[1]Plant data'!$A$1:$AB$315,17,0)</f>
        <v>NA</v>
      </c>
      <c r="AJ510" t="str">
        <f>VLOOKUP($B510,'[1]Plant data'!$A$1:$AB$315,18,0)</f>
        <v>ATLANTIC, Mikich 2002</v>
      </c>
      <c r="AK510" t="str">
        <f>VLOOKUP($B510,'[1]Plant data'!$A$1:$AB$315,19,0)</f>
        <v>NA</v>
      </c>
      <c r="AL510" t="str">
        <f>VLOOKUP($B510,'[1]Plant data'!$A$1:$AB$315,20,0)</f>
        <v>NA</v>
      </c>
      <c r="AM510" t="str">
        <f>VLOOKUP($B510,'[1]Plant data'!$A$1:$AB$315,21,0)</f>
        <v>NA</v>
      </c>
      <c r="AN510" t="str">
        <f>VLOOKUP($B510,'[1]Plant data'!$A$1:$AB$315,22,0)</f>
        <v>NA</v>
      </c>
      <c r="AO510" t="str">
        <f>VLOOKUP($B510,'[1]Plant data'!$A$1:$AB$315,23,0)</f>
        <v>NA</v>
      </c>
      <c r="AP510" t="str">
        <f>VLOOKUP($B510,'[1]Plant data'!$A$1:$AB$315,24,0)</f>
        <v>NA</v>
      </c>
      <c r="AQ510" t="str">
        <f>VLOOKUP($B510,'[1]Plant data'!$A$1:$AB$315,25,0)</f>
        <v>NA</v>
      </c>
      <c r="AR510" t="str">
        <f>VLOOKUP($B510,'[1]Plant data'!$A$1:$AB$315,26,0)</f>
        <v>NA</v>
      </c>
      <c r="AS510" t="str">
        <f>VLOOKUP($B510,'[1]Plant data'!$A$1:$AB$315,27,0)</f>
        <v>NA</v>
      </c>
      <c r="AT510" t="str">
        <f>VLOOKUP($B510,'[1]Plant data'!$A$1:$AB$315,28,0)</f>
        <v>NA</v>
      </c>
    </row>
    <row r="511" spans="1:46">
      <c r="A511" s="5" t="s">
        <v>50</v>
      </c>
      <c r="B511" s="14" t="s">
        <v>168</v>
      </c>
      <c r="C511">
        <v>6</v>
      </c>
      <c r="D511" s="7">
        <v>91.4</v>
      </c>
      <c r="E511" s="8">
        <f>C511/D511</f>
        <v>6.5645514223194742E-2</v>
      </c>
      <c r="F511">
        <v>11</v>
      </c>
      <c r="G511" s="9">
        <f t="shared" si="42"/>
        <v>1.8333333333333333</v>
      </c>
      <c r="H511" s="9"/>
      <c r="I511" s="8">
        <f t="shared" si="40"/>
        <v>0.12035010940919036</v>
      </c>
      <c r="J511" t="s">
        <v>169</v>
      </c>
      <c r="K511" t="s">
        <v>80</v>
      </c>
      <c r="L511" t="s">
        <v>22</v>
      </c>
      <c r="M511" t="s">
        <v>47</v>
      </c>
      <c r="N511" s="11">
        <v>69.5</v>
      </c>
      <c r="O511" s="11">
        <v>13.253214290000001</v>
      </c>
      <c r="P511" t="s">
        <v>48</v>
      </c>
      <c r="Q511" t="s">
        <v>25</v>
      </c>
      <c r="R511" t="s">
        <v>26</v>
      </c>
      <c r="S511" t="s">
        <v>31</v>
      </c>
      <c r="T511" t="str">
        <f>VLOOKUP(B511,'[1]Plant data'!$A$1:$AB$315,2,0)</f>
        <v>Meliaceae</v>
      </c>
      <c r="U511" t="str">
        <f>VLOOKUP($B511,'[1]Plant data'!$A$1:$AB$315,3,0)</f>
        <v>NA</v>
      </c>
      <c r="V511" t="str">
        <f>VLOOKUP($B511,'[1]Plant data'!$A$1:$AB$315,4,0)</f>
        <v>red</v>
      </c>
      <c r="W511" t="str">
        <f>VLOOKUP($B511,'[1]Plant data'!$A$1:$AB$315,5,0)</f>
        <v>YES</v>
      </c>
      <c r="X511">
        <f>VLOOKUP($B511,'[1]Plant data'!$A$1:$AB$315,6,0)</f>
        <v>7.2</v>
      </c>
      <c r="Y511">
        <f>VLOOKUP($B511,'[1]Plant data'!$A$1:$AB$315,7,0)</f>
        <v>14.1</v>
      </c>
      <c r="Z511">
        <f>VLOOKUP($B511,'[1]Plant data'!$A$1:$AB$315,8,0)</f>
        <v>5.85</v>
      </c>
      <c r="AA511">
        <f>VLOOKUP($B511,'[1]Plant data'!$A$1:$AB$315,9,0)</f>
        <v>10.65</v>
      </c>
      <c r="AB511" t="str">
        <f>VLOOKUP($B511,'[1]Plant data'!$A$1:$AB$315,10,0)</f>
        <v>NA</v>
      </c>
      <c r="AC511" t="str">
        <f>VLOOKUP($B511,'[1]Plant data'!$A$1:$AB$315,11,0)</f>
        <v>NA</v>
      </c>
      <c r="AD511" t="str">
        <f>VLOOKUP($B511,'[1]Plant data'!$A$1:$AB$315,12,0)</f>
        <v>NA</v>
      </c>
      <c r="AE511" t="str">
        <f>VLOOKUP($B511,'[1]Plant data'!$A$1:$AB$315,13,0)</f>
        <v>NA</v>
      </c>
      <c r="AF511">
        <f>VLOOKUP($B511,'[1]Plant data'!$A$1:$AB$315,14,0)</f>
        <v>2</v>
      </c>
      <c r="AG511" t="str">
        <f>VLOOKUP($B511,'[1]Plant data'!$A$1:$AB$315,15,0)</f>
        <v>NA</v>
      </c>
      <c r="AH511" t="str">
        <f>VLOOKUP($B511,'[1]Plant data'!$A$1:$AB$315,16,0)</f>
        <v>NA</v>
      </c>
      <c r="AI511" t="str">
        <f>VLOOKUP($B511,'[1]Plant data'!$A$1:$AB$315,17,0)</f>
        <v>NA</v>
      </c>
      <c r="AJ511" t="str">
        <f>VLOOKUP($B511,'[1]Plant data'!$A$1:$AB$315,18,0)</f>
        <v>ATLANTIC, Mikich 2002</v>
      </c>
      <c r="AK511" t="str">
        <f>VLOOKUP($B511,'[1]Plant data'!$A$1:$AB$315,19,0)</f>
        <v>NA</v>
      </c>
      <c r="AL511" t="str">
        <f>VLOOKUP($B511,'[1]Plant data'!$A$1:$AB$315,20,0)</f>
        <v>NA</v>
      </c>
      <c r="AM511" t="str">
        <f>VLOOKUP($B511,'[1]Plant data'!$A$1:$AB$315,21,0)</f>
        <v>NA</v>
      </c>
      <c r="AN511" t="str">
        <f>VLOOKUP($B511,'[1]Plant data'!$A$1:$AB$315,22,0)</f>
        <v>NA</v>
      </c>
      <c r="AO511" t="str">
        <f>VLOOKUP($B511,'[1]Plant data'!$A$1:$AB$315,23,0)</f>
        <v>NA</v>
      </c>
      <c r="AP511" t="str">
        <f>VLOOKUP($B511,'[1]Plant data'!$A$1:$AB$315,24,0)</f>
        <v>NA</v>
      </c>
      <c r="AQ511" t="str">
        <f>VLOOKUP($B511,'[1]Plant data'!$A$1:$AB$315,25,0)</f>
        <v>NA</v>
      </c>
      <c r="AR511" t="str">
        <f>VLOOKUP($B511,'[1]Plant data'!$A$1:$AB$315,26,0)</f>
        <v>NA</v>
      </c>
      <c r="AS511" t="str">
        <f>VLOOKUP($B511,'[1]Plant data'!$A$1:$AB$315,27,0)</f>
        <v>NA</v>
      </c>
      <c r="AT511" t="str">
        <f>VLOOKUP($B511,'[1]Plant data'!$A$1:$AB$315,28,0)</f>
        <v>NA</v>
      </c>
    </row>
    <row r="512" spans="1:46">
      <c r="A512" s="5" t="s">
        <v>28</v>
      </c>
      <c r="B512" s="15" t="s">
        <v>86</v>
      </c>
      <c r="C512" s="7">
        <v>3</v>
      </c>
      <c r="D512" s="7">
        <v>30</v>
      </c>
      <c r="E512" s="8">
        <f>C512/D512</f>
        <v>0.1</v>
      </c>
      <c r="F512">
        <v>3</v>
      </c>
      <c r="G512" s="9">
        <f t="shared" si="42"/>
        <v>1</v>
      </c>
      <c r="H512" s="9"/>
      <c r="I512" s="8">
        <f t="shared" si="40"/>
        <v>0.1</v>
      </c>
      <c r="J512" t="s">
        <v>79</v>
      </c>
      <c r="K512" t="s">
        <v>80</v>
      </c>
      <c r="L512" t="s">
        <v>22</v>
      </c>
      <c r="M512" t="s">
        <v>30</v>
      </c>
      <c r="N512" s="11">
        <v>18</v>
      </c>
      <c r="O512" s="11">
        <v>7.4188405800000004</v>
      </c>
      <c r="P512" t="s">
        <v>24</v>
      </c>
      <c r="Q512" s="13" t="s">
        <v>25</v>
      </c>
      <c r="R512" s="13" t="s">
        <v>26</v>
      </c>
      <c r="S512" s="13" t="s">
        <v>31</v>
      </c>
      <c r="T512" t="str">
        <f>VLOOKUP(B512,'[1]Plant data'!$A$1:$AB$315,2,0)</f>
        <v>Meliaceae</v>
      </c>
      <c r="U512" t="str">
        <f>VLOOKUP($B512,'[1]Plant data'!$A$1:$AB$315,3,0)</f>
        <v>NA</v>
      </c>
      <c r="V512" t="str">
        <f>VLOOKUP($B512,'[1]Plant data'!$A$1:$AB$315,4,0)</f>
        <v>red</v>
      </c>
      <c r="W512" t="str">
        <f>VLOOKUP($B512,'[1]Plant data'!$A$1:$AB$315,5,0)</f>
        <v>YES</v>
      </c>
      <c r="X512">
        <f>VLOOKUP($B512,'[1]Plant data'!$A$1:$AB$315,6,0)</f>
        <v>7.7</v>
      </c>
      <c r="Y512">
        <f>VLOOKUP($B512,'[1]Plant data'!$A$1:$AB$315,7,0)</f>
        <v>9.5500000000000007</v>
      </c>
      <c r="Z512">
        <f>VLOOKUP($B512,'[1]Plant data'!$A$1:$AB$315,8,0)</f>
        <v>9</v>
      </c>
      <c r="AA512">
        <f>VLOOKUP($B512,'[1]Plant data'!$A$1:$AB$315,9,0)</f>
        <v>6</v>
      </c>
      <c r="AB512">
        <f>VLOOKUP($B512,'[1]Plant data'!$A$1:$AB$315,10,0)</f>
        <v>0.5</v>
      </c>
      <c r="AC512" t="str">
        <f>VLOOKUP($B512,'[1]Plant data'!$A$1:$AB$315,11,0)</f>
        <v>NA</v>
      </c>
      <c r="AD512" t="str">
        <f>VLOOKUP($B512,'[1]Plant data'!$A$1:$AB$315,12,0)</f>
        <v>NA</v>
      </c>
      <c r="AE512" t="str">
        <f>VLOOKUP($B512,'[1]Plant data'!$A$1:$AB$315,13,0)</f>
        <v>NA</v>
      </c>
      <c r="AF512" t="str">
        <f>VLOOKUP($B512,'[1]Plant data'!$A$1:$AB$315,14,0)</f>
        <v>NA</v>
      </c>
      <c r="AG512" t="str">
        <f>VLOOKUP($B512,'[1]Plant data'!$A$1:$AB$315,15,0)</f>
        <v>NA</v>
      </c>
      <c r="AH512" t="str">
        <f>VLOOKUP($B512,'[1]Plant data'!$A$1:$AB$315,16,0)</f>
        <v>NA</v>
      </c>
      <c r="AI512" t="str">
        <f>VLOOKUP($B512,'[1]Plant data'!$A$1:$AB$315,17,0)</f>
        <v>NA</v>
      </c>
      <c r="AJ512" t="str">
        <f>VLOOKUP($B512,'[1]Plant data'!$A$1:$AB$315,18,0)</f>
        <v>Athie &amp; Dias 2012, ATLANTIC</v>
      </c>
      <c r="AK512" t="str">
        <f>VLOOKUP($B512,'[1]Plant data'!$A$1:$AB$315,19,0)</f>
        <v>NA</v>
      </c>
      <c r="AL512" t="str">
        <f>VLOOKUP($B512,'[1]Plant data'!$A$1:$AB$315,20,0)</f>
        <v>NA</v>
      </c>
      <c r="AM512" t="str">
        <f>VLOOKUP($B512,'[1]Plant data'!$A$1:$AB$315,21,0)</f>
        <v>NA</v>
      </c>
      <c r="AN512" t="str">
        <f>VLOOKUP($B512,'[1]Plant data'!$A$1:$AB$315,22,0)</f>
        <v>NA</v>
      </c>
      <c r="AO512" t="str">
        <f>VLOOKUP($B512,'[1]Plant data'!$A$1:$AB$315,23,0)</f>
        <v>NA</v>
      </c>
      <c r="AP512" t="str">
        <f>VLOOKUP($B512,'[1]Plant data'!$A$1:$AB$315,24,0)</f>
        <v>NA</v>
      </c>
      <c r="AQ512" t="str">
        <f>VLOOKUP($B512,'[1]Plant data'!$A$1:$AB$315,25,0)</f>
        <v>NA</v>
      </c>
      <c r="AR512" t="str">
        <f>VLOOKUP($B512,'[1]Plant data'!$A$1:$AB$315,26,0)</f>
        <v>NA</v>
      </c>
      <c r="AS512" t="str">
        <f>VLOOKUP($B512,'[1]Plant data'!$A$1:$AB$315,27,0)</f>
        <v>NA</v>
      </c>
      <c r="AT512" t="str">
        <f>VLOOKUP($B512,'[1]Plant data'!$A$1:$AB$315,28,0)</f>
        <v>NA</v>
      </c>
    </row>
    <row r="513" spans="1:46">
      <c r="A513" s="5" t="s">
        <v>43</v>
      </c>
      <c r="B513" s="14" t="s">
        <v>86</v>
      </c>
      <c r="C513" s="7">
        <v>5</v>
      </c>
      <c r="D513" s="7">
        <v>30</v>
      </c>
      <c r="E513" s="8">
        <f>C513/30</f>
        <v>0.16666666666666666</v>
      </c>
      <c r="F513">
        <v>7</v>
      </c>
      <c r="G513" s="9">
        <f t="shared" si="42"/>
        <v>1.4</v>
      </c>
      <c r="H513" s="9"/>
      <c r="I513" s="8">
        <f t="shared" si="40"/>
        <v>0.23333333333333331</v>
      </c>
      <c r="J513" s="10" t="s">
        <v>79</v>
      </c>
      <c r="K513" t="s">
        <v>80</v>
      </c>
      <c r="L513" t="s">
        <v>22</v>
      </c>
      <c r="M513" t="s">
        <v>30</v>
      </c>
      <c r="N513" s="11">
        <v>32.5</v>
      </c>
      <c r="O513" s="11">
        <v>8.9205555560000001</v>
      </c>
      <c r="P513" t="s">
        <v>24</v>
      </c>
      <c r="Q513" t="s">
        <v>25</v>
      </c>
      <c r="R513" t="s">
        <v>26</v>
      </c>
      <c r="S513" t="s">
        <v>31</v>
      </c>
      <c r="T513" t="str">
        <f>VLOOKUP(B513,'[1]Plant data'!$A$1:$AB$315,2,0)</f>
        <v>Meliaceae</v>
      </c>
      <c r="U513" t="str">
        <f>VLOOKUP($B513,'[1]Plant data'!$A$1:$AB$315,3,0)</f>
        <v>NA</v>
      </c>
      <c r="V513" t="str">
        <f>VLOOKUP($B513,'[1]Plant data'!$A$1:$AB$315,4,0)</f>
        <v>red</v>
      </c>
      <c r="W513" t="str">
        <f>VLOOKUP($B513,'[1]Plant data'!$A$1:$AB$315,5,0)</f>
        <v>YES</v>
      </c>
      <c r="X513">
        <f>VLOOKUP($B513,'[1]Plant data'!$A$1:$AB$315,6,0)</f>
        <v>7.7</v>
      </c>
      <c r="Y513">
        <f>VLOOKUP($B513,'[1]Plant data'!$A$1:$AB$315,7,0)</f>
        <v>9.5500000000000007</v>
      </c>
      <c r="Z513">
        <f>VLOOKUP($B513,'[1]Plant data'!$A$1:$AB$315,8,0)</f>
        <v>9</v>
      </c>
      <c r="AA513">
        <f>VLOOKUP($B513,'[1]Plant data'!$A$1:$AB$315,9,0)</f>
        <v>6</v>
      </c>
      <c r="AB513">
        <f>VLOOKUP($B513,'[1]Plant data'!$A$1:$AB$315,10,0)</f>
        <v>0.5</v>
      </c>
      <c r="AC513" t="str">
        <f>VLOOKUP($B513,'[1]Plant data'!$A$1:$AB$315,11,0)</f>
        <v>NA</v>
      </c>
      <c r="AD513" t="str">
        <f>VLOOKUP($B513,'[1]Plant data'!$A$1:$AB$315,12,0)</f>
        <v>NA</v>
      </c>
      <c r="AE513" t="str">
        <f>VLOOKUP($B513,'[1]Plant data'!$A$1:$AB$315,13,0)</f>
        <v>NA</v>
      </c>
      <c r="AF513" t="str">
        <f>VLOOKUP($B513,'[1]Plant data'!$A$1:$AB$315,14,0)</f>
        <v>NA</v>
      </c>
      <c r="AG513" t="str">
        <f>VLOOKUP($B513,'[1]Plant data'!$A$1:$AB$315,15,0)</f>
        <v>NA</v>
      </c>
      <c r="AH513" t="str">
        <f>VLOOKUP($B513,'[1]Plant data'!$A$1:$AB$315,16,0)</f>
        <v>NA</v>
      </c>
      <c r="AI513" t="str">
        <f>VLOOKUP($B513,'[1]Plant data'!$A$1:$AB$315,17,0)</f>
        <v>NA</v>
      </c>
      <c r="AJ513" t="str">
        <f>VLOOKUP($B513,'[1]Plant data'!$A$1:$AB$315,18,0)</f>
        <v>Athie &amp; Dias 2012, ATLANTIC</v>
      </c>
      <c r="AK513" t="str">
        <f>VLOOKUP($B513,'[1]Plant data'!$A$1:$AB$315,19,0)</f>
        <v>NA</v>
      </c>
      <c r="AL513" t="str">
        <f>VLOOKUP($B513,'[1]Plant data'!$A$1:$AB$315,20,0)</f>
        <v>NA</v>
      </c>
      <c r="AM513" t="str">
        <f>VLOOKUP($B513,'[1]Plant data'!$A$1:$AB$315,21,0)</f>
        <v>NA</v>
      </c>
      <c r="AN513" t="str">
        <f>VLOOKUP($B513,'[1]Plant data'!$A$1:$AB$315,22,0)</f>
        <v>NA</v>
      </c>
      <c r="AO513" t="str">
        <f>VLOOKUP($B513,'[1]Plant data'!$A$1:$AB$315,23,0)</f>
        <v>NA</v>
      </c>
      <c r="AP513" t="str">
        <f>VLOOKUP($B513,'[1]Plant data'!$A$1:$AB$315,24,0)</f>
        <v>NA</v>
      </c>
      <c r="AQ513" t="str">
        <f>VLOOKUP($B513,'[1]Plant data'!$A$1:$AB$315,25,0)</f>
        <v>NA</v>
      </c>
      <c r="AR513" t="str">
        <f>VLOOKUP($B513,'[1]Plant data'!$A$1:$AB$315,26,0)</f>
        <v>NA</v>
      </c>
      <c r="AS513" t="str">
        <f>VLOOKUP($B513,'[1]Plant data'!$A$1:$AB$315,27,0)</f>
        <v>NA</v>
      </c>
      <c r="AT513" t="str">
        <f>VLOOKUP($B513,'[1]Plant data'!$A$1:$AB$315,28,0)</f>
        <v>NA</v>
      </c>
    </row>
    <row r="514" spans="1:46">
      <c r="A514" s="18" t="s">
        <v>28</v>
      </c>
      <c r="B514" s="15" t="s">
        <v>86</v>
      </c>
      <c r="C514">
        <v>2</v>
      </c>
      <c r="D514">
        <v>90.5</v>
      </c>
      <c r="E514" s="9">
        <f>C514/D514</f>
        <v>2.2099447513812154E-2</v>
      </c>
      <c r="F514" s="9">
        <v>5</v>
      </c>
      <c r="G514" s="9">
        <f t="shared" si="42"/>
        <v>2.5</v>
      </c>
      <c r="H514" s="9"/>
      <c r="I514" s="8">
        <f t="shared" si="40"/>
        <v>5.5248618784530384E-2</v>
      </c>
      <c r="J514" t="s">
        <v>169</v>
      </c>
      <c r="K514" t="s">
        <v>80</v>
      </c>
      <c r="L514" t="s">
        <v>22</v>
      </c>
      <c r="M514" t="s">
        <v>30</v>
      </c>
      <c r="N514" s="11">
        <v>18</v>
      </c>
      <c r="O514" s="11">
        <v>7.4188405800000004</v>
      </c>
      <c r="P514" t="s">
        <v>24</v>
      </c>
      <c r="Q514" s="13" t="s">
        <v>25</v>
      </c>
      <c r="R514" s="13" t="s">
        <v>26</v>
      </c>
      <c r="S514" s="13" t="s">
        <v>31</v>
      </c>
      <c r="T514" t="str">
        <f>VLOOKUP(B514,'[1]Plant data'!$A$1:$AB$315,2,0)</f>
        <v>Meliaceae</v>
      </c>
      <c r="U514" t="str">
        <f>VLOOKUP($B514,'[1]Plant data'!$A$1:$AB$315,3,0)</f>
        <v>NA</v>
      </c>
      <c r="V514" t="str">
        <f>VLOOKUP($B514,'[1]Plant data'!$A$1:$AB$315,4,0)</f>
        <v>red</v>
      </c>
      <c r="W514" t="str">
        <f>VLOOKUP($B514,'[1]Plant data'!$A$1:$AB$315,5,0)</f>
        <v>YES</v>
      </c>
      <c r="X514">
        <f>VLOOKUP($B514,'[1]Plant data'!$A$1:$AB$315,6,0)</f>
        <v>7.7</v>
      </c>
      <c r="Y514">
        <f>VLOOKUP($B514,'[1]Plant data'!$A$1:$AB$315,7,0)</f>
        <v>9.5500000000000007</v>
      </c>
      <c r="Z514">
        <f>VLOOKUP($B514,'[1]Plant data'!$A$1:$AB$315,8,0)</f>
        <v>9</v>
      </c>
      <c r="AA514">
        <f>VLOOKUP($B514,'[1]Plant data'!$A$1:$AB$315,9,0)</f>
        <v>6</v>
      </c>
      <c r="AB514">
        <f>VLOOKUP($B514,'[1]Plant data'!$A$1:$AB$315,10,0)</f>
        <v>0.5</v>
      </c>
      <c r="AC514" t="str">
        <f>VLOOKUP($B514,'[1]Plant data'!$A$1:$AB$315,11,0)</f>
        <v>NA</v>
      </c>
      <c r="AD514" t="str">
        <f>VLOOKUP($B514,'[1]Plant data'!$A$1:$AB$315,12,0)</f>
        <v>NA</v>
      </c>
      <c r="AE514" t="str">
        <f>VLOOKUP($B514,'[1]Plant data'!$A$1:$AB$315,13,0)</f>
        <v>NA</v>
      </c>
      <c r="AF514" t="str">
        <f>VLOOKUP($B514,'[1]Plant data'!$A$1:$AB$315,14,0)</f>
        <v>NA</v>
      </c>
      <c r="AG514" t="str">
        <f>VLOOKUP($B514,'[1]Plant data'!$A$1:$AB$315,15,0)</f>
        <v>NA</v>
      </c>
      <c r="AH514" t="str">
        <f>VLOOKUP($B514,'[1]Plant data'!$A$1:$AB$315,16,0)</f>
        <v>NA</v>
      </c>
      <c r="AI514" t="str">
        <f>VLOOKUP($B514,'[1]Plant data'!$A$1:$AB$315,17,0)</f>
        <v>NA</v>
      </c>
      <c r="AJ514" t="str">
        <f>VLOOKUP($B514,'[1]Plant data'!$A$1:$AB$315,18,0)</f>
        <v>Athie &amp; Dias 2012, ATLANTIC</v>
      </c>
      <c r="AK514" t="str">
        <f>VLOOKUP($B514,'[1]Plant data'!$A$1:$AB$315,19,0)</f>
        <v>NA</v>
      </c>
      <c r="AL514" t="str">
        <f>VLOOKUP($B514,'[1]Plant data'!$A$1:$AB$315,20,0)</f>
        <v>NA</v>
      </c>
      <c r="AM514" t="str">
        <f>VLOOKUP($B514,'[1]Plant data'!$A$1:$AB$315,21,0)</f>
        <v>NA</v>
      </c>
      <c r="AN514" t="str">
        <f>VLOOKUP($B514,'[1]Plant data'!$A$1:$AB$315,22,0)</f>
        <v>NA</v>
      </c>
      <c r="AO514" t="str">
        <f>VLOOKUP($B514,'[1]Plant data'!$A$1:$AB$315,23,0)</f>
        <v>NA</v>
      </c>
      <c r="AP514" t="str">
        <f>VLOOKUP($B514,'[1]Plant data'!$A$1:$AB$315,24,0)</f>
        <v>NA</v>
      </c>
      <c r="AQ514" t="str">
        <f>VLOOKUP($B514,'[1]Plant data'!$A$1:$AB$315,25,0)</f>
        <v>NA</v>
      </c>
      <c r="AR514" t="str">
        <f>VLOOKUP($B514,'[1]Plant data'!$A$1:$AB$315,26,0)</f>
        <v>NA</v>
      </c>
      <c r="AS514" t="str">
        <f>VLOOKUP($B514,'[1]Plant data'!$A$1:$AB$315,27,0)</f>
        <v>NA</v>
      </c>
      <c r="AT514" t="str">
        <f>VLOOKUP($B514,'[1]Plant data'!$A$1:$AB$315,28,0)</f>
        <v>NA</v>
      </c>
    </row>
    <row r="515" spans="1:46">
      <c r="A515" s="5" t="s">
        <v>43</v>
      </c>
      <c r="B515" s="12" t="s">
        <v>86</v>
      </c>
      <c r="C515" s="7">
        <v>21</v>
      </c>
      <c r="D515" s="7">
        <v>90.5</v>
      </c>
      <c r="E515" s="8">
        <f>C515/D515</f>
        <v>0.23204419889502761</v>
      </c>
      <c r="F515">
        <v>88</v>
      </c>
      <c r="G515" s="9">
        <f t="shared" si="42"/>
        <v>4.1904761904761907</v>
      </c>
      <c r="H515" s="9"/>
      <c r="I515" s="8">
        <f t="shared" si="40"/>
        <v>0.97237569060773477</v>
      </c>
      <c r="J515" t="s">
        <v>169</v>
      </c>
      <c r="K515" t="s">
        <v>80</v>
      </c>
      <c r="L515" t="s">
        <v>22</v>
      </c>
      <c r="M515" t="s">
        <v>30</v>
      </c>
      <c r="N515" s="11">
        <v>32.5</v>
      </c>
      <c r="O515" s="11">
        <v>8.9205555560000001</v>
      </c>
      <c r="P515" t="s">
        <v>24</v>
      </c>
      <c r="Q515" t="s">
        <v>25</v>
      </c>
      <c r="R515" t="s">
        <v>26</v>
      </c>
      <c r="S515" t="s">
        <v>31</v>
      </c>
      <c r="T515" t="str">
        <f>VLOOKUP(B515,'[1]Plant data'!$A$1:$AB$315,2,0)</f>
        <v>Meliaceae</v>
      </c>
      <c r="U515" t="str">
        <f>VLOOKUP($B515,'[1]Plant data'!$A$1:$AB$315,3,0)</f>
        <v>NA</v>
      </c>
      <c r="V515" t="str">
        <f>VLOOKUP($B515,'[1]Plant data'!$A$1:$AB$315,4,0)</f>
        <v>red</v>
      </c>
      <c r="W515" t="str">
        <f>VLOOKUP($B515,'[1]Plant data'!$A$1:$AB$315,5,0)</f>
        <v>YES</v>
      </c>
      <c r="X515">
        <f>VLOOKUP($B515,'[1]Plant data'!$A$1:$AB$315,6,0)</f>
        <v>7.7</v>
      </c>
      <c r="Y515">
        <f>VLOOKUP($B515,'[1]Plant data'!$A$1:$AB$315,7,0)</f>
        <v>9.5500000000000007</v>
      </c>
      <c r="Z515">
        <f>VLOOKUP($B515,'[1]Plant data'!$A$1:$AB$315,8,0)</f>
        <v>9</v>
      </c>
      <c r="AA515">
        <f>VLOOKUP($B515,'[1]Plant data'!$A$1:$AB$315,9,0)</f>
        <v>6</v>
      </c>
      <c r="AB515">
        <f>VLOOKUP($B515,'[1]Plant data'!$A$1:$AB$315,10,0)</f>
        <v>0.5</v>
      </c>
      <c r="AC515" t="str">
        <f>VLOOKUP($B515,'[1]Plant data'!$A$1:$AB$315,11,0)</f>
        <v>NA</v>
      </c>
      <c r="AD515" t="str">
        <f>VLOOKUP($B515,'[1]Plant data'!$A$1:$AB$315,12,0)</f>
        <v>NA</v>
      </c>
      <c r="AE515" t="str">
        <f>VLOOKUP($B515,'[1]Plant data'!$A$1:$AB$315,13,0)</f>
        <v>NA</v>
      </c>
      <c r="AF515" t="str">
        <f>VLOOKUP($B515,'[1]Plant data'!$A$1:$AB$315,14,0)</f>
        <v>NA</v>
      </c>
      <c r="AG515" t="str">
        <f>VLOOKUP($B515,'[1]Plant data'!$A$1:$AB$315,15,0)</f>
        <v>NA</v>
      </c>
      <c r="AH515" t="str">
        <f>VLOOKUP($B515,'[1]Plant data'!$A$1:$AB$315,16,0)</f>
        <v>NA</v>
      </c>
      <c r="AI515" t="str">
        <f>VLOOKUP($B515,'[1]Plant data'!$A$1:$AB$315,17,0)</f>
        <v>NA</v>
      </c>
      <c r="AJ515" t="str">
        <f>VLOOKUP($B515,'[1]Plant data'!$A$1:$AB$315,18,0)</f>
        <v>Athie &amp; Dias 2012, ATLANTIC</v>
      </c>
      <c r="AK515" t="str">
        <f>VLOOKUP($B515,'[1]Plant data'!$A$1:$AB$315,19,0)</f>
        <v>NA</v>
      </c>
      <c r="AL515" t="str">
        <f>VLOOKUP($B515,'[1]Plant data'!$A$1:$AB$315,20,0)</f>
        <v>NA</v>
      </c>
      <c r="AM515" t="str">
        <f>VLOOKUP($B515,'[1]Plant data'!$A$1:$AB$315,21,0)</f>
        <v>NA</v>
      </c>
      <c r="AN515" t="str">
        <f>VLOOKUP($B515,'[1]Plant data'!$A$1:$AB$315,22,0)</f>
        <v>NA</v>
      </c>
      <c r="AO515" t="str">
        <f>VLOOKUP($B515,'[1]Plant data'!$A$1:$AB$315,23,0)</f>
        <v>NA</v>
      </c>
      <c r="AP515" t="str">
        <f>VLOOKUP($B515,'[1]Plant data'!$A$1:$AB$315,24,0)</f>
        <v>NA</v>
      </c>
      <c r="AQ515" t="str">
        <f>VLOOKUP($B515,'[1]Plant data'!$A$1:$AB$315,25,0)</f>
        <v>NA</v>
      </c>
      <c r="AR515" t="str">
        <f>VLOOKUP($B515,'[1]Plant data'!$A$1:$AB$315,26,0)</f>
        <v>NA</v>
      </c>
      <c r="AS515" t="str">
        <f>VLOOKUP($B515,'[1]Plant data'!$A$1:$AB$315,27,0)</f>
        <v>NA</v>
      </c>
      <c r="AT515" t="str">
        <f>VLOOKUP($B515,'[1]Plant data'!$A$1:$AB$315,28,0)</f>
        <v>NA</v>
      </c>
    </row>
    <row r="516" spans="1:46">
      <c r="A516" s="5" t="s">
        <v>124</v>
      </c>
      <c r="B516" s="77" t="s">
        <v>86</v>
      </c>
      <c r="C516" s="25">
        <v>1</v>
      </c>
      <c r="D516" s="7">
        <v>90.5</v>
      </c>
      <c r="E516" s="8">
        <f>C516/D516</f>
        <v>1.1049723756906077E-2</v>
      </c>
      <c r="F516" s="25">
        <v>2</v>
      </c>
      <c r="G516" s="27">
        <f t="shared" si="42"/>
        <v>2</v>
      </c>
      <c r="H516" s="27"/>
      <c r="I516" s="8">
        <f t="shared" si="40"/>
        <v>2.2099447513812154E-2</v>
      </c>
      <c r="J516" t="s">
        <v>169</v>
      </c>
      <c r="K516" t="s">
        <v>80</v>
      </c>
      <c r="L516" t="s">
        <v>108</v>
      </c>
      <c r="M516" t="s">
        <v>109</v>
      </c>
      <c r="N516" s="11">
        <v>73.3</v>
      </c>
      <c r="O516" s="11">
        <v>17.52380952</v>
      </c>
      <c r="P516" t="s">
        <v>48</v>
      </c>
      <c r="Q516" t="s">
        <v>49</v>
      </c>
      <c r="R516" t="s">
        <v>26</v>
      </c>
      <c r="S516" t="s">
        <v>27</v>
      </c>
      <c r="T516" t="str">
        <f>VLOOKUP(B516,'[1]Plant data'!$A$1:$AB$315,2,0)</f>
        <v>Meliaceae</v>
      </c>
      <c r="U516" t="str">
        <f>VLOOKUP($B516,'[1]Plant data'!$A$1:$AB$315,3,0)</f>
        <v>NA</v>
      </c>
      <c r="V516" t="str">
        <f>VLOOKUP($B516,'[1]Plant data'!$A$1:$AB$315,4,0)</f>
        <v>red</v>
      </c>
      <c r="W516" t="str">
        <f>VLOOKUP($B516,'[1]Plant data'!$A$1:$AB$315,5,0)</f>
        <v>YES</v>
      </c>
      <c r="X516">
        <f>VLOOKUP($B516,'[1]Plant data'!$A$1:$AB$315,6,0)</f>
        <v>7.7</v>
      </c>
      <c r="Y516">
        <f>VLOOKUP($B516,'[1]Plant data'!$A$1:$AB$315,7,0)</f>
        <v>9.5500000000000007</v>
      </c>
      <c r="Z516">
        <f>VLOOKUP($B516,'[1]Plant data'!$A$1:$AB$315,8,0)</f>
        <v>9</v>
      </c>
      <c r="AA516">
        <f>VLOOKUP($B516,'[1]Plant data'!$A$1:$AB$315,9,0)</f>
        <v>6</v>
      </c>
      <c r="AB516">
        <f>VLOOKUP($B516,'[1]Plant data'!$A$1:$AB$315,10,0)</f>
        <v>0.5</v>
      </c>
      <c r="AC516" t="str">
        <f>VLOOKUP($B516,'[1]Plant data'!$A$1:$AB$315,11,0)</f>
        <v>NA</v>
      </c>
      <c r="AD516" t="str">
        <f>VLOOKUP($B516,'[1]Plant data'!$A$1:$AB$315,12,0)</f>
        <v>NA</v>
      </c>
      <c r="AE516" t="str">
        <f>VLOOKUP($B516,'[1]Plant data'!$A$1:$AB$315,13,0)</f>
        <v>NA</v>
      </c>
      <c r="AF516" t="str">
        <f>VLOOKUP($B516,'[1]Plant data'!$A$1:$AB$315,14,0)</f>
        <v>NA</v>
      </c>
      <c r="AG516" t="str">
        <f>VLOOKUP($B516,'[1]Plant data'!$A$1:$AB$315,15,0)</f>
        <v>NA</v>
      </c>
      <c r="AH516" t="str">
        <f>VLOOKUP($B516,'[1]Plant data'!$A$1:$AB$315,16,0)</f>
        <v>NA</v>
      </c>
      <c r="AI516" t="str">
        <f>VLOOKUP($B516,'[1]Plant data'!$A$1:$AB$315,17,0)</f>
        <v>NA</v>
      </c>
      <c r="AJ516" t="str">
        <f>VLOOKUP($B516,'[1]Plant data'!$A$1:$AB$315,18,0)</f>
        <v>Athie &amp; Dias 2012, ATLANTIC</v>
      </c>
      <c r="AK516" t="str">
        <f>VLOOKUP($B516,'[1]Plant data'!$A$1:$AB$315,19,0)</f>
        <v>NA</v>
      </c>
      <c r="AL516" t="str">
        <f>VLOOKUP($B516,'[1]Plant data'!$A$1:$AB$315,20,0)</f>
        <v>NA</v>
      </c>
      <c r="AM516" t="str">
        <f>VLOOKUP($B516,'[1]Plant data'!$A$1:$AB$315,21,0)</f>
        <v>NA</v>
      </c>
      <c r="AN516" t="str">
        <f>VLOOKUP($B516,'[1]Plant data'!$A$1:$AB$315,22,0)</f>
        <v>NA</v>
      </c>
      <c r="AO516" t="str">
        <f>VLOOKUP($B516,'[1]Plant data'!$A$1:$AB$315,23,0)</f>
        <v>NA</v>
      </c>
      <c r="AP516" t="str">
        <f>VLOOKUP($B516,'[1]Plant data'!$A$1:$AB$315,24,0)</f>
        <v>NA</v>
      </c>
      <c r="AQ516" t="str">
        <f>VLOOKUP($B516,'[1]Plant data'!$A$1:$AB$315,25,0)</f>
        <v>NA</v>
      </c>
      <c r="AR516" t="str">
        <f>VLOOKUP($B516,'[1]Plant data'!$A$1:$AB$315,26,0)</f>
        <v>NA</v>
      </c>
      <c r="AS516" t="str">
        <f>VLOOKUP($B516,'[1]Plant data'!$A$1:$AB$315,27,0)</f>
        <v>NA</v>
      </c>
      <c r="AT516" t="str">
        <f>VLOOKUP($B516,'[1]Plant data'!$A$1:$AB$315,28,0)</f>
        <v>NA</v>
      </c>
    </row>
    <row r="517" spans="1:46">
      <c r="A517" s="5" t="s">
        <v>110</v>
      </c>
      <c r="B517" s="37" t="s">
        <v>278</v>
      </c>
      <c r="C517">
        <v>1</v>
      </c>
      <c r="D517">
        <v>77.3</v>
      </c>
      <c r="E517" s="8">
        <v>1.29E-2</v>
      </c>
      <c r="F517">
        <v>6</v>
      </c>
      <c r="G517" s="9">
        <f t="shared" si="42"/>
        <v>6</v>
      </c>
      <c r="H517" s="9"/>
      <c r="I517" s="8">
        <f t="shared" si="40"/>
        <v>7.7399999999999997E-2</v>
      </c>
      <c r="J517" t="s">
        <v>277</v>
      </c>
      <c r="K517" t="s">
        <v>92</v>
      </c>
      <c r="L517" t="s">
        <v>100</v>
      </c>
      <c r="M517" t="s">
        <v>101</v>
      </c>
      <c r="N517" s="11">
        <v>1250</v>
      </c>
      <c r="O517" s="11">
        <v>19.114999999999998</v>
      </c>
      <c r="P517" t="s">
        <v>48</v>
      </c>
      <c r="Q517" t="s">
        <v>95</v>
      </c>
      <c r="R517" t="s">
        <v>114</v>
      </c>
      <c r="S517" t="s">
        <v>27</v>
      </c>
      <c r="T517" t="str">
        <f>VLOOKUP(B517,'[1]Plant data'!$A$1:$AB$315,2,0)</f>
        <v>Myristicaceae</v>
      </c>
      <c r="U517" t="str">
        <f>VLOOKUP($B517,'[1]Plant data'!$A$1:$AB$315,3,0)</f>
        <v>NA</v>
      </c>
      <c r="V517" t="str">
        <f>VLOOKUP($B517,'[1]Plant data'!$A$1:$AB$315,4,0)</f>
        <v>red</v>
      </c>
      <c r="W517" t="str">
        <f>VLOOKUP($B517,'[1]Plant data'!$A$1:$AB$315,5,0)</f>
        <v>YES</v>
      </c>
      <c r="X517">
        <f>VLOOKUP($B517,'[1]Plant data'!$A$1:$AB$315,6,0)</f>
        <v>17.906666666666666</v>
      </c>
      <c r="Y517">
        <f>VLOOKUP($B517,'[1]Plant data'!$A$1:$AB$315,7,0)</f>
        <v>29.706666666666667</v>
      </c>
      <c r="Z517">
        <f>VLOOKUP($B517,'[1]Plant data'!$A$1:$AB$315,8,0)</f>
        <v>14.366666666666667</v>
      </c>
      <c r="AA517">
        <f>VLOOKUP($B517,'[1]Plant data'!$A$1:$AB$315,9,0)</f>
        <v>23.060000000000002</v>
      </c>
      <c r="AB517">
        <f>VLOOKUP($B517,'[1]Plant data'!$A$1:$AB$315,10,0)</f>
        <v>5.2576666666666663</v>
      </c>
      <c r="AC517">
        <f>VLOOKUP($B517,'[1]Plant data'!$A$1:$AB$315,11,0)</f>
        <v>1.55</v>
      </c>
      <c r="AD517">
        <f>VLOOKUP($B517,'[1]Plant data'!$A$1:$AB$315,12,0)</f>
        <v>2.1990000000000003</v>
      </c>
      <c r="AE517">
        <f>VLOOKUP($B517,'[1]Plant data'!$A$1:$AB$315,13,0)</f>
        <v>0.71</v>
      </c>
      <c r="AF517">
        <f>VLOOKUP($B517,'[1]Plant data'!$A$1:$AB$315,14,0)</f>
        <v>1.5569999999999999</v>
      </c>
      <c r="AG517">
        <f>VLOOKUP($B517,'[1]Plant data'!$A$1:$AB$315,15,0)</f>
        <v>1</v>
      </c>
      <c r="AH517" t="str">
        <f>VLOOKUP($B517,'[1]Plant data'!$A$1:$AB$315,16,0)</f>
        <v>NA</v>
      </c>
      <c r="AI517">
        <f>VLOOKUP($B517,'[1]Plant data'!$A$1:$AB$315,17,0)</f>
        <v>2.1963571626138605</v>
      </c>
      <c r="AJ517" t="str">
        <f>VLOOKUP($B517,'[1]Plant data'!$A$1:$AB$315,18,0)</f>
        <v>Cazetta 2007, Erica&amp;Wesley, Intervales_morfo</v>
      </c>
      <c r="AK517">
        <f>VLOOKUP($B517,'[1]Plant data'!$A$1:$AB$315,19,0)</f>
        <v>0.54189999999999994</v>
      </c>
      <c r="AL517">
        <f>VLOOKUP($B517,'[1]Plant data'!$A$1:$AB$315,20,0)</f>
        <v>0.56909999999999994</v>
      </c>
      <c r="AM517">
        <f>VLOOKUP($B517,'[1]Plant data'!$A$1:$AB$315,21,0)</f>
        <v>5.4851999999999998E-2</v>
      </c>
      <c r="AN517">
        <f>VLOOKUP($B517,'[1]Plant data'!$A$1:$AB$315,22,0)</f>
        <v>3.2000000000000002E-3</v>
      </c>
      <c r="AO517" t="str">
        <f>VLOOKUP($B517,'[1]Plant data'!$A$1:$AB$315,23,0)</f>
        <v>NA</v>
      </c>
      <c r="AP517" t="str">
        <f>VLOOKUP($B517,'[1]Plant data'!$A$1:$AB$315,24,0)</f>
        <v>NA</v>
      </c>
      <c r="AQ517" t="str">
        <f>VLOOKUP($B517,'[1]Plant data'!$A$1:$AB$315,25,0)</f>
        <v>NA</v>
      </c>
      <c r="AR517" t="str">
        <f>VLOOKUP($B517,'[1]Plant data'!$A$1:$AB$315,26,0)</f>
        <v>NA</v>
      </c>
      <c r="AS517" t="str">
        <f>VLOOKUP($B517,'[1]Plant data'!$A$1:$AB$315,27,0)</f>
        <v>NA</v>
      </c>
      <c r="AT517" t="str">
        <f>VLOOKUP($B517,'[1]Plant data'!$A$1:$AB$315,28,0)</f>
        <v>Cazetta 2007, Erica &amp; Wesley unpubl.</v>
      </c>
    </row>
    <row r="518" spans="1:46">
      <c r="A518" s="5" t="s">
        <v>104</v>
      </c>
      <c r="B518" s="37" t="s">
        <v>278</v>
      </c>
      <c r="C518">
        <v>1</v>
      </c>
      <c r="D518">
        <v>77.3</v>
      </c>
      <c r="E518" s="8">
        <v>1.29E-2</v>
      </c>
      <c r="F518">
        <v>1</v>
      </c>
      <c r="G518" s="9">
        <f t="shared" si="42"/>
        <v>1</v>
      </c>
      <c r="H518" s="9"/>
      <c r="I518" s="8">
        <f t="shared" si="40"/>
        <v>1.29E-2</v>
      </c>
      <c r="J518" t="s">
        <v>277</v>
      </c>
      <c r="K518" t="s">
        <v>92</v>
      </c>
      <c r="L518" t="s">
        <v>93</v>
      </c>
      <c r="M518" t="s">
        <v>94</v>
      </c>
      <c r="N518" s="11">
        <v>343.5</v>
      </c>
      <c r="O518" s="11">
        <v>30.107272729999998</v>
      </c>
      <c r="P518" t="s">
        <v>48</v>
      </c>
      <c r="Q518" t="s">
        <v>25</v>
      </c>
      <c r="R518" t="s">
        <v>76</v>
      </c>
      <c r="S518" t="s">
        <v>27</v>
      </c>
      <c r="T518" t="str">
        <f>VLOOKUP(B518,'[1]Plant data'!$A$1:$AB$315,2,0)</f>
        <v>Myristicaceae</v>
      </c>
      <c r="U518" t="str">
        <f>VLOOKUP($B518,'[1]Plant data'!$A$1:$AB$315,3,0)</f>
        <v>NA</v>
      </c>
      <c r="V518" t="str">
        <f>VLOOKUP($B518,'[1]Plant data'!$A$1:$AB$315,4,0)</f>
        <v>red</v>
      </c>
      <c r="W518" t="str">
        <f>VLOOKUP($B518,'[1]Plant data'!$A$1:$AB$315,5,0)</f>
        <v>YES</v>
      </c>
      <c r="X518">
        <f>VLOOKUP($B518,'[1]Plant data'!$A$1:$AB$315,6,0)</f>
        <v>17.906666666666666</v>
      </c>
      <c r="Y518">
        <f>VLOOKUP($B518,'[1]Plant data'!$A$1:$AB$315,7,0)</f>
        <v>29.706666666666667</v>
      </c>
      <c r="Z518">
        <f>VLOOKUP($B518,'[1]Plant data'!$A$1:$AB$315,8,0)</f>
        <v>14.366666666666667</v>
      </c>
      <c r="AA518">
        <f>VLOOKUP($B518,'[1]Plant data'!$A$1:$AB$315,9,0)</f>
        <v>23.060000000000002</v>
      </c>
      <c r="AB518">
        <f>VLOOKUP($B518,'[1]Plant data'!$A$1:$AB$315,10,0)</f>
        <v>5.2576666666666663</v>
      </c>
      <c r="AC518">
        <f>VLOOKUP($B518,'[1]Plant data'!$A$1:$AB$315,11,0)</f>
        <v>1.55</v>
      </c>
      <c r="AD518">
        <f>VLOOKUP($B518,'[1]Plant data'!$A$1:$AB$315,12,0)</f>
        <v>2.1990000000000003</v>
      </c>
      <c r="AE518">
        <f>VLOOKUP($B518,'[1]Plant data'!$A$1:$AB$315,13,0)</f>
        <v>0.71</v>
      </c>
      <c r="AF518">
        <f>VLOOKUP($B518,'[1]Plant data'!$A$1:$AB$315,14,0)</f>
        <v>1.5569999999999999</v>
      </c>
      <c r="AG518">
        <f>VLOOKUP($B518,'[1]Plant data'!$A$1:$AB$315,15,0)</f>
        <v>1</v>
      </c>
      <c r="AH518" t="str">
        <f>VLOOKUP($B518,'[1]Plant data'!$A$1:$AB$315,16,0)</f>
        <v>NA</v>
      </c>
      <c r="AI518">
        <f>VLOOKUP($B518,'[1]Plant data'!$A$1:$AB$315,17,0)</f>
        <v>2.1963571626138605</v>
      </c>
      <c r="AJ518" t="str">
        <f>VLOOKUP($B518,'[1]Plant data'!$A$1:$AB$315,18,0)</f>
        <v>Cazetta 2007, Erica&amp;Wesley, Intervales_morfo</v>
      </c>
      <c r="AK518">
        <f>VLOOKUP($B518,'[1]Plant data'!$A$1:$AB$315,19,0)</f>
        <v>0.54189999999999994</v>
      </c>
      <c r="AL518">
        <f>VLOOKUP($B518,'[1]Plant data'!$A$1:$AB$315,20,0)</f>
        <v>0.56909999999999994</v>
      </c>
      <c r="AM518">
        <f>VLOOKUP($B518,'[1]Plant data'!$A$1:$AB$315,21,0)</f>
        <v>5.4851999999999998E-2</v>
      </c>
      <c r="AN518">
        <f>VLOOKUP($B518,'[1]Plant data'!$A$1:$AB$315,22,0)</f>
        <v>3.2000000000000002E-3</v>
      </c>
      <c r="AO518" t="str">
        <f>VLOOKUP($B518,'[1]Plant data'!$A$1:$AB$315,23,0)</f>
        <v>NA</v>
      </c>
      <c r="AP518" t="str">
        <f>VLOOKUP($B518,'[1]Plant data'!$A$1:$AB$315,24,0)</f>
        <v>NA</v>
      </c>
      <c r="AQ518" t="str">
        <f>VLOOKUP($B518,'[1]Plant data'!$A$1:$AB$315,25,0)</f>
        <v>NA</v>
      </c>
      <c r="AR518" t="str">
        <f>VLOOKUP($B518,'[1]Plant data'!$A$1:$AB$315,26,0)</f>
        <v>NA</v>
      </c>
      <c r="AS518" t="str">
        <f>VLOOKUP($B518,'[1]Plant data'!$A$1:$AB$315,27,0)</f>
        <v>NA</v>
      </c>
      <c r="AT518" t="str">
        <f>VLOOKUP($B518,'[1]Plant data'!$A$1:$AB$315,28,0)</f>
        <v>Cazetta 2007, Erica &amp; Wesley unpubl.</v>
      </c>
    </row>
    <row r="519" spans="1:46">
      <c r="A519" s="5" t="s">
        <v>105</v>
      </c>
      <c r="B519" s="37" t="s">
        <v>278</v>
      </c>
      <c r="C519">
        <v>6</v>
      </c>
      <c r="D519">
        <v>77.3</v>
      </c>
      <c r="E519" s="8">
        <v>7.7600000000000002E-2</v>
      </c>
      <c r="F519">
        <v>6</v>
      </c>
      <c r="G519" s="9">
        <f t="shared" si="42"/>
        <v>1</v>
      </c>
      <c r="H519" s="9"/>
      <c r="I519" s="8">
        <f t="shared" si="40"/>
        <v>7.7600000000000002E-2</v>
      </c>
      <c r="J519" s="10" t="s">
        <v>277</v>
      </c>
      <c r="K519" t="s">
        <v>92</v>
      </c>
      <c r="L519" t="s">
        <v>93</v>
      </c>
      <c r="M519" t="s">
        <v>94</v>
      </c>
      <c r="N519" s="11">
        <v>164</v>
      </c>
      <c r="O519" s="11">
        <v>25.039000000000001</v>
      </c>
      <c r="P519" t="s">
        <v>48</v>
      </c>
      <c r="Q519" t="s">
        <v>25</v>
      </c>
      <c r="R519" t="s">
        <v>26</v>
      </c>
      <c r="S519" t="s">
        <v>27</v>
      </c>
      <c r="T519" t="str">
        <f>VLOOKUP(B519,'[1]Plant data'!$A$1:$AB$315,2,0)</f>
        <v>Myristicaceae</v>
      </c>
      <c r="U519" t="str">
        <f>VLOOKUP($B519,'[1]Plant data'!$A$1:$AB$315,3,0)</f>
        <v>NA</v>
      </c>
      <c r="V519" t="str">
        <f>VLOOKUP($B519,'[1]Plant data'!$A$1:$AB$315,4,0)</f>
        <v>red</v>
      </c>
      <c r="W519" t="str">
        <f>VLOOKUP($B519,'[1]Plant data'!$A$1:$AB$315,5,0)</f>
        <v>YES</v>
      </c>
      <c r="X519">
        <f>VLOOKUP($B519,'[1]Plant data'!$A$1:$AB$315,6,0)</f>
        <v>17.906666666666666</v>
      </c>
      <c r="Y519">
        <f>VLOOKUP($B519,'[1]Plant data'!$A$1:$AB$315,7,0)</f>
        <v>29.706666666666667</v>
      </c>
      <c r="Z519">
        <f>VLOOKUP($B519,'[1]Plant data'!$A$1:$AB$315,8,0)</f>
        <v>14.366666666666667</v>
      </c>
      <c r="AA519">
        <f>VLOOKUP($B519,'[1]Plant data'!$A$1:$AB$315,9,0)</f>
        <v>23.060000000000002</v>
      </c>
      <c r="AB519">
        <f>VLOOKUP($B519,'[1]Plant data'!$A$1:$AB$315,10,0)</f>
        <v>5.2576666666666663</v>
      </c>
      <c r="AC519">
        <f>VLOOKUP($B519,'[1]Plant data'!$A$1:$AB$315,11,0)</f>
        <v>1.55</v>
      </c>
      <c r="AD519">
        <f>VLOOKUP($B519,'[1]Plant data'!$A$1:$AB$315,12,0)</f>
        <v>2.1990000000000003</v>
      </c>
      <c r="AE519">
        <f>VLOOKUP($B519,'[1]Plant data'!$A$1:$AB$315,13,0)</f>
        <v>0.71</v>
      </c>
      <c r="AF519">
        <f>VLOOKUP($B519,'[1]Plant data'!$A$1:$AB$315,14,0)</f>
        <v>1.5569999999999999</v>
      </c>
      <c r="AG519">
        <f>VLOOKUP($B519,'[1]Plant data'!$A$1:$AB$315,15,0)</f>
        <v>1</v>
      </c>
      <c r="AH519" t="str">
        <f>VLOOKUP($B519,'[1]Plant data'!$A$1:$AB$315,16,0)</f>
        <v>NA</v>
      </c>
      <c r="AI519">
        <f>VLOOKUP($B519,'[1]Plant data'!$A$1:$AB$315,17,0)</f>
        <v>2.1963571626138605</v>
      </c>
      <c r="AJ519" t="str">
        <f>VLOOKUP($B519,'[1]Plant data'!$A$1:$AB$315,18,0)</f>
        <v>Cazetta 2007, Erica&amp;Wesley, Intervales_morfo</v>
      </c>
      <c r="AK519">
        <f>VLOOKUP($B519,'[1]Plant data'!$A$1:$AB$315,19,0)</f>
        <v>0.54189999999999994</v>
      </c>
      <c r="AL519">
        <f>VLOOKUP($B519,'[1]Plant data'!$A$1:$AB$315,20,0)</f>
        <v>0.56909999999999994</v>
      </c>
      <c r="AM519">
        <f>VLOOKUP($B519,'[1]Plant data'!$A$1:$AB$315,21,0)</f>
        <v>5.4851999999999998E-2</v>
      </c>
      <c r="AN519">
        <f>VLOOKUP($B519,'[1]Plant data'!$A$1:$AB$315,22,0)</f>
        <v>3.2000000000000002E-3</v>
      </c>
      <c r="AO519" t="str">
        <f>VLOOKUP($B519,'[1]Plant data'!$A$1:$AB$315,23,0)</f>
        <v>NA</v>
      </c>
      <c r="AP519" t="str">
        <f>VLOOKUP($B519,'[1]Plant data'!$A$1:$AB$315,24,0)</f>
        <v>NA</v>
      </c>
      <c r="AQ519" t="str">
        <f>VLOOKUP($B519,'[1]Plant data'!$A$1:$AB$315,25,0)</f>
        <v>NA</v>
      </c>
      <c r="AR519" t="str">
        <f>VLOOKUP($B519,'[1]Plant data'!$A$1:$AB$315,26,0)</f>
        <v>NA</v>
      </c>
      <c r="AS519" t="str">
        <f>VLOOKUP($B519,'[1]Plant data'!$A$1:$AB$315,27,0)</f>
        <v>NA</v>
      </c>
      <c r="AT519" t="str">
        <f>VLOOKUP($B519,'[1]Plant data'!$A$1:$AB$315,28,0)</f>
        <v>Cazetta 2007, Erica &amp; Wesley unpubl.</v>
      </c>
    </row>
    <row r="520" spans="1:46">
      <c r="A520" s="5" t="s">
        <v>41</v>
      </c>
      <c r="B520" s="37" t="s">
        <v>278</v>
      </c>
      <c r="C520" s="7">
        <v>2</v>
      </c>
      <c r="D520">
        <v>77.3</v>
      </c>
      <c r="E520" s="8">
        <v>2.5899999999999999E-2</v>
      </c>
      <c r="F520">
        <v>2</v>
      </c>
      <c r="G520" s="9">
        <f t="shared" si="42"/>
        <v>1</v>
      </c>
      <c r="H520" s="9"/>
      <c r="I520" s="8">
        <f t="shared" si="40"/>
        <v>2.5899999999999999E-2</v>
      </c>
      <c r="J520" t="s">
        <v>277</v>
      </c>
      <c r="K520" t="s">
        <v>92</v>
      </c>
      <c r="L520" t="s">
        <v>22</v>
      </c>
      <c r="M520" t="s">
        <v>30</v>
      </c>
      <c r="N520" s="11">
        <v>39</v>
      </c>
      <c r="O520" s="11">
        <v>8.2839869279999991</v>
      </c>
      <c r="P520" t="s">
        <v>24</v>
      </c>
      <c r="Q520" t="s">
        <v>25</v>
      </c>
      <c r="R520" t="s">
        <v>26</v>
      </c>
      <c r="S520" t="s">
        <v>31</v>
      </c>
      <c r="T520" t="str">
        <f>VLOOKUP(B520,'[1]Plant data'!$A$1:$AB$315,2,0)</f>
        <v>Myristicaceae</v>
      </c>
      <c r="U520" t="str">
        <f>VLOOKUP($B520,'[1]Plant data'!$A$1:$AB$315,3,0)</f>
        <v>NA</v>
      </c>
      <c r="V520" t="str">
        <f>VLOOKUP($B520,'[1]Plant data'!$A$1:$AB$315,4,0)</f>
        <v>red</v>
      </c>
      <c r="W520" t="str">
        <f>VLOOKUP($B520,'[1]Plant data'!$A$1:$AB$315,5,0)</f>
        <v>YES</v>
      </c>
      <c r="X520">
        <f>VLOOKUP($B520,'[1]Plant data'!$A$1:$AB$315,6,0)</f>
        <v>17.906666666666666</v>
      </c>
      <c r="Y520">
        <f>VLOOKUP($B520,'[1]Plant data'!$A$1:$AB$315,7,0)</f>
        <v>29.706666666666667</v>
      </c>
      <c r="Z520">
        <f>VLOOKUP($B520,'[1]Plant data'!$A$1:$AB$315,8,0)</f>
        <v>14.366666666666667</v>
      </c>
      <c r="AA520">
        <f>VLOOKUP($B520,'[1]Plant data'!$A$1:$AB$315,9,0)</f>
        <v>23.060000000000002</v>
      </c>
      <c r="AB520">
        <f>VLOOKUP($B520,'[1]Plant data'!$A$1:$AB$315,10,0)</f>
        <v>5.2576666666666663</v>
      </c>
      <c r="AC520">
        <f>VLOOKUP($B520,'[1]Plant data'!$A$1:$AB$315,11,0)</f>
        <v>1.55</v>
      </c>
      <c r="AD520">
        <f>VLOOKUP($B520,'[1]Plant data'!$A$1:$AB$315,12,0)</f>
        <v>2.1990000000000003</v>
      </c>
      <c r="AE520">
        <f>VLOOKUP($B520,'[1]Plant data'!$A$1:$AB$315,13,0)</f>
        <v>0.71</v>
      </c>
      <c r="AF520">
        <f>VLOOKUP($B520,'[1]Plant data'!$A$1:$AB$315,14,0)</f>
        <v>1.5569999999999999</v>
      </c>
      <c r="AG520">
        <f>VLOOKUP($B520,'[1]Plant data'!$A$1:$AB$315,15,0)</f>
        <v>1</v>
      </c>
      <c r="AH520" t="str">
        <f>VLOOKUP($B520,'[1]Plant data'!$A$1:$AB$315,16,0)</f>
        <v>NA</v>
      </c>
      <c r="AI520">
        <f>VLOOKUP($B520,'[1]Plant data'!$A$1:$AB$315,17,0)</f>
        <v>2.1963571626138605</v>
      </c>
      <c r="AJ520" t="str">
        <f>VLOOKUP($B520,'[1]Plant data'!$A$1:$AB$315,18,0)</f>
        <v>Cazetta 2007, Erica&amp;Wesley, Intervales_morfo</v>
      </c>
      <c r="AK520">
        <f>VLOOKUP($B520,'[1]Plant data'!$A$1:$AB$315,19,0)</f>
        <v>0.54189999999999994</v>
      </c>
      <c r="AL520">
        <f>VLOOKUP($B520,'[1]Plant data'!$A$1:$AB$315,20,0)</f>
        <v>0.56909999999999994</v>
      </c>
      <c r="AM520">
        <f>VLOOKUP($B520,'[1]Plant data'!$A$1:$AB$315,21,0)</f>
        <v>5.4851999999999998E-2</v>
      </c>
      <c r="AN520">
        <f>VLOOKUP($B520,'[1]Plant data'!$A$1:$AB$315,22,0)</f>
        <v>3.2000000000000002E-3</v>
      </c>
      <c r="AO520" t="str">
        <f>VLOOKUP($B520,'[1]Plant data'!$A$1:$AB$315,23,0)</f>
        <v>NA</v>
      </c>
      <c r="AP520" t="str">
        <f>VLOOKUP($B520,'[1]Plant data'!$A$1:$AB$315,24,0)</f>
        <v>NA</v>
      </c>
      <c r="AQ520" t="str">
        <f>VLOOKUP($B520,'[1]Plant data'!$A$1:$AB$315,25,0)</f>
        <v>NA</v>
      </c>
      <c r="AR520" t="str">
        <f>VLOOKUP($B520,'[1]Plant data'!$A$1:$AB$315,26,0)</f>
        <v>NA</v>
      </c>
      <c r="AS520" t="str">
        <f>VLOOKUP($B520,'[1]Plant data'!$A$1:$AB$315,27,0)</f>
        <v>NA</v>
      </c>
      <c r="AT520" t="str">
        <f>VLOOKUP($B520,'[1]Plant data'!$A$1:$AB$315,28,0)</f>
        <v>Cazetta 2007, Erica &amp; Wesley unpubl.</v>
      </c>
    </row>
    <row r="521" spans="1:46">
      <c r="A521" s="5" t="s">
        <v>107</v>
      </c>
      <c r="B521" s="39" t="s">
        <v>278</v>
      </c>
      <c r="C521">
        <v>26</v>
      </c>
      <c r="D521">
        <v>77.3</v>
      </c>
      <c r="E521" s="8">
        <v>0.33639999999999998</v>
      </c>
      <c r="F521">
        <v>26</v>
      </c>
      <c r="G521" s="9">
        <f t="shared" si="42"/>
        <v>1</v>
      </c>
      <c r="H521" s="9"/>
      <c r="I521" s="8">
        <f t="shared" si="40"/>
        <v>0.33639999999999998</v>
      </c>
      <c r="J521" t="s">
        <v>277</v>
      </c>
      <c r="K521" t="s">
        <v>92</v>
      </c>
      <c r="L521" t="s">
        <v>108</v>
      </c>
      <c r="M521" t="s">
        <v>109</v>
      </c>
      <c r="N521" s="11">
        <v>89.7</v>
      </c>
      <c r="O521" s="11">
        <v>20.489000000000001</v>
      </c>
      <c r="P521" t="s">
        <v>48</v>
      </c>
      <c r="Q521" t="s">
        <v>25</v>
      </c>
      <c r="R521" t="s">
        <v>26</v>
      </c>
      <c r="S521" t="s">
        <v>31</v>
      </c>
      <c r="T521" t="str">
        <f>VLOOKUP(B521,'[1]Plant data'!$A$1:$AB$315,2,0)</f>
        <v>Myristicaceae</v>
      </c>
      <c r="U521" t="str">
        <f>VLOOKUP($B521,'[1]Plant data'!$A$1:$AB$315,3,0)</f>
        <v>NA</v>
      </c>
      <c r="V521" t="str">
        <f>VLOOKUP($B521,'[1]Plant data'!$A$1:$AB$315,4,0)</f>
        <v>red</v>
      </c>
      <c r="W521" t="str">
        <f>VLOOKUP($B521,'[1]Plant data'!$A$1:$AB$315,5,0)</f>
        <v>YES</v>
      </c>
      <c r="X521">
        <f>VLOOKUP($B521,'[1]Plant data'!$A$1:$AB$315,6,0)</f>
        <v>17.906666666666666</v>
      </c>
      <c r="Y521">
        <f>VLOOKUP($B521,'[1]Plant data'!$A$1:$AB$315,7,0)</f>
        <v>29.706666666666667</v>
      </c>
      <c r="Z521">
        <f>VLOOKUP($B521,'[1]Plant data'!$A$1:$AB$315,8,0)</f>
        <v>14.366666666666667</v>
      </c>
      <c r="AA521">
        <f>VLOOKUP($B521,'[1]Plant data'!$A$1:$AB$315,9,0)</f>
        <v>23.060000000000002</v>
      </c>
      <c r="AB521">
        <f>VLOOKUP($B521,'[1]Plant data'!$A$1:$AB$315,10,0)</f>
        <v>5.2576666666666663</v>
      </c>
      <c r="AC521">
        <f>VLOOKUP($B521,'[1]Plant data'!$A$1:$AB$315,11,0)</f>
        <v>1.55</v>
      </c>
      <c r="AD521">
        <f>VLOOKUP($B521,'[1]Plant data'!$A$1:$AB$315,12,0)</f>
        <v>2.1990000000000003</v>
      </c>
      <c r="AE521">
        <f>VLOOKUP($B521,'[1]Plant data'!$A$1:$AB$315,13,0)</f>
        <v>0.71</v>
      </c>
      <c r="AF521">
        <f>VLOOKUP($B521,'[1]Plant data'!$A$1:$AB$315,14,0)</f>
        <v>1.5569999999999999</v>
      </c>
      <c r="AG521">
        <f>VLOOKUP($B521,'[1]Plant data'!$A$1:$AB$315,15,0)</f>
        <v>1</v>
      </c>
      <c r="AH521" t="str">
        <f>VLOOKUP($B521,'[1]Plant data'!$A$1:$AB$315,16,0)</f>
        <v>NA</v>
      </c>
      <c r="AI521">
        <f>VLOOKUP($B521,'[1]Plant data'!$A$1:$AB$315,17,0)</f>
        <v>2.1963571626138605</v>
      </c>
      <c r="AJ521" t="str">
        <f>VLOOKUP($B521,'[1]Plant data'!$A$1:$AB$315,18,0)</f>
        <v>Cazetta 2007, Erica&amp;Wesley, Intervales_morfo</v>
      </c>
      <c r="AK521">
        <f>VLOOKUP($B521,'[1]Plant data'!$A$1:$AB$315,19,0)</f>
        <v>0.54189999999999994</v>
      </c>
      <c r="AL521">
        <f>VLOOKUP($B521,'[1]Plant data'!$A$1:$AB$315,20,0)</f>
        <v>0.56909999999999994</v>
      </c>
      <c r="AM521">
        <f>VLOOKUP($B521,'[1]Plant data'!$A$1:$AB$315,21,0)</f>
        <v>5.4851999999999998E-2</v>
      </c>
      <c r="AN521">
        <f>VLOOKUP($B521,'[1]Plant data'!$A$1:$AB$315,22,0)</f>
        <v>3.2000000000000002E-3</v>
      </c>
      <c r="AO521" t="str">
        <f>VLOOKUP($B521,'[1]Plant data'!$A$1:$AB$315,23,0)</f>
        <v>NA</v>
      </c>
      <c r="AP521" t="str">
        <f>VLOOKUP($B521,'[1]Plant data'!$A$1:$AB$315,24,0)</f>
        <v>NA</v>
      </c>
      <c r="AQ521" t="str">
        <f>VLOOKUP($B521,'[1]Plant data'!$A$1:$AB$315,25,0)</f>
        <v>NA</v>
      </c>
      <c r="AR521" t="str">
        <f>VLOOKUP($B521,'[1]Plant data'!$A$1:$AB$315,26,0)</f>
        <v>NA</v>
      </c>
      <c r="AS521" t="str">
        <f>VLOOKUP($B521,'[1]Plant data'!$A$1:$AB$315,27,0)</f>
        <v>NA</v>
      </c>
      <c r="AT521" t="str">
        <f>VLOOKUP($B521,'[1]Plant data'!$A$1:$AB$315,28,0)</f>
        <v>Cazetta 2007, Erica &amp; Wesley unpubl.</v>
      </c>
    </row>
    <row r="522" spans="1:46">
      <c r="A522" s="5" t="s">
        <v>46</v>
      </c>
      <c r="B522" s="40" t="s">
        <v>278</v>
      </c>
      <c r="C522">
        <v>3</v>
      </c>
      <c r="D522">
        <v>77.3</v>
      </c>
      <c r="E522" s="8">
        <v>3.8800000000000001E-2</v>
      </c>
      <c r="F522">
        <v>5</v>
      </c>
      <c r="G522" s="9">
        <f t="shared" si="42"/>
        <v>1.6666666666666667</v>
      </c>
      <c r="H522" s="9"/>
      <c r="I522" s="8">
        <f t="shared" si="40"/>
        <v>6.4666666666666678E-2</v>
      </c>
      <c r="J522" t="s">
        <v>277</v>
      </c>
      <c r="K522" t="s">
        <v>92</v>
      </c>
      <c r="L522" t="s">
        <v>22</v>
      </c>
      <c r="M522" t="s">
        <v>47</v>
      </c>
      <c r="N522" s="11">
        <v>54</v>
      </c>
      <c r="O522" s="11">
        <v>11.14875</v>
      </c>
      <c r="P522" t="s">
        <v>48</v>
      </c>
      <c r="Q522" t="s">
        <v>49</v>
      </c>
      <c r="R522" t="s">
        <v>26</v>
      </c>
      <c r="S522" t="s">
        <v>31</v>
      </c>
      <c r="T522" t="str">
        <f>VLOOKUP(B522,'[1]Plant data'!$A$1:$AB$315,2,0)</f>
        <v>Myristicaceae</v>
      </c>
      <c r="U522" t="str">
        <f>VLOOKUP($B522,'[1]Plant data'!$A$1:$AB$315,3,0)</f>
        <v>NA</v>
      </c>
      <c r="V522" t="str">
        <f>VLOOKUP($B522,'[1]Plant data'!$A$1:$AB$315,4,0)</f>
        <v>red</v>
      </c>
      <c r="W522" t="str">
        <f>VLOOKUP($B522,'[1]Plant data'!$A$1:$AB$315,5,0)</f>
        <v>YES</v>
      </c>
      <c r="X522">
        <f>VLOOKUP($B522,'[1]Plant data'!$A$1:$AB$315,6,0)</f>
        <v>17.906666666666666</v>
      </c>
      <c r="Y522">
        <f>VLOOKUP($B522,'[1]Plant data'!$A$1:$AB$315,7,0)</f>
        <v>29.706666666666667</v>
      </c>
      <c r="Z522">
        <f>VLOOKUP($B522,'[1]Plant data'!$A$1:$AB$315,8,0)</f>
        <v>14.366666666666667</v>
      </c>
      <c r="AA522">
        <f>VLOOKUP($B522,'[1]Plant data'!$A$1:$AB$315,9,0)</f>
        <v>23.060000000000002</v>
      </c>
      <c r="AB522">
        <f>VLOOKUP($B522,'[1]Plant data'!$A$1:$AB$315,10,0)</f>
        <v>5.2576666666666663</v>
      </c>
      <c r="AC522">
        <f>VLOOKUP($B522,'[1]Plant data'!$A$1:$AB$315,11,0)</f>
        <v>1.55</v>
      </c>
      <c r="AD522">
        <f>VLOOKUP($B522,'[1]Plant data'!$A$1:$AB$315,12,0)</f>
        <v>2.1990000000000003</v>
      </c>
      <c r="AE522">
        <f>VLOOKUP($B522,'[1]Plant data'!$A$1:$AB$315,13,0)</f>
        <v>0.71</v>
      </c>
      <c r="AF522">
        <f>VLOOKUP($B522,'[1]Plant data'!$A$1:$AB$315,14,0)</f>
        <v>1.5569999999999999</v>
      </c>
      <c r="AG522">
        <f>VLOOKUP($B522,'[1]Plant data'!$A$1:$AB$315,15,0)</f>
        <v>1</v>
      </c>
      <c r="AH522" t="str">
        <f>VLOOKUP($B522,'[1]Plant data'!$A$1:$AB$315,16,0)</f>
        <v>NA</v>
      </c>
      <c r="AI522">
        <f>VLOOKUP($B522,'[1]Plant data'!$A$1:$AB$315,17,0)</f>
        <v>2.1963571626138605</v>
      </c>
      <c r="AJ522" t="str">
        <f>VLOOKUP($B522,'[1]Plant data'!$A$1:$AB$315,18,0)</f>
        <v>Cazetta 2007, Erica&amp;Wesley, Intervales_morfo</v>
      </c>
      <c r="AK522">
        <f>VLOOKUP($B522,'[1]Plant data'!$A$1:$AB$315,19,0)</f>
        <v>0.54189999999999994</v>
      </c>
      <c r="AL522">
        <f>VLOOKUP($B522,'[1]Plant data'!$A$1:$AB$315,20,0)</f>
        <v>0.56909999999999994</v>
      </c>
      <c r="AM522">
        <f>VLOOKUP($B522,'[1]Plant data'!$A$1:$AB$315,21,0)</f>
        <v>5.4851999999999998E-2</v>
      </c>
      <c r="AN522">
        <f>VLOOKUP($B522,'[1]Plant data'!$A$1:$AB$315,22,0)</f>
        <v>3.2000000000000002E-3</v>
      </c>
      <c r="AO522" t="str">
        <f>VLOOKUP($B522,'[1]Plant data'!$A$1:$AB$315,23,0)</f>
        <v>NA</v>
      </c>
      <c r="AP522" t="str">
        <f>VLOOKUP($B522,'[1]Plant data'!$A$1:$AB$315,24,0)</f>
        <v>NA</v>
      </c>
      <c r="AQ522" t="str">
        <f>VLOOKUP($B522,'[1]Plant data'!$A$1:$AB$315,25,0)</f>
        <v>NA</v>
      </c>
      <c r="AR522" t="str">
        <f>VLOOKUP($B522,'[1]Plant data'!$A$1:$AB$315,26,0)</f>
        <v>NA</v>
      </c>
      <c r="AS522" t="str">
        <f>VLOOKUP($B522,'[1]Plant data'!$A$1:$AB$315,27,0)</f>
        <v>NA</v>
      </c>
      <c r="AT522" t="str">
        <f>VLOOKUP($B522,'[1]Plant data'!$A$1:$AB$315,28,0)</f>
        <v>Cazetta 2007, Erica &amp; Wesley unpubl.</v>
      </c>
    </row>
    <row r="523" spans="1:46">
      <c r="A523" s="5" t="s">
        <v>50</v>
      </c>
      <c r="B523" s="37" t="s">
        <v>278</v>
      </c>
      <c r="C523">
        <v>2</v>
      </c>
      <c r="D523">
        <v>77.3</v>
      </c>
      <c r="E523" s="8">
        <v>2.5899999999999999E-2</v>
      </c>
      <c r="F523">
        <v>2</v>
      </c>
      <c r="G523" s="9">
        <f t="shared" si="42"/>
        <v>1</v>
      </c>
      <c r="H523" s="9"/>
      <c r="I523" s="8">
        <f t="shared" si="40"/>
        <v>2.5899999999999999E-2</v>
      </c>
      <c r="J523" t="s">
        <v>277</v>
      </c>
      <c r="K523" t="s">
        <v>92</v>
      </c>
      <c r="L523" t="s">
        <v>22</v>
      </c>
      <c r="M523" t="s">
        <v>47</v>
      </c>
      <c r="N523" s="11">
        <v>69.5</v>
      </c>
      <c r="O523" s="11">
        <v>13.253214290000001</v>
      </c>
      <c r="P523" t="s">
        <v>48</v>
      </c>
      <c r="Q523" t="s">
        <v>25</v>
      </c>
      <c r="R523" t="s">
        <v>26</v>
      </c>
      <c r="S523" t="s">
        <v>31</v>
      </c>
      <c r="T523" t="str">
        <f>VLOOKUP(B523,'[1]Plant data'!$A$1:$AB$315,2,0)</f>
        <v>Myristicaceae</v>
      </c>
      <c r="U523" t="str">
        <f>VLOOKUP($B523,'[1]Plant data'!$A$1:$AB$315,3,0)</f>
        <v>NA</v>
      </c>
      <c r="V523" t="str">
        <f>VLOOKUP($B523,'[1]Plant data'!$A$1:$AB$315,4,0)</f>
        <v>red</v>
      </c>
      <c r="W523" t="str">
        <f>VLOOKUP($B523,'[1]Plant data'!$A$1:$AB$315,5,0)</f>
        <v>YES</v>
      </c>
      <c r="X523">
        <f>VLOOKUP($B523,'[1]Plant data'!$A$1:$AB$315,6,0)</f>
        <v>17.906666666666666</v>
      </c>
      <c r="Y523">
        <f>VLOOKUP($B523,'[1]Plant data'!$A$1:$AB$315,7,0)</f>
        <v>29.706666666666667</v>
      </c>
      <c r="Z523">
        <f>VLOOKUP($B523,'[1]Plant data'!$A$1:$AB$315,8,0)</f>
        <v>14.366666666666667</v>
      </c>
      <c r="AA523">
        <f>VLOOKUP($B523,'[1]Plant data'!$A$1:$AB$315,9,0)</f>
        <v>23.060000000000002</v>
      </c>
      <c r="AB523">
        <f>VLOOKUP($B523,'[1]Plant data'!$A$1:$AB$315,10,0)</f>
        <v>5.2576666666666663</v>
      </c>
      <c r="AC523">
        <f>VLOOKUP($B523,'[1]Plant data'!$A$1:$AB$315,11,0)</f>
        <v>1.55</v>
      </c>
      <c r="AD523">
        <f>VLOOKUP($B523,'[1]Plant data'!$A$1:$AB$315,12,0)</f>
        <v>2.1990000000000003</v>
      </c>
      <c r="AE523">
        <f>VLOOKUP($B523,'[1]Plant data'!$A$1:$AB$315,13,0)</f>
        <v>0.71</v>
      </c>
      <c r="AF523">
        <f>VLOOKUP($B523,'[1]Plant data'!$A$1:$AB$315,14,0)</f>
        <v>1.5569999999999999</v>
      </c>
      <c r="AG523">
        <f>VLOOKUP($B523,'[1]Plant data'!$A$1:$AB$315,15,0)</f>
        <v>1</v>
      </c>
      <c r="AH523" t="str">
        <f>VLOOKUP($B523,'[1]Plant data'!$A$1:$AB$315,16,0)</f>
        <v>NA</v>
      </c>
      <c r="AI523">
        <f>VLOOKUP($B523,'[1]Plant data'!$A$1:$AB$315,17,0)</f>
        <v>2.1963571626138605</v>
      </c>
      <c r="AJ523" t="str">
        <f>VLOOKUP($B523,'[1]Plant data'!$A$1:$AB$315,18,0)</f>
        <v>Cazetta 2007, Erica&amp;Wesley, Intervales_morfo</v>
      </c>
      <c r="AK523">
        <f>VLOOKUP($B523,'[1]Plant data'!$A$1:$AB$315,19,0)</f>
        <v>0.54189999999999994</v>
      </c>
      <c r="AL523">
        <f>VLOOKUP($B523,'[1]Plant data'!$A$1:$AB$315,20,0)</f>
        <v>0.56909999999999994</v>
      </c>
      <c r="AM523">
        <f>VLOOKUP($B523,'[1]Plant data'!$A$1:$AB$315,21,0)</f>
        <v>5.4851999999999998E-2</v>
      </c>
      <c r="AN523">
        <f>VLOOKUP($B523,'[1]Plant data'!$A$1:$AB$315,22,0)</f>
        <v>3.2000000000000002E-3</v>
      </c>
      <c r="AO523" t="str">
        <f>VLOOKUP($B523,'[1]Plant data'!$A$1:$AB$315,23,0)</f>
        <v>NA</v>
      </c>
      <c r="AP523" t="str">
        <f>VLOOKUP($B523,'[1]Plant data'!$A$1:$AB$315,24,0)</f>
        <v>NA</v>
      </c>
      <c r="AQ523" t="str">
        <f>VLOOKUP($B523,'[1]Plant data'!$A$1:$AB$315,25,0)</f>
        <v>NA</v>
      </c>
      <c r="AR523" t="str">
        <f>VLOOKUP($B523,'[1]Plant data'!$A$1:$AB$315,26,0)</f>
        <v>NA</v>
      </c>
      <c r="AS523" t="str">
        <f>VLOOKUP($B523,'[1]Plant data'!$A$1:$AB$315,27,0)</f>
        <v>NA</v>
      </c>
      <c r="AT523" t="str">
        <f>VLOOKUP($B523,'[1]Plant data'!$A$1:$AB$315,28,0)</f>
        <v>Cazetta 2007, Erica &amp; Wesley unpubl.</v>
      </c>
    </row>
    <row r="524" spans="1:46">
      <c r="A524" s="5" t="s">
        <v>110</v>
      </c>
      <c r="B524" s="39" t="s">
        <v>166</v>
      </c>
      <c r="C524">
        <v>1</v>
      </c>
      <c r="D524" t="s">
        <v>19</v>
      </c>
      <c r="E524" s="9" t="s">
        <v>19</v>
      </c>
      <c r="F524" s="9" t="s">
        <v>19</v>
      </c>
      <c r="G524" s="9" t="s">
        <v>19</v>
      </c>
      <c r="H524" s="9"/>
      <c r="I524" s="8" t="s">
        <v>19</v>
      </c>
      <c r="J524" s="10" t="s">
        <v>157</v>
      </c>
      <c r="K524" t="s">
        <v>123</v>
      </c>
      <c r="L524" t="s">
        <v>100</v>
      </c>
      <c r="M524" t="s">
        <v>101</v>
      </c>
      <c r="N524" s="11">
        <v>1250</v>
      </c>
      <c r="O524" s="11">
        <v>19.114999999999998</v>
      </c>
      <c r="P524" t="s">
        <v>48</v>
      </c>
      <c r="Q524" t="s">
        <v>95</v>
      </c>
      <c r="R524" t="s">
        <v>114</v>
      </c>
      <c r="S524" t="s">
        <v>27</v>
      </c>
      <c r="T524" t="str">
        <f>VLOOKUP(B524,'[1]Plant data'!$A$1:$AB$315,2,0)</f>
        <v>Myristicaceae</v>
      </c>
      <c r="U524" t="str">
        <f>VLOOKUP($B524,'[1]Plant data'!$A$1:$AB$315,3,0)</f>
        <v>NA</v>
      </c>
      <c r="V524" t="str">
        <f>VLOOKUP($B524,'[1]Plant data'!$A$1:$AB$315,4,0)</f>
        <v>red</v>
      </c>
      <c r="W524" t="str">
        <f>VLOOKUP($B524,'[1]Plant data'!$A$1:$AB$315,5,0)</f>
        <v>YES</v>
      </c>
      <c r="X524">
        <f>VLOOKUP($B524,'[1]Plant data'!$A$1:$AB$315,6,0)</f>
        <v>26.67</v>
      </c>
      <c r="Y524">
        <f>VLOOKUP($B524,'[1]Plant data'!$A$1:$AB$315,7,0)</f>
        <v>35.924999999999997</v>
      </c>
      <c r="Z524">
        <f>VLOOKUP($B524,'[1]Plant data'!$A$1:$AB$315,8,0)</f>
        <v>20</v>
      </c>
      <c r="AA524">
        <f>VLOOKUP($B524,'[1]Plant data'!$A$1:$AB$315,9,0)</f>
        <v>25</v>
      </c>
      <c r="AB524">
        <f>VLOOKUP($B524,'[1]Plant data'!$A$1:$AB$315,10,0)</f>
        <v>6.3</v>
      </c>
      <c r="AC524" t="str">
        <f>VLOOKUP($B524,'[1]Plant data'!$A$1:$AB$315,11,0)</f>
        <v>NA</v>
      </c>
      <c r="AD524">
        <f>VLOOKUP($B524,'[1]Plant data'!$A$1:$AB$315,12,0)</f>
        <v>5.6</v>
      </c>
      <c r="AE524" t="str">
        <f>VLOOKUP($B524,'[1]Plant data'!$A$1:$AB$315,13,0)</f>
        <v>NA</v>
      </c>
      <c r="AF524" t="str">
        <f>VLOOKUP($B524,'[1]Plant data'!$A$1:$AB$315,14,0)</f>
        <v>NA</v>
      </c>
      <c r="AG524">
        <f>VLOOKUP($B524,'[1]Plant data'!$A$1:$AB$315,15,0)</f>
        <v>1</v>
      </c>
      <c r="AH524" t="str">
        <f>VLOOKUP($B524,'[1]Plant data'!$A$1:$AB$315,16,0)</f>
        <v>NA</v>
      </c>
      <c r="AI524" t="str">
        <f>VLOOKUP($B524,'[1]Plant data'!$A$1:$AB$315,17,0)</f>
        <v>NA</v>
      </c>
      <c r="AJ524" t="str">
        <f>VLOOKUP($B524,'[1]Plant data'!$A$1:$AB$315,18,0)</f>
        <v>ATLANTIC, Intervales_morfo</v>
      </c>
      <c r="AK524">
        <f>VLOOKUP($B524,'[1]Plant data'!$A$1:$AB$315,19,0)</f>
        <v>0.72299999999999998</v>
      </c>
      <c r="AL524">
        <f>VLOOKUP($B524,'[1]Plant data'!$A$1:$AB$315,20,0)</f>
        <v>0.88800000000000001</v>
      </c>
      <c r="AM524">
        <f>VLOOKUP($B524,'[1]Plant data'!$A$1:$AB$315,21,0)</f>
        <v>4.9000000000000002E-2</v>
      </c>
      <c r="AN524" t="str">
        <f>VLOOKUP($B524,'[1]Plant data'!$A$1:$AB$315,22,0)</f>
        <v>NA</v>
      </c>
      <c r="AO524" t="str">
        <f>VLOOKUP($B524,'[1]Plant data'!$A$1:$AB$315,23,0)</f>
        <v>NA</v>
      </c>
      <c r="AP524" t="str">
        <f>VLOOKUP($B524,'[1]Plant data'!$A$1:$AB$315,24,0)</f>
        <v>NA</v>
      </c>
      <c r="AQ524">
        <f>VLOOKUP($B524,'[1]Plant data'!$A$1:$AB$315,25,0)</f>
        <v>5.2999999999999999E-2</v>
      </c>
      <c r="AR524">
        <f>VLOOKUP($B524,'[1]Plant data'!$A$1:$AB$315,26,0)</f>
        <v>1.1000000000000001E-2</v>
      </c>
      <c r="AS524" t="str">
        <f>VLOOKUP($B524,'[1]Plant data'!$A$1:$AB$315,27,0)</f>
        <v>NA</v>
      </c>
      <c r="AT524" t="str">
        <f>VLOOKUP($B524,'[1]Plant data'!$A$1:$AB$315,28,0)</f>
        <v>Saibadela</v>
      </c>
    </row>
    <row r="525" spans="1:46">
      <c r="A525" s="5" t="s">
        <v>110</v>
      </c>
      <c r="B525" s="39" t="s">
        <v>167</v>
      </c>
      <c r="C525">
        <v>1</v>
      </c>
      <c r="D525" t="s">
        <v>19</v>
      </c>
      <c r="E525" s="9" t="s">
        <v>19</v>
      </c>
      <c r="F525" s="9" t="s">
        <v>19</v>
      </c>
      <c r="G525" s="41">
        <v>6</v>
      </c>
      <c r="H525" s="41"/>
      <c r="I525" s="8" t="s">
        <v>19</v>
      </c>
      <c r="J525" t="s">
        <v>157</v>
      </c>
      <c r="K525" t="s">
        <v>123</v>
      </c>
      <c r="L525" t="s">
        <v>100</v>
      </c>
      <c r="M525" t="s">
        <v>101</v>
      </c>
      <c r="N525" s="11">
        <v>1250</v>
      </c>
      <c r="O525" s="11">
        <v>19.114999999999998</v>
      </c>
      <c r="P525" t="s">
        <v>48</v>
      </c>
      <c r="Q525" t="s">
        <v>95</v>
      </c>
      <c r="R525" t="s">
        <v>114</v>
      </c>
      <c r="S525" t="s">
        <v>27</v>
      </c>
      <c r="T525" t="str">
        <f>VLOOKUP(B525,'[1]Plant data'!$A$1:$AB$315,2,0)</f>
        <v>Myristicaceae</v>
      </c>
      <c r="U525" t="str">
        <f>VLOOKUP($B525,'[1]Plant data'!$A$1:$AB$315,3,0)</f>
        <v>NA</v>
      </c>
      <c r="V525" t="str">
        <f>VLOOKUP($B525,'[1]Plant data'!$A$1:$AB$315,4,0)</f>
        <v>red</v>
      </c>
      <c r="W525" t="str">
        <f>VLOOKUP($B525,'[1]Plant data'!$A$1:$AB$315,5,0)</f>
        <v>YES</v>
      </c>
      <c r="X525">
        <f>VLOOKUP($B525,'[1]Plant data'!$A$1:$AB$315,6,0)</f>
        <v>15.7</v>
      </c>
      <c r="Y525">
        <f>VLOOKUP($B525,'[1]Plant data'!$A$1:$AB$315,7,0)</f>
        <v>23.7</v>
      </c>
      <c r="Z525" t="str">
        <f>VLOOKUP($B525,'[1]Plant data'!$A$1:$AB$315,8,0)</f>
        <v>NA</v>
      </c>
      <c r="AA525" t="str">
        <f>VLOOKUP($B525,'[1]Plant data'!$A$1:$AB$315,9,0)</f>
        <v>NA</v>
      </c>
      <c r="AB525">
        <f>VLOOKUP($B525,'[1]Plant data'!$A$1:$AB$315,10,0)</f>
        <v>3.5</v>
      </c>
      <c r="AC525">
        <f>VLOOKUP($B525,'[1]Plant data'!$A$1:$AB$315,11,0)</f>
        <v>1.1000000000000001</v>
      </c>
      <c r="AD525" t="str">
        <f>VLOOKUP($B525,'[1]Plant data'!$A$1:$AB$315,12,0)</f>
        <v>NA</v>
      </c>
      <c r="AE525" t="str">
        <f>VLOOKUP($B525,'[1]Plant data'!$A$1:$AB$315,13,0)</f>
        <v>NA</v>
      </c>
      <c r="AF525" t="str">
        <f>VLOOKUP($B525,'[1]Plant data'!$A$1:$AB$315,14,0)</f>
        <v>NA</v>
      </c>
      <c r="AG525">
        <f>VLOOKUP($B525,'[1]Plant data'!$A$1:$AB$315,15,0)</f>
        <v>1</v>
      </c>
      <c r="AH525" t="str">
        <f>VLOOKUP($B525,'[1]Plant data'!$A$1:$AB$315,16,0)</f>
        <v>NA</v>
      </c>
      <c r="AI525" t="str">
        <f>VLOOKUP($B525,'[1]Plant data'!$A$1:$AB$315,17,0)</f>
        <v>NA</v>
      </c>
      <c r="AJ525" t="str">
        <f>VLOOKUP($B525,'[1]Plant data'!$A$1:$AB$315,18,0)</f>
        <v>Pizo &amp; Oliveira 2001</v>
      </c>
      <c r="AK525">
        <f>VLOOKUP($B525,'[1]Plant data'!$A$1:$AB$315,19,0)</f>
        <v>0.62680000000000002</v>
      </c>
      <c r="AL525">
        <f>VLOOKUP($B525,'[1]Plant data'!$A$1:$AB$315,20,0)</f>
        <v>0.61839999999999995</v>
      </c>
      <c r="AM525">
        <f>VLOOKUP($B525,'[1]Plant data'!$A$1:$AB$315,21,0)</f>
        <v>4.6050000000000001E-2</v>
      </c>
      <c r="AN525" t="str">
        <f>VLOOKUP($B525,'[1]Plant data'!$A$1:$AB$315,22,0)</f>
        <v>NA</v>
      </c>
      <c r="AO525" t="str">
        <f>VLOOKUP($B525,'[1]Plant data'!$A$1:$AB$315,23,0)</f>
        <v>NA</v>
      </c>
      <c r="AP525" t="str">
        <f>VLOOKUP($B525,'[1]Plant data'!$A$1:$AB$315,24,0)</f>
        <v>NA</v>
      </c>
      <c r="AQ525">
        <f>VLOOKUP($B525,'[1]Plant data'!$A$1:$AB$315,25,0)</f>
        <v>0.32119999999999999</v>
      </c>
      <c r="AR525">
        <f>VLOOKUP($B525,'[1]Plant data'!$A$1:$AB$315,26,0)</f>
        <v>1.4E-2</v>
      </c>
      <c r="AS525" t="str">
        <f>VLOOKUP($B525,'[1]Plant data'!$A$1:$AB$315,27,0)</f>
        <v>NA</v>
      </c>
      <c r="AT525" t="str">
        <f>VLOOKUP($B525,'[1]Plant data'!$A$1:$AB$315,28,0)</f>
        <v>Saibadela, Galetti et al 1997</v>
      </c>
    </row>
    <row r="526" spans="1:46">
      <c r="A526" s="5" t="s">
        <v>144</v>
      </c>
      <c r="B526" s="39" t="s">
        <v>167</v>
      </c>
      <c r="C526">
        <v>5</v>
      </c>
      <c r="D526">
        <v>750</v>
      </c>
      <c r="E526" s="8">
        <f>C526/750</f>
        <v>6.6666666666666671E-3</v>
      </c>
      <c r="F526" s="27" t="s">
        <v>19</v>
      </c>
      <c r="G526" s="41">
        <v>1</v>
      </c>
      <c r="H526" s="41"/>
      <c r="I526" s="8">
        <f>E526*G526</f>
        <v>6.6666666666666671E-3</v>
      </c>
      <c r="J526" t="s">
        <v>208</v>
      </c>
      <c r="K526" t="s">
        <v>123</v>
      </c>
      <c r="L526" t="s">
        <v>93</v>
      </c>
      <c r="M526" t="s">
        <v>94</v>
      </c>
      <c r="N526" s="11">
        <v>146</v>
      </c>
      <c r="O526" s="11">
        <v>23.6</v>
      </c>
      <c r="P526" t="s">
        <v>48</v>
      </c>
      <c r="Q526" t="s">
        <v>25</v>
      </c>
      <c r="R526" t="s">
        <v>145</v>
      </c>
      <c r="S526" t="s">
        <v>27</v>
      </c>
      <c r="T526" t="str">
        <f>VLOOKUP(B526,'[1]Plant data'!$A$1:$AB$315,2,0)</f>
        <v>Myristicaceae</v>
      </c>
      <c r="U526" t="str">
        <f>VLOOKUP($B526,'[1]Plant data'!$A$1:$AB$315,3,0)</f>
        <v>NA</v>
      </c>
      <c r="V526" t="str">
        <f>VLOOKUP($B526,'[1]Plant data'!$A$1:$AB$315,4,0)</f>
        <v>red</v>
      </c>
      <c r="W526" t="str">
        <f>VLOOKUP($B526,'[1]Plant data'!$A$1:$AB$315,5,0)</f>
        <v>YES</v>
      </c>
      <c r="X526">
        <f>VLOOKUP($B526,'[1]Plant data'!$A$1:$AB$315,6,0)</f>
        <v>15.7</v>
      </c>
      <c r="Y526">
        <f>VLOOKUP($B526,'[1]Plant data'!$A$1:$AB$315,7,0)</f>
        <v>23.7</v>
      </c>
      <c r="Z526" t="str">
        <f>VLOOKUP($B526,'[1]Plant data'!$A$1:$AB$315,8,0)</f>
        <v>NA</v>
      </c>
      <c r="AA526" t="str">
        <f>VLOOKUP($B526,'[1]Plant data'!$A$1:$AB$315,9,0)</f>
        <v>NA</v>
      </c>
      <c r="AB526">
        <f>VLOOKUP($B526,'[1]Plant data'!$A$1:$AB$315,10,0)</f>
        <v>3.5</v>
      </c>
      <c r="AC526">
        <f>VLOOKUP($B526,'[1]Plant data'!$A$1:$AB$315,11,0)</f>
        <v>1.1000000000000001</v>
      </c>
      <c r="AD526" t="str">
        <f>VLOOKUP($B526,'[1]Plant data'!$A$1:$AB$315,12,0)</f>
        <v>NA</v>
      </c>
      <c r="AE526" t="str">
        <f>VLOOKUP($B526,'[1]Plant data'!$A$1:$AB$315,13,0)</f>
        <v>NA</v>
      </c>
      <c r="AF526" t="str">
        <f>VLOOKUP($B526,'[1]Plant data'!$A$1:$AB$315,14,0)</f>
        <v>NA</v>
      </c>
      <c r="AG526">
        <f>VLOOKUP($B526,'[1]Plant data'!$A$1:$AB$315,15,0)</f>
        <v>1</v>
      </c>
      <c r="AH526" t="str">
        <f>VLOOKUP($B526,'[1]Plant data'!$A$1:$AB$315,16,0)</f>
        <v>NA</v>
      </c>
      <c r="AI526" t="str">
        <f>VLOOKUP($B526,'[1]Plant data'!$A$1:$AB$315,17,0)</f>
        <v>NA</v>
      </c>
      <c r="AJ526" t="str">
        <f>VLOOKUP($B526,'[1]Plant data'!$A$1:$AB$315,18,0)</f>
        <v>Pizo &amp; Oliveira 2001</v>
      </c>
      <c r="AK526">
        <f>VLOOKUP($B526,'[1]Plant data'!$A$1:$AB$315,19,0)</f>
        <v>0.62680000000000002</v>
      </c>
      <c r="AL526">
        <f>VLOOKUP($B526,'[1]Plant data'!$A$1:$AB$315,20,0)</f>
        <v>0.61839999999999995</v>
      </c>
      <c r="AM526">
        <f>VLOOKUP($B526,'[1]Plant data'!$A$1:$AB$315,21,0)</f>
        <v>4.6050000000000001E-2</v>
      </c>
      <c r="AN526" t="str">
        <f>VLOOKUP($B526,'[1]Plant data'!$A$1:$AB$315,22,0)</f>
        <v>NA</v>
      </c>
      <c r="AO526" t="str">
        <f>VLOOKUP($B526,'[1]Plant data'!$A$1:$AB$315,23,0)</f>
        <v>NA</v>
      </c>
      <c r="AP526" t="str">
        <f>VLOOKUP($B526,'[1]Plant data'!$A$1:$AB$315,24,0)</f>
        <v>NA</v>
      </c>
      <c r="AQ526">
        <f>VLOOKUP($B526,'[1]Plant data'!$A$1:$AB$315,25,0)</f>
        <v>0.32119999999999999</v>
      </c>
      <c r="AR526">
        <f>VLOOKUP($B526,'[1]Plant data'!$A$1:$AB$315,26,0)</f>
        <v>1.4E-2</v>
      </c>
      <c r="AS526" t="str">
        <f>VLOOKUP($B526,'[1]Plant data'!$A$1:$AB$315,27,0)</f>
        <v>NA</v>
      </c>
      <c r="AT526" t="str">
        <f>VLOOKUP($B526,'[1]Plant data'!$A$1:$AB$315,28,0)</f>
        <v>Saibadela, Galetti et al 1997</v>
      </c>
    </row>
    <row r="527" spans="1:46">
      <c r="A527" s="5" t="s">
        <v>74</v>
      </c>
      <c r="B527" s="39" t="s">
        <v>167</v>
      </c>
      <c r="C527">
        <v>4</v>
      </c>
      <c r="D527">
        <v>750</v>
      </c>
      <c r="E527" s="8">
        <f>C527/750</f>
        <v>5.3333333333333332E-3</v>
      </c>
      <c r="F527" s="27" t="s">
        <v>19</v>
      </c>
      <c r="G527" s="9" t="s">
        <v>19</v>
      </c>
      <c r="H527" s="9"/>
      <c r="I527" s="8" t="s">
        <v>19</v>
      </c>
      <c r="J527" t="s">
        <v>208</v>
      </c>
      <c r="K527" t="s">
        <v>123</v>
      </c>
      <c r="L527" t="s">
        <v>22</v>
      </c>
      <c r="M527" t="s">
        <v>75</v>
      </c>
      <c r="N527" s="11">
        <v>200</v>
      </c>
      <c r="O527" s="11">
        <v>23.614285710000001</v>
      </c>
      <c r="P527" t="s">
        <v>48</v>
      </c>
      <c r="Q527" t="s">
        <v>25</v>
      </c>
      <c r="R527" t="s">
        <v>76</v>
      </c>
      <c r="S527" t="s">
        <v>27</v>
      </c>
      <c r="T527" t="str">
        <f>VLOOKUP(B527,'[1]Plant data'!$A$1:$AB$315,2,0)</f>
        <v>Myristicaceae</v>
      </c>
      <c r="U527" t="str">
        <f>VLOOKUP($B527,'[1]Plant data'!$A$1:$AB$315,3,0)</f>
        <v>NA</v>
      </c>
      <c r="V527" t="str">
        <f>VLOOKUP($B527,'[1]Plant data'!$A$1:$AB$315,4,0)</f>
        <v>red</v>
      </c>
      <c r="W527" t="str">
        <f>VLOOKUP($B527,'[1]Plant data'!$A$1:$AB$315,5,0)</f>
        <v>YES</v>
      </c>
      <c r="X527">
        <f>VLOOKUP($B527,'[1]Plant data'!$A$1:$AB$315,6,0)</f>
        <v>15.7</v>
      </c>
      <c r="Y527">
        <f>VLOOKUP($B527,'[1]Plant data'!$A$1:$AB$315,7,0)</f>
        <v>23.7</v>
      </c>
      <c r="Z527" t="str">
        <f>VLOOKUP($B527,'[1]Plant data'!$A$1:$AB$315,8,0)</f>
        <v>NA</v>
      </c>
      <c r="AA527" t="str">
        <f>VLOOKUP($B527,'[1]Plant data'!$A$1:$AB$315,9,0)</f>
        <v>NA</v>
      </c>
      <c r="AB527">
        <f>VLOOKUP($B527,'[1]Plant data'!$A$1:$AB$315,10,0)</f>
        <v>3.5</v>
      </c>
      <c r="AC527">
        <f>VLOOKUP($B527,'[1]Plant data'!$A$1:$AB$315,11,0)</f>
        <v>1.1000000000000001</v>
      </c>
      <c r="AD527" t="str">
        <f>VLOOKUP($B527,'[1]Plant data'!$A$1:$AB$315,12,0)</f>
        <v>NA</v>
      </c>
      <c r="AE527" t="str">
        <f>VLOOKUP($B527,'[1]Plant data'!$A$1:$AB$315,13,0)</f>
        <v>NA</v>
      </c>
      <c r="AF527" t="str">
        <f>VLOOKUP($B527,'[1]Plant data'!$A$1:$AB$315,14,0)</f>
        <v>NA</v>
      </c>
      <c r="AG527">
        <f>VLOOKUP($B527,'[1]Plant data'!$A$1:$AB$315,15,0)</f>
        <v>1</v>
      </c>
      <c r="AH527" t="str">
        <f>VLOOKUP($B527,'[1]Plant data'!$A$1:$AB$315,16,0)</f>
        <v>NA</v>
      </c>
      <c r="AI527" t="str">
        <f>VLOOKUP($B527,'[1]Plant data'!$A$1:$AB$315,17,0)</f>
        <v>NA</v>
      </c>
      <c r="AJ527" t="str">
        <f>VLOOKUP($B527,'[1]Plant data'!$A$1:$AB$315,18,0)</f>
        <v>Pizo &amp; Oliveira 2001</v>
      </c>
      <c r="AK527">
        <f>VLOOKUP($B527,'[1]Plant data'!$A$1:$AB$315,19,0)</f>
        <v>0.62680000000000002</v>
      </c>
      <c r="AL527">
        <f>VLOOKUP($B527,'[1]Plant data'!$A$1:$AB$315,20,0)</f>
        <v>0.61839999999999995</v>
      </c>
      <c r="AM527">
        <f>VLOOKUP($B527,'[1]Plant data'!$A$1:$AB$315,21,0)</f>
        <v>4.6050000000000001E-2</v>
      </c>
      <c r="AN527" t="str">
        <f>VLOOKUP($B527,'[1]Plant data'!$A$1:$AB$315,22,0)</f>
        <v>NA</v>
      </c>
      <c r="AO527" t="str">
        <f>VLOOKUP($B527,'[1]Plant data'!$A$1:$AB$315,23,0)</f>
        <v>NA</v>
      </c>
      <c r="AP527" t="str">
        <f>VLOOKUP($B527,'[1]Plant data'!$A$1:$AB$315,24,0)</f>
        <v>NA</v>
      </c>
      <c r="AQ527">
        <f>VLOOKUP($B527,'[1]Plant data'!$A$1:$AB$315,25,0)</f>
        <v>0.32119999999999999</v>
      </c>
      <c r="AR527">
        <f>VLOOKUP($B527,'[1]Plant data'!$A$1:$AB$315,26,0)</f>
        <v>1.4E-2</v>
      </c>
      <c r="AS527" t="str">
        <f>VLOOKUP($B527,'[1]Plant data'!$A$1:$AB$315,27,0)</f>
        <v>NA</v>
      </c>
      <c r="AT527" t="str">
        <f>VLOOKUP($B527,'[1]Plant data'!$A$1:$AB$315,28,0)</f>
        <v>Saibadela, Galetti et al 1997</v>
      </c>
    </row>
    <row r="528" spans="1:46">
      <c r="A528" s="5" t="s">
        <v>90</v>
      </c>
      <c r="B528" s="40" t="s">
        <v>167</v>
      </c>
      <c r="C528" s="25">
        <v>11</v>
      </c>
      <c r="D528">
        <v>750</v>
      </c>
      <c r="E528" s="26">
        <v>1.4666667E-2</v>
      </c>
      <c r="F528" s="27" t="s">
        <v>19</v>
      </c>
      <c r="G528" s="41">
        <v>1</v>
      </c>
      <c r="H528" s="41"/>
      <c r="I528" s="8">
        <f>E528*G528</f>
        <v>1.4666667E-2</v>
      </c>
      <c r="J528" s="24" t="s">
        <v>208</v>
      </c>
      <c r="K528" t="s">
        <v>123</v>
      </c>
      <c r="L528" t="s">
        <v>93</v>
      </c>
      <c r="M528" t="s">
        <v>94</v>
      </c>
      <c r="N528" s="11">
        <v>331</v>
      </c>
      <c r="O528" s="11">
        <v>30.7</v>
      </c>
      <c r="P528" t="s">
        <v>48</v>
      </c>
      <c r="Q528" t="s">
        <v>95</v>
      </c>
      <c r="R528" t="s">
        <v>26</v>
      </c>
      <c r="S528" t="s">
        <v>27</v>
      </c>
      <c r="T528" t="str">
        <f>VLOOKUP(B528,'[1]Plant data'!$A$1:$AB$315,2,0)</f>
        <v>Myristicaceae</v>
      </c>
      <c r="U528" t="str">
        <f>VLOOKUP($B528,'[1]Plant data'!$A$1:$AB$315,3,0)</f>
        <v>NA</v>
      </c>
      <c r="V528" t="str">
        <f>VLOOKUP($B528,'[1]Plant data'!$A$1:$AB$315,4,0)</f>
        <v>red</v>
      </c>
      <c r="W528" t="str">
        <f>VLOOKUP($B528,'[1]Plant data'!$A$1:$AB$315,5,0)</f>
        <v>YES</v>
      </c>
      <c r="X528">
        <f>VLOOKUP($B528,'[1]Plant data'!$A$1:$AB$315,6,0)</f>
        <v>15.7</v>
      </c>
      <c r="Y528">
        <f>VLOOKUP($B528,'[1]Plant data'!$A$1:$AB$315,7,0)</f>
        <v>23.7</v>
      </c>
      <c r="Z528" t="str">
        <f>VLOOKUP($B528,'[1]Plant data'!$A$1:$AB$315,8,0)</f>
        <v>NA</v>
      </c>
      <c r="AA528" t="str">
        <f>VLOOKUP($B528,'[1]Plant data'!$A$1:$AB$315,9,0)</f>
        <v>NA</v>
      </c>
      <c r="AB528">
        <f>VLOOKUP($B528,'[1]Plant data'!$A$1:$AB$315,10,0)</f>
        <v>3.5</v>
      </c>
      <c r="AC528">
        <f>VLOOKUP($B528,'[1]Plant data'!$A$1:$AB$315,11,0)</f>
        <v>1.1000000000000001</v>
      </c>
      <c r="AD528" t="str">
        <f>VLOOKUP($B528,'[1]Plant data'!$A$1:$AB$315,12,0)</f>
        <v>NA</v>
      </c>
      <c r="AE528" t="str">
        <f>VLOOKUP($B528,'[1]Plant data'!$A$1:$AB$315,13,0)</f>
        <v>NA</v>
      </c>
      <c r="AF528" t="str">
        <f>VLOOKUP($B528,'[1]Plant data'!$A$1:$AB$315,14,0)</f>
        <v>NA</v>
      </c>
      <c r="AG528">
        <f>VLOOKUP($B528,'[1]Plant data'!$A$1:$AB$315,15,0)</f>
        <v>1</v>
      </c>
      <c r="AH528" t="str">
        <f>VLOOKUP($B528,'[1]Plant data'!$A$1:$AB$315,16,0)</f>
        <v>NA</v>
      </c>
      <c r="AI528" t="str">
        <f>VLOOKUP($B528,'[1]Plant data'!$A$1:$AB$315,17,0)</f>
        <v>NA</v>
      </c>
      <c r="AJ528" t="str">
        <f>VLOOKUP($B528,'[1]Plant data'!$A$1:$AB$315,18,0)</f>
        <v>Pizo &amp; Oliveira 2001</v>
      </c>
      <c r="AK528">
        <f>VLOOKUP($B528,'[1]Plant data'!$A$1:$AB$315,19,0)</f>
        <v>0.62680000000000002</v>
      </c>
      <c r="AL528">
        <f>VLOOKUP($B528,'[1]Plant data'!$A$1:$AB$315,20,0)</f>
        <v>0.61839999999999995</v>
      </c>
      <c r="AM528">
        <f>VLOOKUP($B528,'[1]Plant data'!$A$1:$AB$315,21,0)</f>
        <v>4.6050000000000001E-2</v>
      </c>
      <c r="AN528" t="str">
        <f>VLOOKUP($B528,'[1]Plant data'!$A$1:$AB$315,22,0)</f>
        <v>NA</v>
      </c>
      <c r="AO528" t="str">
        <f>VLOOKUP($B528,'[1]Plant data'!$A$1:$AB$315,23,0)</f>
        <v>NA</v>
      </c>
      <c r="AP528" t="str">
        <f>VLOOKUP($B528,'[1]Plant data'!$A$1:$AB$315,24,0)</f>
        <v>NA</v>
      </c>
      <c r="AQ528">
        <f>VLOOKUP($B528,'[1]Plant data'!$A$1:$AB$315,25,0)</f>
        <v>0.32119999999999999</v>
      </c>
      <c r="AR528">
        <f>VLOOKUP($B528,'[1]Plant data'!$A$1:$AB$315,26,0)</f>
        <v>1.4E-2</v>
      </c>
      <c r="AS528" t="str">
        <f>VLOOKUP($B528,'[1]Plant data'!$A$1:$AB$315,27,0)</f>
        <v>NA</v>
      </c>
      <c r="AT528" t="str">
        <f>VLOOKUP($B528,'[1]Plant data'!$A$1:$AB$315,28,0)</f>
        <v>Saibadela, Galetti et al 1997</v>
      </c>
    </row>
    <row r="529" spans="1:46">
      <c r="A529" s="5" t="s">
        <v>105</v>
      </c>
      <c r="B529" s="39" t="s">
        <v>167</v>
      </c>
      <c r="C529">
        <v>3</v>
      </c>
      <c r="D529">
        <v>750</v>
      </c>
      <c r="E529" s="8">
        <f>C529/750</f>
        <v>4.0000000000000001E-3</v>
      </c>
      <c r="F529" s="27" t="s">
        <v>19</v>
      </c>
      <c r="G529" s="41">
        <v>1</v>
      </c>
      <c r="H529" s="41"/>
      <c r="I529" s="8">
        <f>E529*G529</f>
        <v>4.0000000000000001E-3</v>
      </c>
      <c r="J529" t="s">
        <v>208</v>
      </c>
      <c r="K529" t="s">
        <v>123</v>
      </c>
      <c r="L529" t="s">
        <v>93</v>
      </c>
      <c r="M529" t="s">
        <v>94</v>
      </c>
      <c r="N529" s="11">
        <v>164</v>
      </c>
      <c r="O529" s="11">
        <v>25.039000000000001</v>
      </c>
      <c r="P529" t="s">
        <v>48</v>
      </c>
      <c r="Q529" t="s">
        <v>25</v>
      </c>
      <c r="R529" t="s">
        <v>26</v>
      </c>
      <c r="S529" t="s">
        <v>27</v>
      </c>
      <c r="T529" t="str">
        <f>VLOOKUP(B529,'[1]Plant data'!$A$1:$AB$315,2,0)</f>
        <v>Myristicaceae</v>
      </c>
      <c r="U529" t="str">
        <f>VLOOKUP($B529,'[1]Plant data'!$A$1:$AB$315,3,0)</f>
        <v>NA</v>
      </c>
      <c r="V529" t="str">
        <f>VLOOKUP($B529,'[1]Plant data'!$A$1:$AB$315,4,0)</f>
        <v>red</v>
      </c>
      <c r="W529" t="str">
        <f>VLOOKUP($B529,'[1]Plant data'!$A$1:$AB$315,5,0)</f>
        <v>YES</v>
      </c>
      <c r="X529">
        <f>VLOOKUP($B529,'[1]Plant data'!$A$1:$AB$315,6,0)</f>
        <v>15.7</v>
      </c>
      <c r="Y529">
        <f>VLOOKUP($B529,'[1]Plant data'!$A$1:$AB$315,7,0)</f>
        <v>23.7</v>
      </c>
      <c r="Z529" t="str">
        <f>VLOOKUP($B529,'[1]Plant data'!$A$1:$AB$315,8,0)</f>
        <v>NA</v>
      </c>
      <c r="AA529" t="str">
        <f>VLOOKUP($B529,'[1]Plant data'!$A$1:$AB$315,9,0)</f>
        <v>NA</v>
      </c>
      <c r="AB529">
        <f>VLOOKUP($B529,'[1]Plant data'!$A$1:$AB$315,10,0)</f>
        <v>3.5</v>
      </c>
      <c r="AC529">
        <f>VLOOKUP($B529,'[1]Plant data'!$A$1:$AB$315,11,0)</f>
        <v>1.1000000000000001</v>
      </c>
      <c r="AD529" t="str">
        <f>VLOOKUP($B529,'[1]Plant data'!$A$1:$AB$315,12,0)</f>
        <v>NA</v>
      </c>
      <c r="AE529" t="str">
        <f>VLOOKUP($B529,'[1]Plant data'!$A$1:$AB$315,13,0)</f>
        <v>NA</v>
      </c>
      <c r="AF529" t="str">
        <f>VLOOKUP($B529,'[1]Plant data'!$A$1:$AB$315,14,0)</f>
        <v>NA</v>
      </c>
      <c r="AG529">
        <f>VLOOKUP($B529,'[1]Plant data'!$A$1:$AB$315,15,0)</f>
        <v>1</v>
      </c>
      <c r="AH529" t="str">
        <f>VLOOKUP($B529,'[1]Plant data'!$A$1:$AB$315,16,0)</f>
        <v>NA</v>
      </c>
      <c r="AI529" t="str">
        <f>VLOOKUP($B529,'[1]Plant data'!$A$1:$AB$315,17,0)</f>
        <v>NA</v>
      </c>
      <c r="AJ529" t="str">
        <f>VLOOKUP($B529,'[1]Plant data'!$A$1:$AB$315,18,0)</f>
        <v>Pizo &amp; Oliveira 2001</v>
      </c>
      <c r="AK529">
        <f>VLOOKUP($B529,'[1]Plant data'!$A$1:$AB$315,19,0)</f>
        <v>0.62680000000000002</v>
      </c>
      <c r="AL529">
        <f>VLOOKUP($B529,'[1]Plant data'!$A$1:$AB$315,20,0)</f>
        <v>0.61839999999999995</v>
      </c>
      <c r="AM529">
        <f>VLOOKUP($B529,'[1]Plant data'!$A$1:$AB$315,21,0)</f>
        <v>4.6050000000000001E-2</v>
      </c>
      <c r="AN529" t="str">
        <f>VLOOKUP($B529,'[1]Plant data'!$A$1:$AB$315,22,0)</f>
        <v>NA</v>
      </c>
      <c r="AO529" t="str">
        <f>VLOOKUP($B529,'[1]Plant data'!$A$1:$AB$315,23,0)</f>
        <v>NA</v>
      </c>
      <c r="AP529" t="str">
        <f>VLOOKUP($B529,'[1]Plant data'!$A$1:$AB$315,24,0)</f>
        <v>NA</v>
      </c>
      <c r="AQ529">
        <f>VLOOKUP($B529,'[1]Plant data'!$A$1:$AB$315,25,0)</f>
        <v>0.32119999999999999</v>
      </c>
      <c r="AR529">
        <f>VLOOKUP($B529,'[1]Plant data'!$A$1:$AB$315,26,0)</f>
        <v>1.4E-2</v>
      </c>
      <c r="AS529" t="str">
        <f>VLOOKUP($B529,'[1]Plant data'!$A$1:$AB$315,27,0)</f>
        <v>NA</v>
      </c>
      <c r="AT529" t="str">
        <f>VLOOKUP($B529,'[1]Plant data'!$A$1:$AB$315,28,0)</f>
        <v>Saibadela, Galetti et al 1997</v>
      </c>
    </row>
    <row r="530" spans="1:46">
      <c r="A530" s="5" t="s">
        <v>106</v>
      </c>
      <c r="B530" s="39" t="s">
        <v>167</v>
      </c>
      <c r="C530">
        <v>4</v>
      </c>
      <c r="D530">
        <v>750</v>
      </c>
      <c r="E530" s="8">
        <f>C530/750</f>
        <v>5.3333333333333332E-3</v>
      </c>
      <c r="F530" s="27" t="s">
        <v>19</v>
      </c>
      <c r="G530" s="9" t="s">
        <v>19</v>
      </c>
      <c r="H530" s="9"/>
      <c r="I530" s="8" t="s">
        <v>19</v>
      </c>
      <c r="J530" t="s">
        <v>208</v>
      </c>
      <c r="K530" t="s">
        <v>123</v>
      </c>
      <c r="L530" t="s">
        <v>22</v>
      </c>
      <c r="M530" t="s">
        <v>75</v>
      </c>
      <c r="N530" s="11">
        <v>68.099999999999994</v>
      </c>
      <c r="O530" s="11">
        <v>16.570370369999999</v>
      </c>
      <c r="P530" t="s">
        <v>48</v>
      </c>
      <c r="Q530" t="s">
        <v>49</v>
      </c>
      <c r="R530" t="s">
        <v>26</v>
      </c>
      <c r="S530" t="s">
        <v>27</v>
      </c>
      <c r="T530" t="str">
        <f>VLOOKUP(B530,'[1]Plant data'!$A$1:$AB$315,2,0)</f>
        <v>Myristicaceae</v>
      </c>
      <c r="U530" t="str">
        <f>VLOOKUP($B530,'[1]Plant data'!$A$1:$AB$315,3,0)</f>
        <v>NA</v>
      </c>
      <c r="V530" t="str">
        <f>VLOOKUP($B530,'[1]Plant data'!$A$1:$AB$315,4,0)</f>
        <v>red</v>
      </c>
      <c r="W530" t="str">
        <f>VLOOKUP($B530,'[1]Plant data'!$A$1:$AB$315,5,0)</f>
        <v>YES</v>
      </c>
      <c r="X530">
        <f>VLOOKUP($B530,'[1]Plant data'!$A$1:$AB$315,6,0)</f>
        <v>15.7</v>
      </c>
      <c r="Y530">
        <f>VLOOKUP($B530,'[1]Plant data'!$A$1:$AB$315,7,0)</f>
        <v>23.7</v>
      </c>
      <c r="Z530" t="str">
        <f>VLOOKUP($B530,'[1]Plant data'!$A$1:$AB$315,8,0)</f>
        <v>NA</v>
      </c>
      <c r="AA530" t="str">
        <f>VLOOKUP($B530,'[1]Plant data'!$A$1:$AB$315,9,0)</f>
        <v>NA</v>
      </c>
      <c r="AB530">
        <f>VLOOKUP($B530,'[1]Plant data'!$A$1:$AB$315,10,0)</f>
        <v>3.5</v>
      </c>
      <c r="AC530">
        <f>VLOOKUP($B530,'[1]Plant data'!$A$1:$AB$315,11,0)</f>
        <v>1.1000000000000001</v>
      </c>
      <c r="AD530" t="str">
        <f>VLOOKUP($B530,'[1]Plant data'!$A$1:$AB$315,12,0)</f>
        <v>NA</v>
      </c>
      <c r="AE530" t="str">
        <f>VLOOKUP($B530,'[1]Plant data'!$A$1:$AB$315,13,0)</f>
        <v>NA</v>
      </c>
      <c r="AF530" t="str">
        <f>VLOOKUP($B530,'[1]Plant data'!$A$1:$AB$315,14,0)</f>
        <v>NA</v>
      </c>
      <c r="AG530">
        <f>VLOOKUP($B530,'[1]Plant data'!$A$1:$AB$315,15,0)</f>
        <v>1</v>
      </c>
      <c r="AH530" t="str">
        <f>VLOOKUP($B530,'[1]Plant data'!$A$1:$AB$315,16,0)</f>
        <v>NA</v>
      </c>
      <c r="AI530" t="str">
        <f>VLOOKUP($B530,'[1]Plant data'!$A$1:$AB$315,17,0)</f>
        <v>NA</v>
      </c>
      <c r="AJ530" t="str">
        <f>VLOOKUP($B530,'[1]Plant data'!$A$1:$AB$315,18,0)</f>
        <v>Pizo &amp; Oliveira 2001</v>
      </c>
      <c r="AK530">
        <f>VLOOKUP($B530,'[1]Plant data'!$A$1:$AB$315,19,0)</f>
        <v>0.62680000000000002</v>
      </c>
      <c r="AL530">
        <f>VLOOKUP($B530,'[1]Plant data'!$A$1:$AB$315,20,0)</f>
        <v>0.61839999999999995</v>
      </c>
      <c r="AM530">
        <f>VLOOKUP($B530,'[1]Plant data'!$A$1:$AB$315,21,0)</f>
        <v>4.6050000000000001E-2</v>
      </c>
      <c r="AN530" t="str">
        <f>VLOOKUP($B530,'[1]Plant data'!$A$1:$AB$315,22,0)</f>
        <v>NA</v>
      </c>
      <c r="AO530" t="str">
        <f>VLOOKUP($B530,'[1]Plant data'!$A$1:$AB$315,23,0)</f>
        <v>NA</v>
      </c>
      <c r="AP530" t="str">
        <f>VLOOKUP($B530,'[1]Plant data'!$A$1:$AB$315,24,0)</f>
        <v>NA</v>
      </c>
      <c r="AQ530">
        <f>VLOOKUP($B530,'[1]Plant data'!$A$1:$AB$315,25,0)</f>
        <v>0.32119999999999999</v>
      </c>
      <c r="AR530">
        <f>VLOOKUP($B530,'[1]Plant data'!$A$1:$AB$315,26,0)</f>
        <v>1.4E-2</v>
      </c>
      <c r="AS530" t="str">
        <f>VLOOKUP($B530,'[1]Plant data'!$A$1:$AB$315,27,0)</f>
        <v>NA</v>
      </c>
      <c r="AT530" t="str">
        <f>VLOOKUP($B530,'[1]Plant data'!$A$1:$AB$315,28,0)</f>
        <v>Saibadela, Galetti et al 1997</v>
      </c>
    </row>
    <row r="531" spans="1:46">
      <c r="A531" s="5" t="s">
        <v>107</v>
      </c>
      <c r="B531" s="39" t="s">
        <v>167</v>
      </c>
      <c r="C531">
        <v>8</v>
      </c>
      <c r="D531">
        <v>750</v>
      </c>
      <c r="E531" s="8">
        <f>C531/750</f>
        <v>1.0666666666666666E-2</v>
      </c>
      <c r="F531" s="27" t="s">
        <v>19</v>
      </c>
      <c r="G531" s="41">
        <v>1</v>
      </c>
      <c r="H531" s="41"/>
      <c r="I531" s="8">
        <f t="shared" ref="I531:I537" si="43">E531*G531</f>
        <v>1.0666666666666666E-2</v>
      </c>
      <c r="J531" s="10" t="s">
        <v>208</v>
      </c>
      <c r="K531" t="s">
        <v>123</v>
      </c>
      <c r="L531" t="s">
        <v>108</v>
      </c>
      <c r="M531" t="s">
        <v>109</v>
      </c>
      <c r="N531" s="11">
        <v>89.7</v>
      </c>
      <c r="O531" s="11">
        <v>20.489000000000001</v>
      </c>
      <c r="P531" t="s">
        <v>48</v>
      </c>
      <c r="Q531" t="s">
        <v>25</v>
      </c>
      <c r="R531" t="s">
        <v>26</v>
      </c>
      <c r="S531" t="s">
        <v>31</v>
      </c>
      <c r="T531" t="str">
        <f>VLOOKUP(B531,'[1]Plant data'!$A$1:$AB$315,2,0)</f>
        <v>Myristicaceae</v>
      </c>
      <c r="U531" t="str">
        <f>VLOOKUP($B531,'[1]Plant data'!$A$1:$AB$315,3,0)</f>
        <v>NA</v>
      </c>
      <c r="V531" t="str">
        <f>VLOOKUP($B531,'[1]Plant data'!$A$1:$AB$315,4,0)</f>
        <v>red</v>
      </c>
      <c r="W531" t="str">
        <f>VLOOKUP($B531,'[1]Plant data'!$A$1:$AB$315,5,0)</f>
        <v>YES</v>
      </c>
      <c r="X531">
        <f>VLOOKUP($B531,'[1]Plant data'!$A$1:$AB$315,6,0)</f>
        <v>15.7</v>
      </c>
      <c r="Y531">
        <f>VLOOKUP($B531,'[1]Plant data'!$A$1:$AB$315,7,0)</f>
        <v>23.7</v>
      </c>
      <c r="Z531" t="str">
        <f>VLOOKUP($B531,'[1]Plant data'!$A$1:$AB$315,8,0)</f>
        <v>NA</v>
      </c>
      <c r="AA531" t="str">
        <f>VLOOKUP($B531,'[1]Plant data'!$A$1:$AB$315,9,0)</f>
        <v>NA</v>
      </c>
      <c r="AB531">
        <f>VLOOKUP($B531,'[1]Plant data'!$A$1:$AB$315,10,0)</f>
        <v>3.5</v>
      </c>
      <c r="AC531">
        <f>VLOOKUP($B531,'[1]Plant data'!$A$1:$AB$315,11,0)</f>
        <v>1.1000000000000001</v>
      </c>
      <c r="AD531" t="str">
        <f>VLOOKUP($B531,'[1]Plant data'!$A$1:$AB$315,12,0)</f>
        <v>NA</v>
      </c>
      <c r="AE531" t="str">
        <f>VLOOKUP($B531,'[1]Plant data'!$A$1:$AB$315,13,0)</f>
        <v>NA</v>
      </c>
      <c r="AF531" t="str">
        <f>VLOOKUP($B531,'[1]Plant data'!$A$1:$AB$315,14,0)</f>
        <v>NA</v>
      </c>
      <c r="AG531">
        <f>VLOOKUP($B531,'[1]Plant data'!$A$1:$AB$315,15,0)</f>
        <v>1</v>
      </c>
      <c r="AH531" t="str">
        <f>VLOOKUP($B531,'[1]Plant data'!$A$1:$AB$315,16,0)</f>
        <v>NA</v>
      </c>
      <c r="AI531" t="str">
        <f>VLOOKUP($B531,'[1]Plant data'!$A$1:$AB$315,17,0)</f>
        <v>NA</v>
      </c>
      <c r="AJ531" t="str">
        <f>VLOOKUP($B531,'[1]Plant data'!$A$1:$AB$315,18,0)</f>
        <v>Pizo &amp; Oliveira 2001</v>
      </c>
      <c r="AK531">
        <f>VLOOKUP($B531,'[1]Plant data'!$A$1:$AB$315,19,0)</f>
        <v>0.62680000000000002</v>
      </c>
      <c r="AL531">
        <f>VLOOKUP($B531,'[1]Plant data'!$A$1:$AB$315,20,0)</f>
        <v>0.61839999999999995</v>
      </c>
      <c r="AM531">
        <f>VLOOKUP($B531,'[1]Plant data'!$A$1:$AB$315,21,0)</f>
        <v>4.6050000000000001E-2</v>
      </c>
      <c r="AN531" t="str">
        <f>VLOOKUP($B531,'[1]Plant data'!$A$1:$AB$315,22,0)</f>
        <v>NA</v>
      </c>
      <c r="AO531" t="str">
        <f>VLOOKUP($B531,'[1]Plant data'!$A$1:$AB$315,23,0)</f>
        <v>NA</v>
      </c>
      <c r="AP531" t="str">
        <f>VLOOKUP($B531,'[1]Plant data'!$A$1:$AB$315,24,0)</f>
        <v>NA</v>
      </c>
      <c r="AQ531">
        <f>VLOOKUP($B531,'[1]Plant data'!$A$1:$AB$315,25,0)</f>
        <v>0.32119999999999999</v>
      </c>
      <c r="AR531">
        <f>VLOOKUP($B531,'[1]Plant data'!$A$1:$AB$315,26,0)</f>
        <v>1.4E-2</v>
      </c>
      <c r="AS531" t="str">
        <f>VLOOKUP($B531,'[1]Plant data'!$A$1:$AB$315,27,0)</f>
        <v>NA</v>
      </c>
      <c r="AT531" t="str">
        <f>VLOOKUP($B531,'[1]Plant data'!$A$1:$AB$315,28,0)</f>
        <v>Saibadela, Galetti et al 1997</v>
      </c>
    </row>
    <row r="532" spans="1:46">
      <c r="A532" s="21" t="s">
        <v>106</v>
      </c>
      <c r="B532" s="78" t="s">
        <v>170</v>
      </c>
      <c r="C532" s="16">
        <v>1</v>
      </c>
      <c r="D532" s="7">
        <v>30</v>
      </c>
      <c r="E532" s="23">
        <f>C532/30</f>
        <v>3.3333333333333333E-2</v>
      </c>
      <c r="F532" s="16">
        <v>3</v>
      </c>
      <c r="G532" s="19">
        <f>F532/C532</f>
        <v>3</v>
      </c>
      <c r="H532" s="19"/>
      <c r="I532" s="8">
        <f t="shared" si="43"/>
        <v>0.1</v>
      </c>
      <c r="J532" s="16" t="s">
        <v>171</v>
      </c>
      <c r="K532" s="16" t="s">
        <v>172</v>
      </c>
      <c r="L532" s="16" t="s">
        <v>22</v>
      </c>
      <c r="M532" s="16" t="s">
        <v>75</v>
      </c>
      <c r="N532" s="17">
        <v>68.099999999999994</v>
      </c>
      <c r="O532" s="17">
        <v>16.570370369999999</v>
      </c>
      <c r="P532" s="16" t="s">
        <v>48</v>
      </c>
      <c r="Q532" s="16" t="s">
        <v>49</v>
      </c>
      <c r="R532" s="16" t="s">
        <v>26</v>
      </c>
      <c r="S532" s="16" t="s">
        <v>27</v>
      </c>
      <c r="T532" t="str">
        <f>VLOOKUP(B532,'[1]Plant data'!$A$1:$AB$315,2,0)</f>
        <v>Myristicaceae</v>
      </c>
      <c r="U532" t="str">
        <f>VLOOKUP($B532,'[1]Plant data'!$A$1:$AB$315,3,0)</f>
        <v>NA</v>
      </c>
      <c r="V532" t="str">
        <f>VLOOKUP($B532,'[1]Plant data'!$A$1:$AB$315,4,0)</f>
        <v>red</v>
      </c>
      <c r="W532" t="str">
        <f>VLOOKUP($B532,'[1]Plant data'!$A$1:$AB$315,5,0)</f>
        <v>YES</v>
      </c>
      <c r="X532">
        <f>VLOOKUP($B532,'[1]Plant data'!$A$1:$AB$315,6,0)</f>
        <v>10.49</v>
      </c>
      <c r="Y532">
        <f>VLOOKUP($B532,'[1]Plant data'!$A$1:$AB$315,7,0)</f>
        <v>14.664000000000001</v>
      </c>
      <c r="Z532">
        <f>VLOOKUP($B532,'[1]Plant data'!$A$1:$AB$315,8,0)</f>
        <v>10.353333333333333</v>
      </c>
      <c r="AA532">
        <f>VLOOKUP($B532,'[1]Plant data'!$A$1:$AB$315,9,0)</f>
        <v>13.504999999999999</v>
      </c>
      <c r="AB532">
        <f>VLOOKUP($B532,'[1]Plant data'!$A$1:$AB$315,10,0)</f>
        <v>0.75</v>
      </c>
      <c r="AC532" t="str">
        <f>VLOOKUP($B532,'[1]Plant data'!$A$1:$AB$315,11,0)</f>
        <v>NA</v>
      </c>
      <c r="AD532">
        <f>VLOOKUP($B532,'[1]Plant data'!$A$1:$AB$315,12,0)</f>
        <v>0.54</v>
      </c>
      <c r="AE532">
        <f>VLOOKUP($B532,'[1]Plant data'!$A$1:$AB$315,13,0)</f>
        <v>0.12</v>
      </c>
      <c r="AF532">
        <f>VLOOKUP($B532,'[1]Plant data'!$A$1:$AB$315,14,0)</f>
        <v>0.36</v>
      </c>
      <c r="AG532">
        <f>VLOOKUP($B532,'[1]Plant data'!$A$1:$AB$315,15,0)</f>
        <v>1</v>
      </c>
      <c r="AH532" t="str">
        <f>VLOOKUP($B532,'[1]Plant data'!$A$1:$AB$315,16,0)</f>
        <v>NA</v>
      </c>
      <c r="AI532">
        <f>VLOOKUP($B532,'[1]Plant data'!$A$1:$AB$315,17,0)</f>
        <v>0.33333333333333331</v>
      </c>
      <c r="AJ532" t="str">
        <f>VLOOKUP($B532,'[1]Plant data'!$A$1:$AB$315,18,0)</f>
        <v>ATLANTIC, FRUBASE, Motta Jr. 1981, Camargo 2014, Gondim 2002</v>
      </c>
      <c r="AK532">
        <f>VLOOKUP($B532,'[1]Plant data'!$A$1:$AB$315,19,0)</f>
        <v>0.40949999999999998</v>
      </c>
      <c r="AL532">
        <f>VLOOKUP($B532,'[1]Plant data'!$A$1:$AB$315,20,0)</f>
        <v>0.53849999999999998</v>
      </c>
      <c r="AM532">
        <f>VLOOKUP($B532,'[1]Plant data'!$A$1:$AB$315,21,0)</f>
        <v>7.0999999999999994E-2</v>
      </c>
      <c r="AN532" t="str">
        <f>VLOOKUP($B532,'[1]Plant data'!$A$1:$AB$315,22,0)</f>
        <v>NA</v>
      </c>
      <c r="AO532" t="str">
        <f>VLOOKUP($B532,'[1]Plant data'!$A$1:$AB$315,23,0)</f>
        <v>NA</v>
      </c>
      <c r="AP532">
        <f>VLOOKUP($B532,'[1]Plant data'!$A$1:$AB$315,24,0)</f>
        <v>8.4000000000000005E-2</v>
      </c>
      <c r="AQ532" t="str">
        <f>VLOOKUP($B532,'[1]Plant data'!$A$1:$AB$315,25,0)</f>
        <v>NA</v>
      </c>
      <c r="AR532">
        <f>VLOOKUP($B532,'[1]Plant data'!$A$1:$AB$315,26,0)</f>
        <v>2.5000000000000001E-2</v>
      </c>
      <c r="AS532" t="str">
        <f>VLOOKUP($B532,'[1]Plant data'!$A$1:$AB$315,27,0)</f>
        <v>NA</v>
      </c>
      <c r="AT532" t="str">
        <f>VLOOKUP($B532,'[1]Plant data'!$A$1:$AB$315,28,0)</f>
        <v>FRUBASE, Motta Jr. 1981</v>
      </c>
    </row>
    <row r="533" spans="1:46">
      <c r="A533" s="21" t="s">
        <v>41</v>
      </c>
      <c r="B533" s="60" t="s">
        <v>170</v>
      </c>
      <c r="C533" s="16">
        <v>1</v>
      </c>
      <c r="D533" s="16">
        <v>32</v>
      </c>
      <c r="E533" s="23">
        <v>1</v>
      </c>
      <c r="F533" s="16">
        <v>1</v>
      </c>
      <c r="G533" s="19">
        <v>1</v>
      </c>
      <c r="H533" s="19"/>
      <c r="I533" s="8">
        <f t="shared" si="43"/>
        <v>1</v>
      </c>
      <c r="J533" s="16" t="s">
        <v>224</v>
      </c>
      <c r="K533" s="16" t="s">
        <v>225</v>
      </c>
      <c r="L533" s="16" t="s">
        <v>22</v>
      </c>
      <c r="M533" s="16" t="s">
        <v>30</v>
      </c>
      <c r="N533" s="17">
        <v>39</v>
      </c>
      <c r="O533" s="17">
        <v>8.2839869279999991</v>
      </c>
      <c r="P533" s="16" t="s">
        <v>24</v>
      </c>
      <c r="Q533" s="16" t="s">
        <v>25</v>
      </c>
      <c r="R533" s="16" t="s">
        <v>26</v>
      </c>
      <c r="S533" s="16" t="s">
        <v>31</v>
      </c>
      <c r="T533" t="str">
        <f>VLOOKUP(B533,'[1]Plant data'!$A$1:$AB$315,2,0)</f>
        <v>Myristicaceae</v>
      </c>
      <c r="U533" t="str">
        <f>VLOOKUP($B533,'[1]Plant data'!$A$1:$AB$315,3,0)</f>
        <v>NA</v>
      </c>
      <c r="V533" t="str">
        <f>VLOOKUP($B533,'[1]Plant data'!$A$1:$AB$315,4,0)</f>
        <v>red</v>
      </c>
      <c r="W533" t="str">
        <f>VLOOKUP($B533,'[1]Plant data'!$A$1:$AB$315,5,0)</f>
        <v>YES</v>
      </c>
      <c r="X533">
        <f>VLOOKUP($B533,'[1]Plant data'!$A$1:$AB$315,6,0)</f>
        <v>10.49</v>
      </c>
      <c r="Y533">
        <f>VLOOKUP($B533,'[1]Plant data'!$A$1:$AB$315,7,0)</f>
        <v>14.664000000000001</v>
      </c>
      <c r="Z533">
        <f>VLOOKUP($B533,'[1]Plant data'!$A$1:$AB$315,8,0)</f>
        <v>10.353333333333333</v>
      </c>
      <c r="AA533">
        <f>VLOOKUP($B533,'[1]Plant data'!$A$1:$AB$315,9,0)</f>
        <v>13.504999999999999</v>
      </c>
      <c r="AB533">
        <f>VLOOKUP($B533,'[1]Plant data'!$A$1:$AB$315,10,0)</f>
        <v>0.75</v>
      </c>
      <c r="AC533" t="str">
        <f>VLOOKUP($B533,'[1]Plant data'!$A$1:$AB$315,11,0)</f>
        <v>NA</v>
      </c>
      <c r="AD533">
        <f>VLOOKUP($B533,'[1]Plant data'!$A$1:$AB$315,12,0)</f>
        <v>0.54</v>
      </c>
      <c r="AE533">
        <f>VLOOKUP($B533,'[1]Plant data'!$A$1:$AB$315,13,0)</f>
        <v>0.12</v>
      </c>
      <c r="AF533">
        <f>VLOOKUP($B533,'[1]Plant data'!$A$1:$AB$315,14,0)</f>
        <v>0.36</v>
      </c>
      <c r="AG533">
        <f>VLOOKUP($B533,'[1]Plant data'!$A$1:$AB$315,15,0)</f>
        <v>1</v>
      </c>
      <c r="AH533" t="str">
        <f>VLOOKUP($B533,'[1]Plant data'!$A$1:$AB$315,16,0)</f>
        <v>NA</v>
      </c>
      <c r="AI533">
        <f>VLOOKUP($B533,'[1]Plant data'!$A$1:$AB$315,17,0)</f>
        <v>0.33333333333333331</v>
      </c>
      <c r="AJ533" t="str">
        <f>VLOOKUP($B533,'[1]Plant data'!$A$1:$AB$315,18,0)</f>
        <v>ATLANTIC, FRUBASE, Motta Jr. 1981, Camargo 2014, Gondim 2002</v>
      </c>
      <c r="AK533">
        <f>VLOOKUP($B533,'[1]Plant data'!$A$1:$AB$315,19,0)</f>
        <v>0.40949999999999998</v>
      </c>
      <c r="AL533">
        <f>VLOOKUP($B533,'[1]Plant data'!$A$1:$AB$315,20,0)</f>
        <v>0.53849999999999998</v>
      </c>
      <c r="AM533">
        <f>VLOOKUP($B533,'[1]Plant data'!$A$1:$AB$315,21,0)</f>
        <v>7.0999999999999994E-2</v>
      </c>
      <c r="AN533" t="str">
        <f>VLOOKUP($B533,'[1]Plant data'!$A$1:$AB$315,22,0)</f>
        <v>NA</v>
      </c>
      <c r="AO533" t="str">
        <f>VLOOKUP($B533,'[1]Plant data'!$A$1:$AB$315,23,0)</f>
        <v>NA</v>
      </c>
      <c r="AP533">
        <f>VLOOKUP($B533,'[1]Plant data'!$A$1:$AB$315,24,0)</f>
        <v>8.4000000000000005E-2</v>
      </c>
      <c r="AQ533" t="str">
        <f>VLOOKUP($B533,'[1]Plant data'!$A$1:$AB$315,25,0)</f>
        <v>NA</v>
      </c>
      <c r="AR533">
        <f>VLOOKUP($B533,'[1]Plant data'!$A$1:$AB$315,26,0)</f>
        <v>2.5000000000000001E-2</v>
      </c>
      <c r="AS533" t="str">
        <f>VLOOKUP($B533,'[1]Plant data'!$A$1:$AB$315,27,0)</f>
        <v>NA</v>
      </c>
      <c r="AT533" t="str">
        <f>VLOOKUP($B533,'[1]Plant data'!$A$1:$AB$315,28,0)</f>
        <v>FRUBASE, Motta Jr. 1981</v>
      </c>
    </row>
    <row r="534" spans="1:46">
      <c r="A534" s="21" t="s">
        <v>106</v>
      </c>
      <c r="B534" s="78" t="s">
        <v>170</v>
      </c>
      <c r="C534" s="16">
        <v>3</v>
      </c>
      <c r="D534" s="16">
        <v>32</v>
      </c>
      <c r="E534" s="23">
        <f>C534/32</f>
        <v>9.375E-2</v>
      </c>
      <c r="F534" s="16">
        <v>6</v>
      </c>
      <c r="G534" s="19">
        <f>F534/C534</f>
        <v>2</v>
      </c>
      <c r="H534" s="19"/>
      <c r="I534" s="8">
        <f t="shared" si="43"/>
        <v>0.1875</v>
      </c>
      <c r="J534" s="16" t="s">
        <v>224</v>
      </c>
      <c r="K534" s="16" t="s">
        <v>225</v>
      </c>
      <c r="L534" s="16" t="s">
        <v>22</v>
      </c>
      <c r="M534" s="16" t="s">
        <v>75</v>
      </c>
      <c r="N534" s="17">
        <v>68.099999999999994</v>
      </c>
      <c r="O534" s="17">
        <v>16.570370369999999</v>
      </c>
      <c r="P534" s="16" t="s">
        <v>48</v>
      </c>
      <c r="Q534" s="16" t="s">
        <v>49</v>
      </c>
      <c r="R534" s="16" t="s">
        <v>26</v>
      </c>
      <c r="S534" s="16" t="s">
        <v>27</v>
      </c>
      <c r="T534" t="str">
        <f>VLOOKUP(B534,'[1]Plant data'!$A$1:$AB$315,2,0)</f>
        <v>Myristicaceae</v>
      </c>
      <c r="U534" t="str">
        <f>VLOOKUP($B534,'[1]Plant data'!$A$1:$AB$315,3,0)</f>
        <v>NA</v>
      </c>
      <c r="V534" t="str">
        <f>VLOOKUP($B534,'[1]Plant data'!$A$1:$AB$315,4,0)</f>
        <v>red</v>
      </c>
      <c r="W534" t="str">
        <f>VLOOKUP($B534,'[1]Plant data'!$A$1:$AB$315,5,0)</f>
        <v>YES</v>
      </c>
      <c r="X534">
        <f>VLOOKUP($B534,'[1]Plant data'!$A$1:$AB$315,6,0)</f>
        <v>10.49</v>
      </c>
      <c r="Y534">
        <f>VLOOKUP($B534,'[1]Plant data'!$A$1:$AB$315,7,0)</f>
        <v>14.664000000000001</v>
      </c>
      <c r="Z534">
        <f>VLOOKUP($B534,'[1]Plant data'!$A$1:$AB$315,8,0)</f>
        <v>10.353333333333333</v>
      </c>
      <c r="AA534">
        <f>VLOOKUP($B534,'[1]Plant data'!$A$1:$AB$315,9,0)</f>
        <v>13.504999999999999</v>
      </c>
      <c r="AB534">
        <f>VLOOKUP($B534,'[1]Plant data'!$A$1:$AB$315,10,0)</f>
        <v>0.75</v>
      </c>
      <c r="AC534" t="str">
        <f>VLOOKUP($B534,'[1]Plant data'!$A$1:$AB$315,11,0)</f>
        <v>NA</v>
      </c>
      <c r="AD534">
        <f>VLOOKUP($B534,'[1]Plant data'!$A$1:$AB$315,12,0)</f>
        <v>0.54</v>
      </c>
      <c r="AE534">
        <f>VLOOKUP($B534,'[1]Plant data'!$A$1:$AB$315,13,0)</f>
        <v>0.12</v>
      </c>
      <c r="AF534">
        <f>VLOOKUP($B534,'[1]Plant data'!$A$1:$AB$315,14,0)</f>
        <v>0.36</v>
      </c>
      <c r="AG534">
        <f>VLOOKUP($B534,'[1]Plant data'!$A$1:$AB$315,15,0)</f>
        <v>1</v>
      </c>
      <c r="AH534" t="str">
        <f>VLOOKUP($B534,'[1]Plant data'!$A$1:$AB$315,16,0)</f>
        <v>NA</v>
      </c>
      <c r="AI534">
        <f>VLOOKUP($B534,'[1]Plant data'!$A$1:$AB$315,17,0)</f>
        <v>0.33333333333333331</v>
      </c>
      <c r="AJ534" t="str">
        <f>VLOOKUP($B534,'[1]Plant data'!$A$1:$AB$315,18,0)</f>
        <v>ATLANTIC, FRUBASE, Motta Jr. 1981, Camargo 2014, Gondim 2002</v>
      </c>
      <c r="AK534">
        <f>VLOOKUP($B534,'[1]Plant data'!$A$1:$AB$315,19,0)</f>
        <v>0.40949999999999998</v>
      </c>
      <c r="AL534">
        <f>VLOOKUP($B534,'[1]Plant data'!$A$1:$AB$315,20,0)</f>
        <v>0.53849999999999998</v>
      </c>
      <c r="AM534">
        <f>VLOOKUP($B534,'[1]Plant data'!$A$1:$AB$315,21,0)</f>
        <v>7.0999999999999994E-2</v>
      </c>
      <c r="AN534" t="str">
        <f>VLOOKUP($B534,'[1]Plant data'!$A$1:$AB$315,22,0)</f>
        <v>NA</v>
      </c>
      <c r="AO534" t="str">
        <f>VLOOKUP($B534,'[1]Plant data'!$A$1:$AB$315,23,0)</f>
        <v>NA</v>
      </c>
      <c r="AP534">
        <f>VLOOKUP($B534,'[1]Plant data'!$A$1:$AB$315,24,0)</f>
        <v>8.4000000000000005E-2</v>
      </c>
      <c r="AQ534" t="str">
        <f>VLOOKUP($B534,'[1]Plant data'!$A$1:$AB$315,25,0)</f>
        <v>NA</v>
      </c>
      <c r="AR534">
        <f>VLOOKUP($B534,'[1]Plant data'!$A$1:$AB$315,26,0)</f>
        <v>2.5000000000000001E-2</v>
      </c>
      <c r="AS534" t="str">
        <f>VLOOKUP($B534,'[1]Plant data'!$A$1:$AB$315,27,0)</f>
        <v>NA</v>
      </c>
      <c r="AT534" t="str">
        <f>VLOOKUP($B534,'[1]Plant data'!$A$1:$AB$315,28,0)</f>
        <v>FRUBASE, Motta Jr. 1981</v>
      </c>
    </row>
    <row r="535" spans="1:46">
      <c r="A535" s="21" t="s">
        <v>46</v>
      </c>
      <c r="B535" s="60" t="s">
        <v>170</v>
      </c>
      <c r="C535" s="16">
        <v>1</v>
      </c>
      <c r="D535" s="16">
        <v>32</v>
      </c>
      <c r="E535" s="23">
        <f>C535/32</f>
        <v>3.125E-2</v>
      </c>
      <c r="F535" s="16">
        <v>1</v>
      </c>
      <c r="G535" s="19">
        <f>F535/C535</f>
        <v>1</v>
      </c>
      <c r="H535" s="19"/>
      <c r="I535" s="8">
        <f t="shared" si="43"/>
        <v>3.125E-2</v>
      </c>
      <c r="J535" s="16" t="s">
        <v>224</v>
      </c>
      <c r="K535" s="16" t="s">
        <v>225</v>
      </c>
      <c r="L535" s="16" t="s">
        <v>22</v>
      </c>
      <c r="M535" s="16" t="s">
        <v>47</v>
      </c>
      <c r="N535" s="17">
        <v>54</v>
      </c>
      <c r="O535" s="17">
        <v>11.14875</v>
      </c>
      <c r="P535" s="16" t="s">
        <v>48</v>
      </c>
      <c r="Q535" s="16" t="s">
        <v>49</v>
      </c>
      <c r="R535" s="16" t="s">
        <v>26</v>
      </c>
      <c r="S535" s="16" t="s">
        <v>31</v>
      </c>
      <c r="T535" t="str">
        <f>VLOOKUP(B535,'[1]Plant data'!$A$1:$AB$315,2,0)</f>
        <v>Myristicaceae</v>
      </c>
      <c r="U535" t="str">
        <f>VLOOKUP($B535,'[1]Plant data'!$A$1:$AB$315,3,0)</f>
        <v>NA</v>
      </c>
      <c r="V535" t="str">
        <f>VLOOKUP($B535,'[1]Plant data'!$A$1:$AB$315,4,0)</f>
        <v>red</v>
      </c>
      <c r="W535" t="str">
        <f>VLOOKUP($B535,'[1]Plant data'!$A$1:$AB$315,5,0)</f>
        <v>YES</v>
      </c>
      <c r="X535">
        <f>VLOOKUP($B535,'[1]Plant data'!$A$1:$AB$315,6,0)</f>
        <v>10.49</v>
      </c>
      <c r="Y535">
        <f>VLOOKUP($B535,'[1]Plant data'!$A$1:$AB$315,7,0)</f>
        <v>14.664000000000001</v>
      </c>
      <c r="Z535">
        <f>VLOOKUP($B535,'[1]Plant data'!$A$1:$AB$315,8,0)</f>
        <v>10.353333333333333</v>
      </c>
      <c r="AA535">
        <f>VLOOKUP($B535,'[1]Plant data'!$A$1:$AB$315,9,0)</f>
        <v>13.504999999999999</v>
      </c>
      <c r="AB535">
        <f>VLOOKUP($B535,'[1]Plant data'!$A$1:$AB$315,10,0)</f>
        <v>0.75</v>
      </c>
      <c r="AC535" t="str">
        <f>VLOOKUP($B535,'[1]Plant data'!$A$1:$AB$315,11,0)</f>
        <v>NA</v>
      </c>
      <c r="AD535">
        <f>VLOOKUP($B535,'[1]Plant data'!$A$1:$AB$315,12,0)</f>
        <v>0.54</v>
      </c>
      <c r="AE535">
        <f>VLOOKUP($B535,'[1]Plant data'!$A$1:$AB$315,13,0)</f>
        <v>0.12</v>
      </c>
      <c r="AF535">
        <f>VLOOKUP($B535,'[1]Plant data'!$A$1:$AB$315,14,0)</f>
        <v>0.36</v>
      </c>
      <c r="AG535">
        <f>VLOOKUP($B535,'[1]Plant data'!$A$1:$AB$315,15,0)</f>
        <v>1</v>
      </c>
      <c r="AH535" t="str">
        <f>VLOOKUP($B535,'[1]Plant data'!$A$1:$AB$315,16,0)</f>
        <v>NA</v>
      </c>
      <c r="AI535">
        <f>VLOOKUP($B535,'[1]Plant data'!$A$1:$AB$315,17,0)</f>
        <v>0.33333333333333331</v>
      </c>
      <c r="AJ535" t="str">
        <f>VLOOKUP($B535,'[1]Plant data'!$A$1:$AB$315,18,0)</f>
        <v>ATLANTIC, FRUBASE, Motta Jr. 1981, Camargo 2014, Gondim 2002</v>
      </c>
      <c r="AK535">
        <f>VLOOKUP($B535,'[1]Plant data'!$A$1:$AB$315,19,0)</f>
        <v>0.40949999999999998</v>
      </c>
      <c r="AL535">
        <f>VLOOKUP($B535,'[1]Plant data'!$A$1:$AB$315,20,0)</f>
        <v>0.53849999999999998</v>
      </c>
      <c r="AM535">
        <f>VLOOKUP($B535,'[1]Plant data'!$A$1:$AB$315,21,0)</f>
        <v>7.0999999999999994E-2</v>
      </c>
      <c r="AN535" t="str">
        <f>VLOOKUP($B535,'[1]Plant data'!$A$1:$AB$315,22,0)</f>
        <v>NA</v>
      </c>
      <c r="AO535" t="str">
        <f>VLOOKUP($B535,'[1]Plant data'!$A$1:$AB$315,23,0)</f>
        <v>NA</v>
      </c>
      <c r="AP535">
        <f>VLOOKUP($B535,'[1]Plant data'!$A$1:$AB$315,24,0)</f>
        <v>8.4000000000000005E-2</v>
      </c>
      <c r="AQ535" t="str">
        <f>VLOOKUP($B535,'[1]Plant data'!$A$1:$AB$315,25,0)</f>
        <v>NA</v>
      </c>
      <c r="AR535">
        <f>VLOOKUP($B535,'[1]Plant data'!$A$1:$AB$315,26,0)</f>
        <v>2.5000000000000001E-2</v>
      </c>
      <c r="AS535" t="str">
        <f>VLOOKUP($B535,'[1]Plant data'!$A$1:$AB$315,27,0)</f>
        <v>NA</v>
      </c>
      <c r="AT535" t="str">
        <f>VLOOKUP($B535,'[1]Plant data'!$A$1:$AB$315,28,0)</f>
        <v>FRUBASE, Motta Jr. 1981</v>
      </c>
    </row>
    <row r="536" spans="1:46">
      <c r="A536" s="21" t="s">
        <v>50</v>
      </c>
      <c r="B536" s="60" t="s">
        <v>170</v>
      </c>
      <c r="C536" s="16">
        <v>9</v>
      </c>
      <c r="D536" s="16">
        <v>32</v>
      </c>
      <c r="E536" s="23">
        <f>C536/32</f>
        <v>0.28125</v>
      </c>
      <c r="F536" s="16">
        <v>7</v>
      </c>
      <c r="G536" s="19">
        <v>1.2</v>
      </c>
      <c r="H536" s="19"/>
      <c r="I536" s="8">
        <f t="shared" si="43"/>
        <v>0.33749999999999997</v>
      </c>
      <c r="J536" s="16" t="s">
        <v>224</v>
      </c>
      <c r="K536" s="16" t="s">
        <v>225</v>
      </c>
      <c r="L536" s="16" t="s">
        <v>22</v>
      </c>
      <c r="M536" s="16" t="s">
        <v>47</v>
      </c>
      <c r="N536" s="17">
        <v>69.5</v>
      </c>
      <c r="O536" s="17">
        <v>13.253214290000001</v>
      </c>
      <c r="P536" s="16" t="s">
        <v>48</v>
      </c>
      <c r="Q536" s="16" t="s">
        <v>25</v>
      </c>
      <c r="R536" s="16" t="s">
        <v>26</v>
      </c>
      <c r="S536" s="16" t="s">
        <v>31</v>
      </c>
      <c r="T536" t="str">
        <f>VLOOKUP(B536,'[1]Plant data'!$A$1:$AB$315,2,0)</f>
        <v>Myristicaceae</v>
      </c>
      <c r="U536" t="str">
        <f>VLOOKUP($B536,'[1]Plant data'!$A$1:$AB$315,3,0)</f>
        <v>NA</v>
      </c>
      <c r="V536" t="str">
        <f>VLOOKUP($B536,'[1]Plant data'!$A$1:$AB$315,4,0)</f>
        <v>red</v>
      </c>
      <c r="W536" t="str">
        <f>VLOOKUP($B536,'[1]Plant data'!$A$1:$AB$315,5,0)</f>
        <v>YES</v>
      </c>
      <c r="X536">
        <f>VLOOKUP($B536,'[1]Plant data'!$A$1:$AB$315,6,0)</f>
        <v>10.49</v>
      </c>
      <c r="Y536">
        <f>VLOOKUP($B536,'[1]Plant data'!$A$1:$AB$315,7,0)</f>
        <v>14.664000000000001</v>
      </c>
      <c r="Z536">
        <f>VLOOKUP($B536,'[1]Plant data'!$A$1:$AB$315,8,0)</f>
        <v>10.353333333333333</v>
      </c>
      <c r="AA536">
        <f>VLOOKUP($B536,'[1]Plant data'!$A$1:$AB$315,9,0)</f>
        <v>13.504999999999999</v>
      </c>
      <c r="AB536">
        <f>VLOOKUP($B536,'[1]Plant data'!$A$1:$AB$315,10,0)</f>
        <v>0.75</v>
      </c>
      <c r="AC536" t="str">
        <f>VLOOKUP($B536,'[1]Plant data'!$A$1:$AB$315,11,0)</f>
        <v>NA</v>
      </c>
      <c r="AD536">
        <f>VLOOKUP($B536,'[1]Plant data'!$A$1:$AB$315,12,0)</f>
        <v>0.54</v>
      </c>
      <c r="AE536">
        <f>VLOOKUP($B536,'[1]Plant data'!$A$1:$AB$315,13,0)</f>
        <v>0.12</v>
      </c>
      <c r="AF536">
        <f>VLOOKUP($B536,'[1]Plant data'!$A$1:$AB$315,14,0)</f>
        <v>0.36</v>
      </c>
      <c r="AG536">
        <f>VLOOKUP($B536,'[1]Plant data'!$A$1:$AB$315,15,0)</f>
        <v>1</v>
      </c>
      <c r="AH536" t="str">
        <f>VLOOKUP($B536,'[1]Plant data'!$A$1:$AB$315,16,0)</f>
        <v>NA</v>
      </c>
      <c r="AI536">
        <f>VLOOKUP($B536,'[1]Plant data'!$A$1:$AB$315,17,0)</f>
        <v>0.33333333333333331</v>
      </c>
      <c r="AJ536" t="str">
        <f>VLOOKUP($B536,'[1]Plant data'!$A$1:$AB$315,18,0)</f>
        <v>ATLANTIC, FRUBASE, Motta Jr. 1981, Camargo 2014, Gondim 2002</v>
      </c>
      <c r="AK536">
        <f>VLOOKUP($B536,'[1]Plant data'!$A$1:$AB$315,19,0)</f>
        <v>0.40949999999999998</v>
      </c>
      <c r="AL536">
        <f>VLOOKUP($B536,'[1]Plant data'!$A$1:$AB$315,20,0)</f>
        <v>0.53849999999999998</v>
      </c>
      <c r="AM536">
        <f>VLOOKUP($B536,'[1]Plant data'!$A$1:$AB$315,21,0)</f>
        <v>7.0999999999999994E-2</v>
      </c>
      <c r="AN536" t="str">
        <f>VLOOKUP($B536,'[1]Plant data'!$A$1:$AB$315,22,0)</f>
        <v>NA</v>
      </c>
      <c r="AO536" t="str">
        <f>VLOOKUP($B536,'[1]Plant data'!$A$1:$AB$315,23,0)</f>
        <v>NA</v>
      </c>
      <c r="AP536">
        <f>VLOOKUP($B536,'[1]Plant data'!$A$1:$AB$315,24,0)</f>
        <v>8.4000000000000005E-2</v>
      </c>
      <c r="AQ536" t="str">
        <f>VLOOKUP($B536,'[1]Plant data'!$A$1:$AB$315,25,0)</f>
        <v>NA</v>
      </c>
      <c r="AR536">
        <f>VLOOKUP($B536,'[1]Plant data'!$A$1:$AB$315,26,0)</f>
        <v>2.5000000000000001E-2</v>
      </c>
      <c r="AS536" t="str">
        <f>VLOOKUP($B536,'[1]Plant data'!$A$1:$AB$315,27,0)</f>
        <v>NA</v>
      </c>
      <c r="AT536" t="str">
        <f>VLOOKUP($B536,'[1]Plant data'!$A$1:$AB$315,28,0)</f>
        <v>FRUBASE, Motta Jr. 1981</v>
      </c>
    </row>
    <row r="537" spans="1:46">
      <c r="A537" s="5" t="s">
        <v>90</v>
      </c>
      <c r="B537" s="40" t="s">
        <v>179</v>
      </c>
      <c r="C537" s="25">
        <v>3</v>
      </c>
      <c r="D537" s="25">
        <v>2.5</v>
      </c>
      <c r="E537" s="26">
        <f>C537/2.5</f>
        <v>1.2</v>
      </c>
      <c r="F537" s="25" t="s">
        <v>19</v>
      </c>
      <c r="G537" s="19">
        <f>(7+10)/2</f>
        <v>8.5</v>
      </c>
      <c r="H537" s="19"/>
      <c r="I537" s="8">
        <f t="shared" si="43"/>
        <v>10.199999999999999</v>
      </c>
      <c r="J537" t="s">
        <v>180</v>
      </c>
      <c r="K537" t="s">
        <v>181</v>
      </c>
      <c r="L537" t="s">
        <v>93</v>
      </c>
      <c r="M537" t="s">
        <v>94</v>
      </c>
      <c r="N537" s="11">
        <v>331</v>
      </c>
      <c r="O537" s="11">
        <v>30.7</v>
      </c>
      <c r="P537" t="s">
        <v>48</v>
      </c>
      <c r="Q537" t="s">
        <v>95</v>
      </c>
      <c r="R537" t="s">
        <v>26</v>
      </c>
      <c r="S537" t="s">
        <v>27</v>
      </c>
      <c r="T537" t="str">
        <f>VLOOKUP(B537,'[1]Plant data'!$A$1:$AB$315,2,0)</f>
        <v>Lamiaceae</v>
      </c>
      <c r="U537" t="str">
        <f>VLOOKUP($B537,'[1]Plant data'!$A$1:$AB$315,3,0)</f>
        <v>NA</v>
      </c>
      <c r="V537" t="str">
        <f>VLOOKUP($B537,'[1]Plant data'!$A$1:$AB$315,4,0)</f>
        <v>black</v>
      </c>
      <c r="W537" t="str">
        <f>VLOOKUP($B537,'[1]Plant data'!$A$1:$AB$315,5,0)</f>
        <v>YES</v>
      </c>
      <c r="X537">
        <f>VLOOKUP($B537,'[1]Plant data'!$A$1:$AB$315,6,0)</f>
        <v>16.63</v>
      </c>
      <c r="Y537">
        <f>VLOOKUP($B537,'[1]Plant data'!$A$1:$AB$315,7,0)</f>
        <v>17.059999999999999</v>
      </c>
      <c r="Z537">
        <f>VLOOKUP($B537,'[1]Plant data'!$A$1:$AB$315,8,0)</f>
        <v>8.15</v>
      </c>
      <c r="AA537">
        <f>VLOOKUP($B537,'[1]Plant data'!$A$1:$AB$315,9,0)</f>
        <v>13.72</v>
      </c>
      <c r="AB537">
        <f>VLOOKUP($B537,'[1]Plant data'!$A$1:$AB$315,10,0)</f>
        <v>2.57</v>
      </c>
      <c r="AC537">
        <f>VLOOKUP($B537,'[1]Plant data'!$A$1:$AB$315,11,0)</f>
        <v>1.97</v>
      </c>
      <c r="AD537" t="str">
        <f>VLOOKUP($B537,'[1]Plant data'!$A$1:$AB$315,12,0)</f>
        <v>NA</v>
      </c>
      <c r="AE537">
        <f>VLOOKUP($B537,'[1]Plant data'!$A$1:$AB$315,13,0)</f>
        <v>0.48</v>
      </c>
      <c r="AF537">
        <f>VLOOKUP($B537,'[1]Plant data'!$A$1:$AB$315,14,0)</f>
        <v>0.59</v>
      </c>
      <c r="AG537">
        <f>VLOOKUP($B537,'[1]Plant data'!$A$1:$AB$315,15,0)</f>
        <v>1</v>
      </c>
      <c r="AH537" t="str">
        <f>VLOOKUP($B537,'[1]Plant data'!$A$1:$AB$315,16,0)</f>
        <v>NA</v>
      </c>
      <c r="AI537">
        <f>VLOOKUP($B537,'[1]Plant data'!$A$1:$AB$315,17,0)</f>
        <v>0.81355932203389836</v>
      </c>
      <c r="AJ537" t="str">
        <f>VLOOKUP($B537,'[1]Plant data'!$A$1:$AB$315,18,0)</f>
        <v>Cazetta 2007</v>
      </c>
      <c r="AK537">
        <f>VLOOKUP($B537,'[1]Plant data'!$A$1:$AB$315,19,0)</f>
        <v>0.75629999999999997</v>
      </c>
      <c r="AL537">
        <f>VLOOKUP($B537,'[1]Plant data'!$A$1:$AB$315,20,0)</f>
        <v>1.6E-2</v>
      </c>
      <c r="AM537">
        <f>VLOOKUP($B537,'[1]Plant data'!$A$1:$AB$315,21,0)</f>
        <v>3.56E-2</v>
      </c>
      <c r="AN537">
        <f>VLOOKUP($B537,'[1]Plant data'!$A$1:$AB$315,22,0)</f>
        <v>1.9699999999999999E-2</v>
      </c>
      <c r="AO537" t="str">
        <f>VLOOKUP($B537,'[1]Plant data'!$A$1:$AB$315,23,0)</f>
        <v>NA</v>
      </c>
      <c r="AP537" t="str">
        <f>VLOOKUP($B537,'[1]Plant data'!$A$1:$AB$315,24,0)</f>
        <v>NA</v>
      </c>
      <c r="AQ537" t="str">
        <f>VLOOKUP($B537,'[1]Plant data'!$A$1:$AB$315,25,0)</f>
        <v>NA</v>
      </c>
      <c r="AR537" t="str">
        <f>VLOOKUP($B537,'[1]Plant data'!$A$1:$AB$315,26,0)</f>
        <v>NA</v>
      </c>
      <c r="AS537" t="str">
        <f>VLOOKUP($B537,'[1]Plant data'!$A$1:$AB$315,27,0)</f>
        <v>NA</v>
      </c>
      <c r="AT537" t="str">
        <f>VLOOKUP($B537,'[1]Plant data'!$A$1:$AB$315,28,0)</f>
        <v>Cazetta 2007</v>
      </c>
    </row>
    <row r="538" spans="1:46">
      <c r="A538" s="5" t="s">
        <v>43</v>
      </c>
      <c r="B538" s="37" t="s">
        <v>179</v>
      </c>
      <c r="C538" s="7">
        <v>1</v>
      </c>
      <c r="D538" s="7">
        <v>2</v>
      </c>
      <c r="E538" s="8">
        <f>C538/2</f>
        <v>0.5</v>
      </c>
      <c r="F538" t="s">
        <v>19</v>
      </c>
      <c r="G538" s="9" t="s">
        <v>19</v>
      </c>
      <c r="H538" s="9"/>
      <c r="I538" s="8" t="s">
        <v>19</v>
      </c>
      <c r="J538" s="25" t="s">
        <v>180</v>
      </c>
      <c r="K538" s="25" t="s">
        <v>181</v>
      </c>
      <c r="L538" t="s">
        <v>22</v>
      </c>
      <c r="M538" t="s">
        <v>30</v>
      </c>
      <c r="N538" s="11">
        <v>32.5</v>
      </c>
      <c r="O538" s="11">
        <v>8.9205555560000001</v>
      </c>
      <c r="P538" t="s">
        <v>24</v>
      </c>
      <c r="Q538" t="s">
        <v>25</v>
      </c>
      <c r="R538" t="s">
        <v>26</v>
      </c>
      <c r="S538" t="s">
        <v>31</v>
      </c>
      <c r="T538" t="str">
        <f>VLOOKUP(B538,'[1]Plant data'!$A$1:$AB$315,2,0)</f>
        <v>Lamiaceae</v>
      </c>
      <c r="U538" t="str">
        <f>VLOOKUP($B538,'[1]Plant data'!$A$1:$AB$315,3,0)</f>
        <v>NA</v>
      </c>
      <c r="V538" t="str">
        <f>VLOOKUP($B538,'[1]Plant data'!$A$1:$AB$315,4,0)</f>
        <v>black</v>
      </c>
      <c r="W538" t="str">
        <f>VLOOKUP($B538,'[1]Plant data'!$A$1:$AB$315,5,0)</f>
        <v>YES</v>
      </c>
      <c r="X538">
        <f>VLOOKUP($B538,'[1]Plant data'!$A$1:$AB$315,6,0)</f>
        <v>16.63</v>
      </c>
      <c r="Y538">
        <f>VLOOKUP($B538,'[1]Plant data'!$A$1:$AB$315,7,0)</f>
        <v>17.059999999999999</v>
      </c>
      <c r="Z538">
        <f>VLOOKUP($B538,'[1]Plant data'!$A$1:$AB$315,8,0)</f>
        <v>8.15</v>
      </c>
      <c r="AA538">
        <f>VLOOKUP($B538,'[1]Plant data'!$A$1:$AB$315,9,0)</f>
        <v>13.72</v>
      </c>
      <c r="AB538">
        <f>VLOOKUP($B538,'[1]Plant data'!$A$1:$AB$315,10,0)</f>
        <v>2.57</v>
      </c>
      <c r="AC538">
        <f>VLOOKUP($B538,'[1]Plant data'!$A$1:$AB$315,11,0)</f>
        <v>1.97</v>
      </c>
      <c r="AD538" t="str">
        <f>VLOOKUP($B538,'[1]Plant data'!$A$1:$AB$315,12,0)</f>
        <v>NA</v>
      </c>
      <c r="AE538">
        <f>VLOOKUP($B538,'[1]Plant data'!$A$1:$AB$315,13,0)</f>
        <v>0.48</v>
      </c>
      <c r="AF538">
        <f>VLOOKUP($B538,'[1]Plant data'!$A$1:$AB$315,14,0)</f>
        <v>0.59</v>
      </c>
      <c r="AG538">
        <f>VLOOKUP($B538,'[1]Plant data'!$A$1:$AB$315,15,0)</f>
        <v>1</v>
      </c>
      <c r="AH538" t="str">
        <f>VLOOKUP($B538,'[1]Plant data'!$A$1:$AB$315,16,0)</f>
        <v>NA</v>
      </c>
      <c r="AI538">
        <f>VLOOKUP($B538,'[1]Plant data'!$A$1:$AB$315,17,0)</f>
        <v>0.81355932203389836</v>
      </c>
      <c r="AJ538" t="str">
        <f>VLOOKUP($B538,'[1]Plant data'!$A$1:$AB$315,18,0)</f>
        <v>Cazetta 2007</v>
      </c>
      <c r="AK538">
        <f>VLOOKUP($B538,'[1]Plant data'!$A$1:$AB$315,19,0)</f>
        <v>0.75629999999999997</v>
      </c>
      <c r="AL538">
        <f>VLOOKUP($B538,'[1]Plant data'!$A$1:$AB$315,20,0)</f>
        <v>1.6E-2</v>
      </c>
      <c r="AM538">
        <f>VLOOKUP($B538,'[1]Plant data'!$A$1:$AB$315,21,0)</f>
        <v>3.56E-2</v>
      </c>
      <c r="AN538">
        <f>VLOOKUP($B538,'[1]Plant data'!$A$1:$AB$315,22,0)</f>
        <v>1.9699999999999999E-2</v>
      </c>
      <c r="AO538" t="str">
        <f>VLOOKUP($B538,'[1]Plant data'!$A$1:$AB$315,23,0)</f>
        <v>NA</v>
      </c>
      <c r="AP538" t="str">
        <f>VLOOKUP($B538,'[1]Plant data'!$A$1:$AB$315,24,0)</f>
        <v>NA</v>
      </c>
      <c r="AQ538" t="str">
        <f>VLOOKUP($B538,'[1]Plant data'!$A$1:$AB$315,25,0)</f>
        <v>NA</v>
      </c>
      <c r="AR538" t="str">
        <f>VLOOKUP($B538,'[1]Plant data'!$A$1:$AB$315,26,0)</f>
        <v>NA</v>
      </c>
      <c r="AS538" t="str">
        <f>VLOOKUP($B538,'[1]Plant data'!$A$1:$AB$315,27,0)</f>
        <v>NA</v>
      </c>
      <c r="AT538" t="str">
        <f>VLOOKUP($B538,'[1]Plant data'!$A$1:$AB$315,28,0)</f>
        <v>Cazetta 2007</v>
      </c>
    </row>
    <row r="539" spans="1:46">
      <c r="A539" s="5" t="s">
        <v>41</v>
      </c>
      <c r="B539" s="32" t="s">
        <v>136</v>
      </c>
      <c r="C539" s="7">
        <v>1</v>
      </c>
      <c r="D539" s="7">
        <v>15</v>
      </c>
      <c r="E539" s="23">
        <f>C539/15</f>
        <v>6.6666666666666666E-2</v>
      </c>
      <c r="F539" s="8" t="s">
        <v>19</v>
      </c>
      <c r="G539" s="9">
        <v>1</v>
      </c>
      <c r="H539" s="9"/>
      <c r="I539" s="8">
        <f>E539*G539</f>
        <v>6.6666666666666666E-2</v>
      </c>
      <c r="J539" s="25" t="s">
        <v>132</v>
      </c>
      <c r="K539" s="25" t="s">
        <v>133</v>
      </c>
      <c r="L539" t="s">
        <v>22</v>
      </c>
      <c r="M539" t="s">
        <v>30</v>
      </c>
      <c r="N539" s="11">
        <v>39</v>
      </c>
      <c r="O539" s="11">
        <v>8.2839869279999991</v>
      </c>
      <c r="P539" t="s">
        <v>24</v>
      </c>
      <c r="Q539" t="s">
        <v>25</v>
      </c>
      <c r="R539" t="s">
        <v>26</v>
      </c>
      <c r="S539" t="s">
        <v>31</v>
      </c>
      <c r="T539" t="str">
        <f>VLOOKUP(B539,'[1]Plant data'!$A$1:$AB$315,2,0)</f>
        <v>Annonaceae</v>
      </c>
      <c r="U539" t="str">
        <f>VLOOKUP($B539,'[1]Plant data'!$A$1:$AB$315,3,0)</f>
        <v>NA</v>
      </c>
      <c r="V539" t="str">
        <f>VLOOKUP($B539,'[1]Plant data'!$A$1:$AB$315,4,0)</f>
        <v>multicolor</v>
      </c>
      <c r="W539" t="str">
        <f>VLOOKUP($B539,'[1]Plant data'!$A$1:$AB$315,5,0)</f>
        <v>YES</v>
      </c>
      <c r="X539">
        <f>VLOOKUP($B539,'[1]Plant data'!$A$1:$AB$315,6,0)</f>
        <v>9.8000000000000007</v>
      </c>
      <c r="Y539">
        <f>VLOOKUP($B539,'[1]Plant data'!$A$1:$AB$315,7,0)</f>
        <v>14.25</v>
      </c>
      <c r="Z539">
        <f>VLOOKUP($B539,'[1]Plant data'!$A$1:$AB$315,8,0)</f>
        <v>5</v>
      </c>
      <c r="AA539">
        <f>VLOOKUP($B539,'[1]Plant data'!$A$1:$AB$315,9,0)</f>
        <v>8</v>
      </c>
      <c r="AB539" t="str">
        <f>VLOOKUP($B539,'[1]Plant data'!$A$1:$AB$315,10,0)</f>
        <v>NA</v>
      </c>
      <c r="AC539" t="str">
        <f>VLOOKUP($B539,'[1]Plant data'!$A$1:$AB$315,11,0)</f>
        <v>NA</v>
      </c>
      <c r="AD539" t="str">
        <f>VLOOKUP($B539,'[1]Plant data'!$A$1:$AB$315,12,0)</f>
        <v>NA</v>
      </c>
      <c r="AE539" t="str">
        <f>VLOOKUP($B539,'[1]Plant data'!$A$1:$AB$315,13,0)</f>
        <v>NA</v>
      </c>
      <c r="AF539" t="str">
        <f>VLOOKUP($B539,'[1]Plant data'!$A$1:$AB$315,14,0)</f>
        <v>NA</v>
      </c>
      <c r="AG539">
        <f>VLOOKUP($B539,'[1]Plant data'!$A$1:$AB$315,15,0)</f>
        <v>1</v>
      </c>
      <c r="AH539" t="str">
        <f>VLOOKUP($B539,'[1]Plant data'!$A$1:$AB$315,16,0)</f>
        <v>NA</v>
      </c>
      <c r="AI539" t="str">
        <f>VLOOKUP($B539,'[1]Plant data'!$A$1:$AB$315,17,0)</f>
        <v>NA</v>
      </c>
      <c r="AJ539" t="str">
        <f>VLOOKUP($B539,'[1]Plant data'!$A$1:$AB$315,18,0)</f>
        <v>ATLANTIC, Correia 1997</v>
      </c>
      <c r="AK539" t="str">
        <f>VLOOKUP($B539,'[1]Plant data'!$A$1:$AB$315,19,0)</f>
        <v>NA</v>
      </c>
      <c r="AL539" t="str">
        <f>VLOOKUP($B539,'[1]Plant data'!$A$1:$AB$315,20,0)</f>
        <v>NA</v>
      </c>
      <c r="AM539" t="str">
        <f>VLOOKUP($B539,'[1]Plant data'!$A$1:$AB$315,21,0)</f>
        <v>NA</v>
      </c>
      <c r="AN539" t="str">
        <f>VLOOKUP($B539,'[1]Plant data'!$A$1:$AB$315,22,0)</f>
        <v>NA</v>
      </c>
      <c r="AO539" t="str">
        <f>VLOOKUP($B539,'[1]Plant data'!$A$1:$AB$315,23,0)</f>
        <v>NA</v>
      </c>
      <c r="AP539" t="str">
        <f>VLOOKUP($B539,'[1]Plant data'!$A$1:$AB$315,24,0)</f>
        <v>NA</v>
      </c>
      <c r="AQ539" t="str">
        <f>VLOOKUP($B539,'[1]Plant data'!$A$1:$AB$315,25,0)</f>
        <v>NA</v>
      </c>
      <c r="AR539" t="str">
        <f>VLOOKUP($B539,'[1]Plant data'!$A$1:$AB$315,26,0)</f>
        <v>NA</v>
      </c>
      <c r="AS539" t="str">
        <f>VLOOKUP($B539,'[1]Plant data'!$A$1:$AB$315,27,0)</f>
        <v>NA</v>
      </c>
      <c r="AT539" t="str">
        <f>VLOOKUP($B539,'[1]Plant data'!$A$1:$AB$315,28,0)</f>
        <v>NA</v>
      </c>
    </row>
    <row r="540" spans="1:46">
      <c r="A540" s="5" t="s">
        <v>43</v>
      </c>
      <c r="B540" s="12" t="s">
        <v>136</v>
      </c>
      <c r="C540" s="7">
        <v>1</v>
      </c>
      <c r="D540" s="7">
        <v>15</v>
      </c>
      <c r="E540" s="23">
        <f>C540/15</f>
        <v>6.6666666666666666E-2</v>
      </c>
      <c r="F540" s="8" t="s">
        <v>19</v>
      </c>
      <c r="G540" s="9">
        <v>1</v>
      </c>
      <c r="H540" s="9"/>
      <c r="I540" s="8">
        <f>E540*G540</f>
        <v>6.6666666666666666E-2</v>
      </c>
      <c r="J540" t="s">
        <v>132</v>
      </c>
      <c r="K540" s="25" t="s">
        <v>133</v>
      </c>
      <c r="L540" t="s">
        <v>22</v>
      </c>
      <c r="M540" t="s">
        <v>30</v>
      </c>
      <c r="N540" s="11">
        <v>32.5</v>
      </c>
      <c r="O540" s="11">
        <v>8.9205555560000001</v>
      </c>
      <c r="P540" t="s">
        <v>24</v>
      </c>
      <c r="Q540" t="s">
        <v>25</v>
      </c>
      <c r="R540" t="s">
        <v>26</v>
      </c>
      <c r="S540" t="s">
        <v>31</v>
      </c>
      <c r="T540" t="str">
        <f>VLOOKUP(B540,'[1]Plant data'!$A$1:$AB$315,2,0)</f>
        <v>Annonaceae</v>
      </c>
      <c r="U540" t="str">
        <f>VLOOKUP($B540,'[1]Plant data'!$A$1:$AB$315,3,0)</f>
        <v>NA</v>
      </c>
      <c r="V540" t="str">
        <f>VLOOKUP($B540,'[1]Plant data'!$A$1:$AB$315,4,0)</f>
        <v>multicolor</v>
      </c>
      <c r="W540" t="str">
        <f>VLOOKUP($B540,'[1]Plant data'!$A$1:$AB$315,5,0)</f>
        <v>YES</v>
      </c>
      <c r="X540">
        <f>VLOOKUP($B540,'[1]Plant data'!$A$1:$AB$315,6,0)</f>
        <v>9.8000000000000007</v>
      </c>
      <c r="Y540">
        <f>VLOOKUP($B540,'[1]Plant data'!$A$1:$AB$315,7,0)</f>
        <v>14.25</v>
      </c>
      <c r="Z540">
        <f>VLOOKUP($B540,'[1]Plant data'!$A$1:$AB$315,8,0)</f>
        <v>5</v>
      </c>
      <c r="AA540">
        <f>VLOOKUP($B540,'[1]Plant data'!$A$1:$AB$315,9,0)</f>
        <v>8</v>
      </c>
      <c r="AB540" t="str">
        <f>VLOOKUP($B540,'[1]Plant data'!$A$1:$AB$315,10,0)</f>
        <v>NA</v>
      </c>
      <c r="AC540" t="str">
        <f>VLOOKUP($B540,'[1]Plant data'!$A$1:$AB$315,11,0)</f>
        <v>NA</v>
      </c>
      <c r="AD540" t="str">
        <f>VLOOKUP($B540,'[1]Plant data'!$A$1:$AB$315,12,0)</f>
        <v>NA</v>
      </c>
      <c r="AE540" t="str">
        <f>VLOOKUP($B540,'[1]Plant data'!$A$1:$AB$315,13,0)</f>
        <v>NA</v>
      </c>
      <c r="AF540" t="str">
        <f>VLOOKUP($B540,'[1]Plant data'!$A$1:$AB$315,14,0)</f>
        <v>NA</v>
      </c>
      <c r="AG540">
        <f>VLOOKUP($B540,'[1]Plant data'!$A$1:$AB$315,15,0)</f>
        <v>1</v>
      </c>
      <c r="AH540" t="str">
        <f>VLOOKUP($B540,'[1]Plant data'!$A$1:$AB$315,16,0)</f>
        <v>NA</v>
      </c>
      <c r="AI540" t="str">
        <f>VLOOKUP($B540,'[1]Plant data'!$A$1:$AB$315,17,0)</f>
        <v>NA</v>
      </c>
      <c r="AJ540" t="str">
        <f>VLOOKUP($B540,'[1]Plant data'!$A$1:$AB$315,18,0)</f>
        <v>ATLANTIC, Correia 1997</v>
      </c>
      <c r="AK540" t="str">
        <f>VLOOKUP($B540,'[1]Plant data'!$A$1:$AB$315,19,0)</f>
        <v>NA</v>
      </c>
      <c r="AL540" t="str">
        <f>VLOOKUP($B540,'[1]Plant data'!$A$1:$AB$315,20,0)</f>
        <v>NA</v>
      </c>
      <c r="AM540" t="str">
        <f>VLOOKUP($B540,'[1]Plant data'!$A$1:$AB$315,21,0)</f>
        <v>NA</v>
      </c>
      <c r="AN540" t="str">
        <f>VLOOKUP($B540,'[1]Plant data'!$A$1:$AB$315,22,0)</f>
        <v>NA</v>
      </c>
      <c r="AO540" t="str">
        <f>VLOOKUP($B540,'[1]Plant data'!$A$1:$AB$315,23,0)</f>
        <v>NA</v>
      </c>
      <c r="AP540" t="str">
        <f>VLOOKUP($B540,'[1]Plant data'!$A$1:$AB$315,24,0)</f>
        <v>NA</v>
      </c>
      <c r="AQ540" t="str">
        <f>VLOOKUP($B540,'[1]Plant data'!$A$1:$AB$315,25,0)</f>
        <v>NA</v>
      </c>
      <c r="AR540" t="str">
        <f>VLOOKUP($B540,'[1]Plant data'!$A$1:$AB$315,26,0)</f>
        <v>NA</v>
      </c>
      <c r="AS540" t="str">
        <f>VLOOKUP($B540,'[1]Plant data'!$A$1:$AB$315,27,0)</f>
        <v>NA</v>
      </c>
      <c r="AT540" t="str">
        <f>VLOOKUP($B540,'[1]Plant data'!$A$1:$AB$315,28,0)</f>
        <v>NA</v>
      </c>
    </row>
  </sheetData>
  <sortState ref="A2:AT540">
    <sortCondition ref="B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4"/>
  <sheetViews>
    <sheetView tabSelected="1" zoomScale="125" zoomScaleNormal="125" zoomScalePageLayoutView="125" workbookViewId="0">
      <pane ySplit="1" topLeftCell="A465" activePane="bottomLeft" state="frozen"/>
      <selection pane="bottomLeft" activeCell="L474" sqref="L474"/>
    </sheetView>
  </sheetViews>
  <sheetFormatPr baseColWidth="10" defaultRowHeight="15" x14ac:dyDescent="0"/>
  <cols>
    <col min="1" max="1" width="20.6640625" bestFit="1" customWidth="1"/>
    <col min="2" max="2" width="29.1640625" bestFit="1" customWidth="1"/>
    <col min="3" max="3" width="7.5" bestFit="1" customWidth="1"/>
    <col min="4" max="4" width="9" bestFit="1" customWidth="1"/>
    <col min="5" max="5" width="9" customWidth="1"/>
    <col min="6" max="6" width="7.83203125" bestFit="1" customWidth="1"/>
    <col min="7" max="7" width="9.1640625" bestFit="1" customWidth="1"/>
    <col min="8" max="8" width="9.1640625" customWidth="1"/>
    <col min="9" max="9" width="12.83203125" bestFit="1" customWidth="1"/>
    <col min="10" max="10" width="10.6640625" bestFit="1" customWidth="1"/>
    <col min="11" max="11" width="9.33203125" bestFit="1" customWidth="1"/>
    <col min="12" max="12" width="16" bestFit="1" customWidth="1"/>
    <col min="13" max="13" width="8" bestFit="1" customWidth="1"/>
    <col min="14" max="14" width="7.6640625" bestFit="1" customWidth="1"/>
    <col min="15" max="16" width="6.83203125" bestFit="1" customWidth="1"/>
    <col min="17" max="17" width="5.83203125" bestFit="1" customWidth="1"/>
    <col min="18" max="20" width="6.83203125" bestFit="1" customWidth="1"/>
    <col min="21" max="21" width="7.33203125" bestFit="1" customWidth="1"/>
    <col min="22" max="23" width="5.83203125" bestFit="1" customWidth="1"/>
    <col min="24" max="24" width="8" bestFit="1" customWidth="1"/>
    <col min="25" max="25" width="9" bestFit="1" customWidth="1"/>
    <col min="26" max="26" width="5.83203125" bestFit="1" customWidth="1"/>
    <col min="27" max="27" width="7.6640625" bestFit="1" customWidth="1"/>
    <col min="28" max="28" width="10.1640625" bestFit="1" customWidth="1"/>
  </cols>
  <sheetData>
    <row r="1" spans="1:28" s="72" customFormat="1">
      <c r="A1" s="65" t="s">
        <v>0</v>
      </c>
      <c r="B1" s="66" t="s">
        <v>318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8" t="s">
        <v>320</v>
      </c>
      <c r="I1" s="67" t="s">
        <v>10</v>
      </c>
      <c r="J1" s="68" t="s">
        <v>11</v>
      </c>
      <c r="K1" s="68" t="s">
        <v>12</v>
      </c>
      <c r="L1" s="69" t="s">
        <v>285</v>
      </c>
      <c r="M1" s="70" t="s">
        <v>311</v>
      </c>
      <c r="N1" s="70" t="s">
        <v>312</v>
      </c>
      <c r="O1" s="71" t="s">
        <v>313</v>
      </c>
      <c r="P1" s="71" t="s">
        <v>314</v>
      </c>
      <c r="Q1" s="71" t="s">
        <v>315</v>
      </c>
      <c r="R1" s="71" t="s">
        <v>316</v>
      </c>
      <c r="S1" s="71" t="s">
        <v>317</v>
      </c>
      <c r="T1" s="70" t="s">
        <v>298</v>
      </c>
      <c r="U1" s="63" t="s">
        <v>302</v>
      </c>
      <c r="V1" s="64" t="s">
        <v>303</v>
      </c>
      <c r="W1" s="64" t="s">
        <v>304</v>
      </c>
      <c r="X1" s="64" t="s">
        <v>305</v>
      </c>
      <c r="Y1" s="64" t="s">
        <v>306</v>
      </c>
      <c r="Z1" s="64" t="s">
        <v>307</v>
      </c>
      <c r="AA1" s="64" t="s">
        <v>308</v>
      </c>
      <c r="AB1" s="64" t="s">
        <v>319</v>
      </c>
    </row>
    <row r="2" spans="1:28">
      <c r="A2" s="5" t="s">
        <v>41</v>
      </c>
      <c r="B2" s="14" t="s">
        <v>136</v>
      </c>
      <c r="C2" s="53">
        <v>1</v>
      </c>
      <c r="D2" s="58">
        <v>15</v>
      </c>
      <c r="E2" s="23">
        <f>C2/15</f>
        <v>6.6666666666666666E-2</v>
      </c>
      <c r="F2" s="54" t="s">
        <v>19</v>
      </c>
      <c r="G2" s="9">
        <v>1</v>
      </c>
      <c r="H2" s="23">
        <f>E2*G2</f>
        <v>6.6666666666666666E-2</v>
      </c>
      <c r="I2" t="s">
        <v>30</v>
      </c>
      <c r="J2" s="11">
        <v>39</v>
      </c>
      <c r="K2" s="11">
        <v>8.2839869279999991</v>
      </c>
      <c r="L2" t="str">
        <f>VLOOKUP(B2,'[1]Plant data'!$A$1:$AB$315,2,0)</f>
        <v>Annonaceae</v>
      </c>
      <c r="M2" s="9">
        <f>VLOOKUP($B2,'[1]Plant data'!$A$1:$AB$315,6,0)</f>
        <v>9.8000000000000007</v>
      </c>
      <c r="N2" s="9">
        <f>VLOOKUP($B2,'[1]Plant data'!$A$1:$AB$315,7,0)</f>
        <v>14.25</v>
      </c>
      <c r="O2" s="8" t="str">
        <f>VLOOKUP($B2,'[1]Plant data'!$A$1:$AB$315,10,0)</f>
        <v>NA</v>
      </c>
      <c r="P2" s="8" t="str">
        <f>VLOOKUP($B2,'[1]Plant data'!$A$1:$AB$315,11,0)</f>
        <v>NA</v>
      </c>
      <c r="Q2" s="8" t="str">
        <f>VLOOKUP($B2,'[1]Plant data'!$A$1:$AB$315,12,0)</f>
        <v>NA</v>
      </c>
      <c r="R2" s="8" t="str">
        <f>VLOOKUP($B2,'[1]Plant data'!$A$1:$AB$315,13,0)</f>
        <v>NA</v>
      </c>
      <c r="S2" s="8" t="str">
        <f>VLOOKUP($B2,'[1]Plant data'!$A$1:$AB$315,14,0)</f>
        <v>NA</v>
      </c>
      <c r="T2" s="11">
        <f>VLOOKUP($B2,'[1]Plant data'!$A$1:$AB$315,15,0)</f>
        <v>1</v>
      </c>
      <c r="U2" s="9" t="str">
        <f>VLOOKUP($B2,'[1]Plant data'!$A$1:$AB$315,19,0)</f>
        <v>NA</v>
      </c>
      <c r="V2" s="8" t="str">
        <f>VLOOKUP($B2,'[1]Plant data'!$A$1:$AB$315,20,0)</f>
        <v>NA</v>
      </c>
      <c r="W2" s="8" t="str">
        <f>VLOOKUP($B2,'[1]Plant data'!$A$1:$AB$315,21,0)</f>
        <v>NA</v>
      </c>
      <c r="X2" s="8" t="str">
        <f>VLOOKUP($B2,'[1]Plant data'!$A$1:$AB$315,22,0)</f>
        <v>NA</v>
      </c>
      <c r="Y2" s="8" t="str">
        <f>VLOOKUP($B2,'[1]Plant data'!$A$1:$AB$315,23,0)</f>
        <v>NA</v>
      </c>
      <c r="Z2" s="8" t="str">
        <f>VLOOKUP($B2,'[1]Plant data'!$A$1:$AB$315,24,0)</f>
        <v>NA</v>
      </c>
      <c r="AA2" s="8" t="str">
        <f>VLOOKUP($B2,'[1]Plant data'!$A$1:$AB$315,25,0)</f>
        <v>NA</v>
      </c>
      <c r="AB2" s="8" t="s">
        <v>19</v>
      </c>
    </row>
    <row r="3" spans="1:28">
      <c r="A3" s="5" t="s">
        <v>43</v>
      </c>
      <c r="B3" s="12" t="s">
        <v>136</v>
      </c>
      <c r="C3" s="53">
        <v>1</v>
      </c>
      <c r="D3" s="58">
        <v>15</v>
      </c>
      <c r="E3" s="23">
        <f>C3/15</f>
        <v>6.6666666666666666E-2</v>
      </c>
      <c r="F3" s="54" t="s">
        <v>19</v>
      </c>
      <c r="G3" s="9">
        <v>1</v>
      </c>
      <c r="H3" s="23">
        <f>E3*G3</f>
        <v>6.6666666666666666E-2</v>
      </c>
      <c r="I3" t="s">
        <v>30</v>
      </c>
      <c r="J3" s="11">
        <v>32.5</v>
      </c>
      <c r="K3" s="11">
        <v>8.9205555560000001</v>
      </c>
      <c r="L3" t="str">
        <f>VLOOKUP(B3,'[1]Plant data'!$A$1:$AB$315,2,0)</f>
        <v>Annonaceae</v>
      </c>
      <c r="M3" s="9">
        <f>VLOOKUP($B3,'[1]Plant data'!$A$1:$AB$315,6,0)</f>
        <v>9.8000000000000007</v>
      </c>
      <c r="N3" s="9">
        <f>VLOOKUP($B3,'[1]Plant data'!$A$1:$AB$315,7,0)</f>
        <v>14.25</v>
      </c>
      <c r="O3" s="8" t="str">
        <f>VLOOKUP($B3,'[1]Plant data'!$A$1:$AB$315,10,0)</f>
        <v>NA</v>
      </c>
      <c r="P3" s="8" t="str">
        <f>VLOOKUP($B3,'[1]Plant data'!$A$1:$AB$315,11,0)</f>
        <v>NA</v>
      </c>
      <c r="Q3" s="8" t="str">
        <f>VLOOKUP($B3,'[1]Plant data'!$A$1:$AB$315,12,0)</f>
        <v>NA</v>
      </c>
      <c r="R3" s="8" t="str">
        <f>VLOOKUP($B3,'[1]Plant data'!$A$1:$AB$315,13,0)</f>
        <v>NA</v>
      </c>
      <c r="S3" s="8" t="str">
        <f>VLOOKUP($B3,'[1]Plant data'!$A$1:$AB$315,14,0)</f>
        <v>NA</v>
      </c>
      <c r="T3" s="11">
        <f>VLOOKUP($B3,'[1]Plant data'!$A$1:$AB$315,15,0)</f>
        <v>1</v>
      </c>
      <c r="U3" s="9" t="str">
        <f>VLOOKUP($B3,'[1]Plant data'!$A$1:$AB$315,19,0)</f>
        <v>NA</v>
      </c>
      <c r="V3" s="8" t="str">
        <f>VLOOKUP($B3,'[1]Plant data'!$A$1:$AB$315,20,0)</f>
        <v>NA</v>
      </c>
      <c r="W3" s="8" t="str">
        <f>VLOOKUP($B3,'[1]Plant data'!$A$1:$AB$315,21,0)</f>
        <v>NA</v>
      </c>
      <c r="X3" s="8" t="str">
        <f>VLOOKUP($B3,'[1]Plant data'!$A$1:$AB$315,22,0)</f>
        <v>NA</v>
      </c>
      <c r="Y3" s="8" t="str">
        <f>VLOOKUP($B3,'[1]Plant data'!$A$1:$AB$315,23,0)</f>
        <v>NA</v>
      </c>
      <c r="Z3" s="8" t="str">
        <f>VLOOKUP($B3,'[1]Plant data'!$A$1:$AB$315,24,0)</f>
        <v>NA</v>
      </c>
      <c r="AA3" s="8" t="str">
        <f>VLOOKUP($B3,'[1]Plant data'!$A$1:$AB$315,25,0)</f>
        <v>NA</v>
      </c>
      <c r="AB3" s="8" t="s">
        <v>19</v>
      </c>
    </row>
    <row r="4" spans="1:28">
      <c r="A4" s="5" t="s">
        <v>90</v>
      </c>
      <c r="B4" s="77" t="s">
        <v>179</v>
      </c>
      <c r="C4" s="56">
        <v>3</v>
      </c>
      <c r="D4" s="59">
        <v>2.5</v>
      </c>
      <c r="E4" s="26">
        <f>C4/2.5</f>
        <v>1.2</v>
      </c>
      <c r="F4" s="56" t="s">
        <v>19</v>
      </c>
      <c r="G4" s="19">
        <f>(7+10)/2</f>
        <v>8.5</v>
      </c>
      <c r="H4" s="23">
        <f>E4*G4</f>
        <v>10.199999999999999</v>
      </c>
      <c r="I4" t="s">
        <v>94</v>
      </c>
      <c r="J4" s="11">
        <v>331</v>
      </c>
      <c r="K4" s="11">
        <v>30.7</v>
      </c>
      <c r="L4" t="str">
        <f>VLOOKUP(B4,'[1]Plant data'!$A$1:$AB$315,2,0)</f>
        <v>Lamiaceae</v>
      </c>
      <c r="M4" s="9">
        <f>VLOOKUP($B4,'[1]Plant data'!$A$1:$AB$315,6,0)</f>
        <v>16.63</v>
      </c>
      <c r="N4" s="9">
        <f>VLOOKUP($B4,'[1]Plant data'!$A$1:$AB$315,7,0)</f>
        <v>17.059999999999999</v>
      </c>
      <c r="O4" s="8">
        <f>VLOOKUP($B4,'[1]Plant data'!$A$1:$AB$315,10,0)</f>
        <v>2.57</v>
      </c>
      <c r="P4" s="8">
        <f>VLOOKUP($B4,'[1]Plant data'!$A$1:$AB$315,11,0)</f>
        <v>1.97</v>
      </c>
      <c r="Q4" s="8" t="str">
        <f>VLOOKUP($B4,'[1]Plant data'!$A$1:$AB$315,12,0)</f>
        <v>NA</v>
      </c>
      <c r="R4" s="8">
        <f>VLOOKUP($B4,'[1]Plant data'!$A$1:$AB$315,13,0)</f>
        <v>0.48</v>
      </c>
      <c r="S4" s="8">
        <f>VLOOKUP($B4,'[1]Plant data'!$A$1:$AB$315,14,0)</f>
        <v>0.59</v>
      </c>
      <c r="T4" s="11">
        <f>VLOOKUP($B4,'[1]Plant data'!$A$1:$AB$315,15,0)</f>
        <v>1</v>
      </c>
      <c r="U4" s="9">
        <f>VLOOKUP($B4,'[1]Plant data'!$A$1:$AB$315,19,0)</f>
        <v>0.75629999999999997</v>
      </c>
      <c r="V4" s="8">
        <f>VLOOKUP($B4,'[1]Plant data'!$A$1:$AB$315,20,0)</f>
        <v>1.6E-2</v>
      </c>
      <c r="W4" s="8">
        <f>VLOOKUP($B4,'[1]Plant data'!$A$1:$AB$315,21,0)</f>
        <v>3.56E-2</v>
      </c>
      <c r="X4" s="8">
        <f>VLOOKUP($B4,'[1]Plant data'!$A$1:$AB$315,22,0)</f>
        <v>1.9699999999999999E-2</v>
      </c>
      <c r="Y4" s="8" t="str">
        <f>VLOOKUP($B4,'[1]Plant data'!$A$1:$AB$315,23,0)</f>
        <v>NA</v>
      </c>
      <c r="Z4" s="8" t="str">
        <f>VLOOKUP($B4,'[1]Plant data'!$A$1:$AB$315,24,0)</f>
        <v>NA</v>
      </c>
      <c r="AA4" s="8" t="str">
        <f>VLOOKUP($B4,'[1]Plant data'!$A$1:$AB$315,25,0)</f>
        <v>NA</v>
      </c>
      <c r="AB4" s="8">
        <f>SUMIF(X4:Y4,"&gt;0.00001")</f>
        <v>1.9699999999999999E-2</v>
      </c>
    </row>
    <row r="5" spans="1:28">
      <c r="A5" s="5" t="s">
        <v>43</v>
      </c>
      <c r="B5" s="14" t="s">
        <v>179</v>
      </c>
      <c r="C5" s="53">
        <v>1</v>
      </c>
      <c r="D5" s="58">
        <v>2</v>
      </c>
      <c r="E5" s="8">
        <f>C5/2</f>
        <v>0.5</v>
      </c>
      <c r="F5" s="54" t="s">
        <v>19</v>
      </c>
      <c r="G5" s="9" t="s">
        <v>19</v>
      </c>
      <c r="H5" s="23" t="s">
        <v>19</v>
      </c>
      <c r="I5" t="s">
        <v>30</v>
      </c>
      <c r="J5" s="11">
        <v>32.5</v>
      </c>
      <c r="K5" s="11">
        <v>8.9205555560000001</v>
      </c>
      <c r="L5" t="str">
        <f>VLOOKUP(B5,'[1]Plant data'!$A$1:$AB$315,2,0)</f>
        <v>Lamiaceae</v>
      </c>
      <c r="M5" s="9">
        <f>VLOOKUP($B5,'[1]Plant data'!$A$1:$AB$315,6,0)</f>
        <v>16.63</v>
      </c>
      <c r="N5" s="9">
        <f>VLOOKUP($B5,'[1]Plant data'!$A$1:$AB$315,7,0)</f>
        <v>17.059999999999999</v>
      </c>
      <c r="O5" s="8">
        <f>VLOOKUP($B5,'[1]Plant data'!$A$1:$AB$315,10,0)</f>
        <v>2.57</v>
      </c>
      <c r="P5" s="8">
        <f>VLOOKUP($B5,'[1]Plant data'!$A$1:$AB$315,11,0)</f>
        <v>1.97</v>
      </c>
      <c r="Q5" s="8" t="str">
        <f>VLOOKUP($B5,'[1]Plant data'!$A$1:$AB$315,12,0)</f>
        <v>NA</v>
      </c>
      <c r="R5" s="8">
        <f>VLOOKUP($B5,'[1]Plant data'!$A$1:$AB$315,13,0)</f>
        <v>0.48</v>
      </c>
      <c r="S5" s="8">
        <f>VLOOKUP($B5,'[1]Plant data'!$A$1:$AB$315,14,0)</f>
        <v>0.59</v>
      </c>
      <c r="T5" s="11">
        <f>VLOOKUP($B5,'[1]Plant data'!$A$1:$AB$315,15,0)</f>
        <v>1</v>
      </c>
      <c r="U5" s="9">
        <f>VLOOKUP($B5,'[1]Plant data'!$A$1:$AB$315,19,0)</f>
        <v>0.75629999999999997</v>
      </c>
      <c r="V5" s="8">
        <f>VLOOKUP($B5,'[1]Plant data'!$A$1:$AB$315,20,0)</f>
        <v>1.6E-2</v>
      </c>
      <c r="W5" s="8">
        <f>VLOOKUP($B5,'[1]Plant data'!$A$1:$AB$315,21,0)</f>
        <v>3.56E-2</v>
      </c>
      <c r="X5" s="8">
        <f>VLOOKUP($B5,'[1]Plant data'!$A$1:$AB$315,22,0)</f>
        <v>1.9699999999999999E-2</v>
      </c>
      <c r="Y5" s="8" t="str">
        <f>VLOOKUP($B5,'[1]Plant data'!$A$1:$AB$315,23,0)</f>
        <v>NA</v>
      </c>
      <c r="Z5" s="8" t="str">
        <f>VLOOKUP($B5,'[1]Plant data'!$A$1:$AB$315,24,0)</f>
        <v>NA</v>
      </c>
      <c r="AA5" s="8" t="str">
        <f>VLOOKUP($B5,'[1]Plant data'!$A$1:$AB$315,25,0)</f>
        <v>NA</v>
      </c>
      <c r="AB5" s="8">
        <f>SUMIF(X5:Y5,"&gt;0.00001")</f>
        <v>1.9699999999999999E-2</v>
      </c>
    </row>
    <row r="6" spans="1:28">
      <c r="A6" s="21" t="s">
        <v>41</v>
      </c>
      <c r="B6" s="22" t="s">
        <v>170</v>
      </c>
      <c r="C6" s="55">
        <v>1</v>
      </c>
      <c r="D6" s="17">
        <v>32</v>
      </c>
      <c r="E6" s="23">
        <v>1</v>
      </c>
      <c r="F6" s="55">
        <v>1</v>
      </c>
      <c r="G6" s="19">
        <v>1</v>
      </c>
      <c r="H6" s="23">
        <f>E6*G6</f>
        <v>1</v>
      </c>
      <c r="I6" s="16" t="s">
        <v>30</v>
      </c>
      <c r="J6" s="17">
        <v>39</v>
      </c>
      <c r="K6" s="17">
        <v>8.2839869279999991</v>
      </c>
      <c r="L6" t="str">
        <f>VLOOKUP(B6,'[1]Plant data'!$A$1:$AB$315,2,0)</f>
        <v>Myristicaceae</v>
      </c>
      <c r="M6" s="9">
        <f>VLOOKUP($B6,'[1]Plant data'!$A$1:$AB$315,6,0)</f>
        <v>10.49</v>
      </c>
      <c r="N6" s="9">
        <f>VLOOKUP($B6,'[1]Plant data'!$A$1:$AB$315,7,0)</f>
        <v>14.664000000000001</v>
      </c>
      <c r="O6" s="8">
        <f>VLOOKUP($B6,'[1]Plant data'!$A$1:$AB$315,10,0)</f>
        <v>0.75</v>
      </c>
      <c r="P6" s="8" t="str">
        <f>VLOOKUP($B6,'[1]Plant data'!$A$1:$AB$315,11,0)</f>
        <v>NA</v>
      </c>
      <c r="Q6" s="8">
        <f>VLOOKUP($B6,'[1]Plant data'!$A$1:$AB$315,12,0)</f>
        <v>0.54</v>
      </c>
      <c r="R6" s="8">
        <f>VLOOKUP($B6,'[1]Plant data'!$A$1:$AB$315,13,0)</f>
        <v>0.12</v>
      </c>
      <c r="S6" s="8">
        <f>VLOOKUP($B6,'[1]Plant data'!$A$1:$AB$315,14,0)</f>
        <v>0.36</v>
      </c>
      <c r="T6" s="11">
        <f>VLOOKUP($B6,'[1]Plant data'!$A$1:$AB$315,15,0)</f>
        <v>1</v>
      </c>
      <c r="U6" s="9">
        <f>VLOOKUP($B6,'[1]Plant data'!$A$1:$AB$315,19,0)</f>
        <v>0.40949999999999998</v>
      </c>
      <c r="V6" s="8">
        <f>VLOOKUP($B6,'[1]Plant data'!$A$1:$AB$315,20,0)</f>
        <v>0.53849999999999998</v>
      </c>
      <c r="W6" s="8">
        <f>VLOOKUP($B6,'[1]Plant data'!$A$1:$AB$315,21,0)</f>
        <v>7.0999999999999994E-2</v>
      </c>
      <c r="X6" s="8" t="str">
        <f>VLOOKUP($B6,'[1]Plant data'!$A$1:$AB$315,22,0)</f>
        <v>NA</v>
      </c>
      <c r="Y6" s="8" t="str">
        <f>VLOOKUP($B6,'[1]Plant data'!$A$1:$AB$315,23,0)</f>
        <v>NA</v>
      </c>
      <c r="Z6" s="8">
        <f>VLOOKUP($B6,'[1]Plant data'!$A$1:$AB$315,24,0)</f>
        <v>8.4000000000000005E-2</v>
      </c>
      <c r="AA6" s="8" t="str">
        <f>VLOOKUP($B6,'[1]Plant data'!$A$1:$AB$315,25,0)</f>
        <v>NA</v>
      </c>
      <c r="AB6" s="8" t="s">
        <v>19</v>
      </c>
    </row>
    <row r="7" spans="1:28">
      <c r="A7" s="21" t="s">
        <v>106</v>
      </c>
      <c r="B7" s="83" t="s">
        <v>170</v>
      </c>
      <c r="C7" s="55">
        <v>3</v>
      </c>
      <c r="D7" s="17">
        <v>32</v>
      </c>
      <c r="E7" s="23">
        <f>C7/32</f>
        <v>9.375E-2</v>
      </c>
      <c r="F7" s="55">
        <v>6</v>
      </c>
      <c r="G7" s="19">
        <f>F7/C7</f>
        <v>2</v>
      </c>
      <c r="H7" s="23">
        <f>E7*G7</f>
        <v>0.1875</v>
      </c>
      <c r="I7" s="16" t="s">
        <v>75</v>
      </c>
      <c r="J7" s="17">
        <v>68.099999999999994</v>
      </c>
      <c r="K7" s="17">
        <v>16.570370369999999</v>
      </c>
      <c r="L7" t="str">
        <f>VLOOKUP(B7,'[1]Plant data'!$A$1:$AB$315,2,0)</f>
        <v>Myristicaceae</v>
      </c>
      <c r="M7" s="9">
        <f>VLOOKUP($B7,'[1]Plant data'!$A$1:$AB$315,6,0)</f>
        <v>10.49</v>
      </c>
      <c r="N7" s="9">
        <f>VLOOKUP($B7,'[1]Plant data'!$A$1:$AB$315,7,0)</f>
        <v>14.664000000000001</v>
      </c>
      <c r="O7" s="8">
        <f>VLOOKUP($B7,'[1]Plant data'!$A$1:$AB$315,10,0)</f>
        <v>0.75</v>
      </c>
      <c r="P7" s="8" t="str">
        <f>VLOOKUP($B7,'[1]Plant data'!$A$1:$AB$315,11,0)</f>
        <v>NA</v>
      </c>
      <c r="Q7" s="8">
        <f>VLOOKUP($B7,'[1]Plant data'!$A$1:$AB$315,12,0)</f>
        <v>0.54</v>
      </c>
      <c r="R7" s="8">
        <f>VLOOKUP($B7,'[1]Plant data'!$A$1:$AB$315,13,0)</f>
        <v>0.12</v>
      </c>
      <c r="S7" s="8">
        <f>VLOOKUP($B7,'[1]Plant data'!$A$1:$AB$315,14,0)</f>
        <v>0.36</v>
      </c>
      <c r="T7" s="11">
        <f>VLOOKUP($B7,'[1]Plant data'!$A$1:$AB$315,15,0)</f>
        <v>1</v>
      </c>
      <c r="U7" s="9">
        <f>VLOOKUP($B7,'[1]Plant data'!$A$1:$AB$315,19,0)</f>
        <v>0.40949999999999998</v>
      </c>
      <c r="V7" s="8">
        <f>VLOOKUP($B7,'[1]Plant data'!$A$1:$AB$315,20,0)</f>
        <v>0.53849999999999998</v>
      </c>
      <c r="W7" s="8">
        <f>VLOOKUP($B7,'[1]Plant data'!$A$1:$AB$315,21,0)</f>
        <v>7.0999999999999994E-2</v>
      </c>
      <c r="X7" s="8" t="str">
        <f>VLOOKUP($B7,'[1]Plant data'!$A$1:$AB$315,22,0)</f>
        <v>NA</v>
      </c>
      <c r="Y7" s="8" t="str">
        <f>VLOOKUP($B7,'[1]Plant data'!$A$1:$AB$315,23,0)</f>
        <v>NA</v>
      </c>
      <c r="Z7" s="8">
        <f>VLOOKUP($B7,'[1]Plant data'!$A$1:$AB$315,24,0)</f>
        <v>8.4000000000000005E-2</v>
      </c>
      <c r="AA7" s="8" t="str">
        <f>VLOOKUP($B7,'[1]Plant data'!$A$1:$AB$315,25,0)</f>
        <v>NA</v>
      </c>
      <c r="AB7" s="8" t="s">
        <v>19</v>
      </c>
    </row>
    <row r="8" spans="1:28">
      <c r="A8" s="21" t="s">
        <v>106</v>
      </c>
      <c r="B8" s="83" t="s">
        <v>170</v>
      </c>
      <c r="C8" s="55">
        <v>1</v>
      </c>
      <c r="D8" s="58">
        <v>30</v>
      </c>
      <c r="E8" s="23">
        <f>C8/30</f>
        <v>3.3333333333333333E-2</v>
      </c>
      <c r="F8" s="55">
        <v>3</v>
      </c>
      <c r="G8" s="19">
        <f>F8/C8</f>
        <v>3</v>
      </c>
      <c r="H8" s="23">
        <f>E8*G8</f>
        <v>0.1</v>
      </c>
      <c r="I8" s="16" t="s">
        <v>75</v>
      </c>
      <c r="J8" s="17">
        <v>68.099999999999994</v>
      </c>
      <c r="K8" s="17">
        <v>16.570370369999999</v>
      </c>
      <c r="L8" t="str">
        <f>VLOOKUP(B8,'[1]Plant data'!$A$1:$AB$315,2,0)</f>
        <v>Myristicaceae</v>
      </c>
      <c r="M8" s="9">
        <f>VLOOKUP($B8,'[1]Plant data'!$A$1:$AB$315,6,0)</f>
        <v>10.49</v>
      </c>
      <c r="N8" s="9">
        <f>VLOOKUP($B8,'[1]Plant data'!$A$1:$AB$315,7,0)</f>
        <v>14.664000000000001</v>
      </c>
      <c r="O8" s="8">
        <f>VLOOKUP($B8,'[1]Plant data'!$A$1:$AB$315,10,0)</f>
        <v>0.75</v>
      </c>
      <c r="P8" s="8" t="str">
        <f>VLOOKUP($B8,'[1]Plant data'!$A$1:$AB$315,11,0)</f>
        <v>NA</v>
      </c>
      <c r="Q8" s="8">
        <f>VLOOKUP($B8,'[1]Plant data'!$A$1:$AB$315,12,0)</f>
        <v>0.54</v>
      </c>
      <c r="R8" s="8">
        <f>VLOOKUP($B8,'[1]Plant data'!$A$1:$AB$315,13,0)</f>
        <v>0.12</v>
      </c>
      <c r="S8" s="8">
        <f>VLOOKUP($B8,'[1]Plant data'!$A$1:$AB$315,14,0)</f>
        <v>0.36</v>
      </c>
      <c r="T8" s="11">
        <f>VLOOKUP($B8,'[1]Plant data'!$A$1:$AB$315,15,0)</f>
        <v>1</v>
      </c>
      <c r="U8" s="9">
        <f>VLOOKUP($B8,'[1]Plant data'!$A$1:$AB$315,19,0)</f>
        <v>0.40949999999999998</v>
      </c>
      <c r="V8" s="8">
        <f>VLOOKUP($B8,'[1]Plant data'!$A$1:$AB$315,20,0)</f>
        <v>0.53849999999999998</v>
      </c>
      <c r="W8" s="8">
        <f>VLOOKUP($B8,'[1]Plant data'!$A$1:$AB$315,21,0)</f>
        <v>7.0999999999999994E-2</v>
      </c>
      <c r="X8" s="8" t="str">
        <f>VLOOKUP($B8,'[1]Plant data'!$A$1:$AB$315,22,0)</f>
        <v>NA</v>
      </c>
      <c r="Y8" s="8" t="str">
        <f>VLOOKUP($B8,'[1]Plant data'!$A$1:$AB$315,23,0)</f>
        <v>NA</v>
      </c>
      <c r="Z8" s="8">
        <f>VLOOKUP($B8,'[1]Plant data'!$A$1:$AB$315,24,0)</f>
        <v>8.4000000000000005E-2</v>
      </c>
      <c r="AA8" s="8" t="str">
        <f>VLOOKUP($B8,'[1]Plant data'!$A$1:$AB$315,25,0)</f>
        <v>NA</v>
      </c>
      <c r="AB8" s="8" t="s">
        <v>19</v>
      </c>
    </row>
    <row r="9" spans="1:28">
      <c r="A9" s="21" t="s">
        <v>46</v>
      </c>
      <c r="B9" s="22" t="s">
        <v>170</v>
      </c>
      <c r="C9" s="55">
        <v>1</v>
      </c>
      <c r="D9" s="17">
        <v>32</v>
      </c>
      <c r="E9" s="23">
        <f>C9/32</f>
        <v>3.125E-2</v>
      </c>
      <c r="F9" s="55">
        <v>1</v>
      </c>
      <c r="G9" s="19">
        <f>F9/C9</f>
        <v>1</v>
      </c>
      <c r="H9" s="23">
        <f>E9*G9</f>
        <v>3.125E-2</v>
      </c>
      <c r="I9" s="16" t="s">
        <v>47</v>
      </c>
      <c r="J9" s="17">
        <v>54</v>
      </c>
      <c r="K9" s="17">
        <v>11.14875</v>
      </c>
      <c r="L9" t="str">
        <f>VLOOKUP(B9,'[1]Plant data'!$A$1:$AB$315,2,0)</f>
        <v>Myristicaceae</v>
      </c>
      <c r="M9" s="9">
        <f>VLOOKUP($B9,'[1]Plant data'!$A$1:$AB$315,6,0)</f>
        <v>10.49</v>
      </c>
      <c r="N9" s="9">
        <f>VLOOKUP($B9,'[1]Plant data'!$A$1:$AB$315,7,0)</f>
        <v>14.664000000000001</v>
      </c>
      <c r="O9" s="8">
        <f>VLOOKUP($B9,'[1]Plant data'!$A$1:$AB$315,10,0)</f>
        <v>0.75</v>
      </c>
      <c r="P9" s="8" t="str">
        <f>VLOOKUP($B9,'[1]Plant data'!$A$1:$AB$315,11,0)</f>
        <v>NA</v>
      </c>
      <c r="Q9" s="8">
        <f>VLOOKUP($B9,'[1]Plant data'!$A$1:$AB$315,12,0)</f>
        <v>0.54</v>
      </c>
      <c r="R9" s="8">
        <f>VLOOKUP($B9,'[1]Plant data'!$A$1:$AB$315,13,0)</f>
        <v>0.12</v>
      </c>
      <c r="S9" s="8">
        <f>VLOOKUP($B9,'[1]Plant data'!$A$1:$AB$315,14,0)</f>
        <v>0.36</v>
      </c>
      <c r="T9" s="11">
        <f>VLOOKUP($B9,'[1]Plant data'!$A$1:$AB$315,15,0)</f>
        <v>1</v>
      </c>
      <c r="U9" s="9">
        <f>VLOOKUP($B9,'[1]Plant data'!$A$1:$AB$315,19,0)</f>
        <v>0.40949999999999998</v>
      </c>
      <c r="V9" s="8">
        <f>VLOOKUP($B9,'[1]Plant data'!$A$1:$AB$315,20,0)</f>
        <v>0.53849999999999998</v>
      </c>
      <c r="W9" s="8">
        <f>VLOOKUP($B9,'[1]Plant data'!$A$1:$AB$315,21,0)</f>
        <v>7.0999999999999994E-2</v>
      </c>
      <c r="X9" s="8" t="str">
        <f>VLOOKUP($B9,'[1]Plant data'!$A$1:$AB$315,22,0)</f>
        <v>NA</v>
      </c>
      <c r="Y9" s="8" t="str">
        <f>VLOOKUP($B9,'[1]Plant data'!$A$1:$AB$315,23,0)</f>
        <v>NA</v>
      </c>
      <c r="Z9" s="8">
        <f>VLOOKUP($B9,'[1]Plant data'!$A$1:$AB$315,24,0)</f>
        <v>8.4000000000000005E-2</v>
      </c>
      <c r="AA9" s="8" t="str">
        <f>VLOOKUP($B9,'[1]Plant data'!$A$1:$AB$315,25,0)</f>
        <v>NA</v>
      </c>
      <c r="AB9" s="8" t="s">
        <v>19</v>
      </c>
    </row>
    <row r="10" spans="1:28">
      <c r="A10" s="21" t="s">
        <v>50</v>
      </c>
      <c r="B10" s="22" t="s">
        <v>170</v>
      </c>
      <c r="C10" s="55">
        <v>9</v>
      </c>
      <c r="D10" s="17">
        <v>32</v>
      </c>
      <c r="E10" s="23">
        <f>C10/32</f>
        <v>0.28125</v>
      </c>
      <c r="F10" s="55">
        <v>7</v>
      </c>
      <c r="G10" s="19">
        <v>1.2</v>
      </c>
      <c r="H10" s="23">
        <f>E10*G10</f>
        <v>0.33749999999999997</v>
      </c>
      <c r="I10" s="16" t="s">
        <v>47</v>
      </c>
      <c r="J10" s="17">
        <v>69.5</v>
      </c>
      <c r="K10" s="17">
        <v>13.253214290000001</v>
      </c>
      <c r="L10" t="str">
        <f>VLOOKUP(B10,'[1]Plant data'!$A$1:$AB$315,2,0)</f>
        <v>Myristicaceae</v>
      </c>
      <c r="M10" s="9">
        <f>VLOOKUP($B10,'[1]Plant data'!$A$1:$AB$315,6,0)</f>
        <v>10.49</v>
      </c>
      <c r="N10" s="9">
        <f>VLOOKUP($B10,'[1]Plant data'!$A$1:$AB$315,7,0)</f>
        <v>14.664000000000001</v>
      </c>
      <c r="O10" s="8">
        <f>VLOOKUP($B10,'[1]Plant data'!$A$1:$AB$315,10,0)</f>
        <v>0.75</v>
      </c>
      <c r="P10" s="8" t="str">
        <f>VLOOKUP($B10,'[1]Plant data'!$A$1:$AB$315,11,0)</f>
        <v>NA</v>
      </c>
      <c r="Q10" s="8">
        <f>VLOOKUP($B10,'[1]Plant data'!$A$1:$AB$315,12,0)</f>
        <v>0.54</v>
      </c>
      <c r="R10" s="8">
        <f>VLOOKUP($B10,'[1]Plant data'!$A$1:$AB$315,13,0)</f>
        <v>0.12</v>
      </c>
      <c r="S10" s="8">
        <f>VLOOKUP($B10,'[1]Plant data'!$A$1:$AB$315,14,0)</f>
        <v>0.36</v>
      </c>
      <c r="T10" s="11">
        <f>VLOOKUP($B10,'[1]Plant data'!$A$1:$AB$315,15,0)</f>
        <v>1</v>
      </c>
      <c r="U10" s="9">
        <f>VLOOKUP($B10,'[1]Plant data'!$A$1:$AB$315,19,0)</f>
        <v>0.40949999999999998</v>
      </c>
      <c r="V10" s="8">
        <f>VLOOKUP($B10,'[1]Plant data'!$A$1:$AB$315,20,0)</f>
        <v>0.53849999999999998</v>
      </c>
      <c r="W10" s="8">
        <f>VLOOKUP($B10,'[1]Plant data'!$A$1:$AB$315,21,0)</f>
        <v>7.0999999999999994E-2</v>
      </c>
      <c r="X10" s="8" t="str">
        <f>VLOOKUP($B10,'[1]Plant data'!$A$1:$AB$315,22,0)</f>
        <v>NA</v>
      </c>
      <c r="Y10" s="8" t="str">
        <f>VLOOKUP($B10,'[1]Plant data'!$A$1:$AB$315,23,0)</f>
        <v>NA</v>
      </c>
      <c r="Z10" s="8">
        <f>VLOOKUP($B10,'[1]Plant data'!$A$1:$AB$315,24,0)</f>
        <v>8.4000000000000005E-2</v>
      </c>
      <c r="AA10" s="8" t="str">
        <f>VLOOKUP($B10,'[1]Plant data'!$A$1:$AB$315,25,0)</f>
        <v>NA</v>
      </c>
      <c r="AB10" s="8" t="s">
        <v>19</v>
      </c>
    </row>
    <row r="11" spans="1:28">
      <c r="A11" s="5" t="s">
        <v>110</v>
      </c>
      <c r="B11" s="15" t="s">
        <v>167</v>
      </c>
      <c r="C11" s="53">
        <v>1</v>
      </c>
      <c r="D11" s="11" t="s">
        <v>19</v>
      </c>
      <c r="E11" s="8" t="s">
        <v>19</v>
      </c>
      <c r="F11" s="54" t="s">
        <v>19</v>
      </c>
      <c r="G11" s="41">
        <v>6</v>
      </c>
      <c r="H11" s="23" t="s">
        <v>19</v>
      </c>
      <c r="I11" t="s">
        <v>101</v>
      </c>
      <c r="J11" s="11">
        <v>1250</v>
      </c>
      <c r="K11" s="11">
        <v>19.114999999999998</v>
      </c>
      <c r="L11" t="str">
        <f>VLOOKUP(B11,'[1]Plant data'!$A$1:$AB$315,2,0)</f>
        <v>Myristicaceae</v>
      </c>
      <c r="M11" s="9">
        <f>VLOOKUP($B11,'[1]Plant data'!$A$1:$AB$315,6,0)</f>
        <v>15.7</v>
      </c>
      <c r="N11" s="9">
        <f>VLOOKUP($B11,'[1]Plant data'!$A$1:$AB$315,7,0)</f>
        <v>23.7</v>
      </c>
      <c r="O11" s="8">
        <f>VLOOKUP($B11,'[1]Plant data'!$A$1:$AB$315,10,0)</f>
        <v>3.5</v>
      </c>
      <c r="P11" s="8">
        <f>VLOOKUP($B11,'[1]Plant data'!$A$1:$AB$315,11,0)</f>
        <v>1.1000000000000001</v>
      </c>
      <c r="Q11" s="8" t="str">
        <f>VLOOKUP($B11,'[1]Plant data'!$A$1:$AB$315,12,0)</f>
        <v>NA</v>
      </c>
      <c r="R11" s="8" t="str">
        <f>VLOOKUP($B11,'[1]Plant data'!$A$1:$AB$315,13,0)</f>
        <v>NA</v>
      </c>
      <c r="S11" s="8" t="str">
        <f>VLOOKUP($B11,'[1]Plant data'!$A$1:$AB$315,14,0)</f>
        <v>NA</v>
      </c>
      <c r="T11" s="11">
        <f>VLOOKUP($B11,'[1]Plant data'!$A$1:$AB$315,15,0)</f>
        <v>1</v>
      </c>
      <c r="U11" s="9">
        <f>VLOOKUP($B11,'[1]Plant data'!$A$1:$AB$315,19,0)</f>
        <v>0.62680000000000002</v>
      </c>
      <c r="V11" s="8">
        <f>VLOOKUP($B11,'[1]Plant data'!$A$1:$AB$315,20,0)</f>
        <v>0.61839999999999995</v>
      </c>
      <c r="W11" s="8">
        <f>VLOOKUP($B11,'[1]Plant data'!$A$1:$AB$315,21,0)</f>
        <v>4.6050000000000001E-2</v>
      </c>
      <c r="X11" s="8" t="str">
        <f>VLOOKUP($B11,'[1]Plant data'!$A$1:$AB$315,22,0)</f>
        <v>NA</v>
      </c>
      <c r="Y11" s="8" t="str">
        <f>VLOOKUP($B11,'[1]Plant data'!$A$1:$AB$315,23,0)</f>
        <v>NA</v>
      </c>
      <c r="Z11" s="8" t="str">
        <f>VLOOKUP($B11,'[1]Plant data'!$A$1:$AB$315,24,0)</f>
        <v>NA</v>
      </c>
      <c r="AA11" s="8">
        <f>VLOOKUP($B11,'[1]Plant data'!$A$1:$AB$315,25,0)</f>
        <v>0.32119999999999999</v>
      </c>
      <c r="AB11" s="8" t="s">
        <v>19</v>
      </c>
    </row>
    <row r="12" spans="1:28">
      <c r="A12" s="5" t="s">
        <v>144</v>
      </c>
      <c r="B12" s="15" t="s">
        <v>167</v>
      </c>
      <c r="C12" s="53">
        <v>5</v>
      </c>
      <c r="D12" s="11">
        <v>750</v>
      </c>
      <c r="E12" s="8">
        <f>C12/750</f>
        <v>6.6666666666666671E-3</v>
      </c>
      <c r="F12" s="56" t="s">
        <v>19</v>
      </c>
      <c r="G12" s="41">
        <v>1</v>
      </c>
      <c r="H12" s="23">
        <f>E12*G12</f>
        <v>6.6666666666666671E-3</v>
      </c>
      <c r="I12" t="s">
        <v>94</v>
      </c>
      <c r="J12" s="11">
        <v>146</v>
      </c>
      <c r="K12" s="11">
        <v>23.6</v>
      </c>
      <c r="L12" t="str">
        <f>VLOOKUP(B12,'[1]Plant data'!$A$1:$AB$315,2,0)</f>
        <v>Myristicaceae</v>
      </c>
      <c r="M12" s="9">
        <f>VLOOKUP($B12,'[1]Plant data'!$A$1:$AB$315,6,0)</f>
        <v>15.7</v>
      </c>
      <c r="N12" s="9">
        <f>VLOOKUP($B12,'[1]Plant data'!$A$1:$AB$315,7,0)</f>
        <v>23.7</v>
      </c>
      <c r="O12" s="8">
        <f>VLOOKUP($B12,'[1]Plant data'!$A$1:$AB$315,10,0)</f>
        <v>3.5</v>
      </c>
      <c r="P12" s="8">
        <f>VLOOKUP($B12,'[1]Plant data'!$A$1:$AB$315,11,0)</f>
        <v>1.1000000000000001</v>
      </c>
      <c r="Q12" s="8" t="str">
        <f>VLOOKUP($B12,'[1]Plant data'!$A$1:$AB$315,12,0)</f>
        <v>NA</v>
      </c>
      <c r="R12" s="8" t="str">
        <f>VLOOKUP($B12,'[1]Plant data'!$A$1:$AB$315,13,0)</f>
        <v>NA</v>
      </c>
      <c r="S12" s="8" t="str">
        <f>VLOOKUP($B12,'[1]Plant data'!$A$1:$AB$315,14,0)</f>
        <v>NA</v>
      </c>
      <c r="T12" s="11">
        <f>VLOOKUP($B12,'[1]Plant data'!$A$1:$AB$315,15,0)</f>
        <v>1</v>
      </c>
      <c r="U12" s="9">
        <f>VLOOKUP($B12,'[1]Plant data'!$A$1:$AB$315,19,0)</f>
        <v>0.62680000000000002</v>
      </c>
      <c r="V12" s="8">
        <f>VLOOKUP($B12,'[1]Plant data'!$A$1:$AB$315,20,0)</f>
        <v>0.61839999999999995</v>
      </c>
      <c r="W12" s="8">
        <f>VLOOKUP($B12,'[1]Plant data'!$A$1:$AB$315,21,0)</f>
        <v>4.6050000000000001E-2</v>
      </c>
      <c r="X12" s="8" t="str">
        <f>VLOOKUP($B12,'[1]Plant data'!$A$1:$AB$315,22,0)</f>
        <v>NA</v>
      </c>
      <c r="Y12" s="8" t="str">
        <f>VLOOKUP($B12,'[1]Plant data'!$A$1:$AB$315,23,0)</f>
        <v>NA</v>
      </c>
      <c r="Z12" s="8" t="str">
        <f>VLOOKUP($B12,'[1]Plant data'!$A$1:$AB$315,24,0)</f>
        <v>NA</v>
      </c>
      <c r="AA12" s="8">
        <f>VLOOKUP($B12,'[1]Plant data'!$A$1:$AB$315,25,0)</f>
        <v>0.32119999999999999</v>
      </c>
      <c r="AB12" s="8" t="s">
        <v>19</v>
      </c>
    </row>
    <row r="13" spans="1:28">
      <c r="A13" s="5" t="s">
        <v>74</v>
      </c>
      <c r="B13" s="15" t="s">
        <v>167</v>
      </c>
      <c r="C13" s="53">
        <v>4</v>
      </c>
      <c r="D13" s="11">
        <v>750</v>
      </c>
      <c r="E13" s="8">
        <f>C13/750</f>
        <v>5.3333333333333332E-3</v>
      </c>
      <c r="F13" s="56" t="s">
        <v>19</v>
      </c>
      <c r="G13" s="9" t="s">
        <v>19</v>
      </c>
      <c r="H13" s="23" t="s">
        <v>19</v>
      </c>
      <c r="I13" t="s">
        <v>75</v>
      </c>
      <c r="J13" s="11">
        <v>200</v>
      </c>
      <c r="K13" s="11">
        <v>23.614285710000001</v>
      </c>
      <c r="L13" t="str">
        <f>VLOOKUP(B13,'[1]Plant data'!$A$1:$AB$315,2,0)</f>
        <v>Myristicaceae</v>
      </c>
      <c r="M13" s="9">
        <f>VLOOKUP($B13,'[1]Plant data'!$A$1:$AB$315,6,0)</f>
        <v>15.7</v>
      </c>
      <c r="N13" s="9">
        <f>VLOOKUP($B13,'[1]Plant data'!$A$1:$AB$315,7,0)</f>
        <v>23.7</v>
      </c>
      <c r="O13" s="8">
        <f>VLOOKUP($B13,'[1]Plant data'!$A$1:$AB$315,10,0)</f>
        <v>3.5</v>
      </c>
      <c r="P13" s="8">
        <f>VLOOKUP($B13,'[1]Plant data'!$A$1:$AB$315,11,0)</f>
        <v>1.1000000000000001</v>
      </c>
      <c r="Q13" s="8" t="str">
        <f>VLOOKUP($B13,'[1]Plant data'!$A$1:$AB$315,12,0)</f>
        <v>NA</v>
      </c>
      <c r="R13" s="8" t="str">
        <f>VLOOKUP($B13,'[1]Plant data'!$A$1:$AB$315,13,0)</f>
        <v>NA</v>
      </c>
      <c r="S13" s="8" t="str">
        <f>VLOOKUP($B13,'[1]Plant data'!$A$1:$AB$315,14,0)</f>
        <v>NA</v>
      </c>
      <c r="T13" s="11">
        <f>VLOOKUP($B13,'[1]Plant data'!$A$1:$AB$315,15,0)</f>
        <v>1</v>
      </c>
      <c r="U13" s="9">
        <f>VLOOKUP($B13,'[1]Plant data'!$A$1:$AB$315,19,0)</f>
        <v>0.62680000000000002</v>
      </c>
      <c r="V13" s="8">
        <f>VLOOKUP($B13,'[1]Plant data'!$A$1:$AB$315,20,0)</f>
        <v>0.61839999999999995</v>
      </c>
      <c r="W13" s="8">
        <f>VLOOKUP($B13,'[1]Plant data'!$A$1:$AB$315,21,0)</f>
        <v>4.6050000000000001E-2</v>
      </c>
      <c r="X13" s="8" t="str">
        <f>VLOOKUP($B13,'[1]Plant data'!$A$1:$AB$315,22,0)</f>
        <v>NA</v>
      </c>
      <c r="Y13" s="8" t="str">
        <f>VLOOKUP($B13,'[1]Plant data'!$A$1:$AB$315,23,0)</f>
        <v>NA</v>
      </c>
      <c r="Z13" s="8" t="str">
        <f>VLOOKUP($B13,'[1]Plant data'!$A$1:$AB$315,24,0)</f>
        <v>NA</v>
      </c>
      <c r="AA13" s="8">
        <f>VLOOKUP($B13,'[1]Plant data'!$A$1:$AB$315,25,0)</f>
        <v>0.32119999999999999</v>
      </c>
      <c r="AB13" s="8" t="s">
        <v>19</v>
      </c>
    </row>
    <row r="14" spans="1:28">
      <c r="A14" s="5" t="s">
        <v>90</v>
      </c>
      <c r="B14" s="6" t="s">
        <v>167</v>
      </c>
      <c r="C14" s="56">
        <v>11</v>
      </c>
      <c r="D14" s="11">
        <v>750</v>
      </c>
      <c r="E14" s="26">
        <v>1.4666667E-2</v>
      </c>
      <c r="F14" s="56" t="s">
        <v>19</v>
      </c>
      <c r="G14" s="41">
        <v>1</v>
      </c>
      <c r="H14" s="23">
        <f>E14*G14</f>
        <v>1.4666667E-2</v>
      </c>
      <c r="I14" t="s">
        <v>94</v>
      </c>
      <c r="J14" s="11">
        <v>331</v>
      </c>
      <c r="K14" s="11">
        <v>30.7</v>
      </c>
      <c r="L14" t="str">
        <f>VLOOKUP(B14,'[1]Plant data'!$A$1:$AB$315,2,0)</f>
        <v>Myristicaceae</v>
      </c>
      <c r="M14" s="9">
        <f>VLOOKUP($B14,'[1]Plant data'!$A$1:$AB$315,6,0)</f>
        <v>15.7</v>
      </c>
      <c r="N14" s="9">
        <f>VLOOKUP($B14,'[1]Plant data'!$A$1:$AB$315,7,0)</f>
        <v>23.7</v>
      </c>
      <c r="O14" s="8">
        <f>VLOOKUP($B14,'[1]Plant data'!$A$1:$AB$315,10,0)</f>
        <v>3.5</v>
      </c>
      <c r="P14" s="8">
        <f>VLOOKUP($B14,'[1]Plant data'!$A$1:$AB$315,11,0)</f>
        <v>1.1000000000000001</v>
      </c>
      <c r="Q14" s="8" t="str">
        <f>VLOOKUP($B14,'[1]Plant data'!$A$1:$AB$315,12,0)</f>
        <v>NA</v>
      </c>
      <c r="R14" s="8" t="str">
        <f>VLOOKUP($B14,'[1]Plant data'!$A$1:$AB$315,13,0)</f>
        <v>NA</v>
      </c>
      <c r="S14" s="8" t="str">
        <f>VLOOKUP($B14,'[1]Plant data'!$A$1:$AB$315,14,0)</f>
        <v>NA</v>
      </c>
      <c r="T14" s="11">
        <f>VLOOKUP($B14,'[1]Plant data'!$A$1:$AB$315,15,0)</f>
        <v>1</v>
      </c>
      <c r="U14" s="9">
        <f>VLOOKUP($B14,'[1]Plant data'!$A$1:$AB$315,19,0)</f>
        <v>0.62680000000000002</v>
      </c>
      <c r="V14" s="8">
        <f>VLOOKUP($B14,'[1]Plant data'!$A$1:$AB$315,20,0)</f>
        <v>0.61839999999999995</v>
      </c>
      <c r="W14" s="8">
        <f>VLOOKUP($B14,'[1]Plant data'!$A$1:$AB$315,21,0)</f>
        <v>4.6050000000000001E-2</v>
      </c>
      <c r="X14" s="8" t="str">
        <f>VLOOKUP($B14,'[1]Plant data'!$A$1:$AB$315,22,0)</f>
        <v>NA</v>
      </c>
      <c r="Y14" s="8" t="str">
        <f>VLOOKUP($B14,'[1]Plant data'!$A$1:$AB$315,23,0)</f>
        <v>NA</v>
      </c>
      <c r="Z14" s="8" t="str">
        <f>VLOOKUP($B14,'[1]Plant data'!$A$1:$AB$315,24,0)</f>
        <v>NA</v>
      </c>
      <c r="AA14" s="8">
        <f>VLOOKUP($B14,'[1]Plant data'!$A$1:$AB$315,25,0)</f>
        <v>0.32119999999999999</v>
      </c>
      <c r="AB14" s="8" t="s">
        <v>19</v>
      </c>
    </row>
    <row r="15" spans="1:28">
      <c r="A15" s="5" t="s">
        <v>105</v>
      </c>
      <c r="B15" s="15" t="s">
        <v>167</v>
      </c>
      <c r="C15" s="53">
        <v>3</v>
      </c>
      <c r="D15" s="11">
        <v>750</v>
      </c>
      <c r="E15" s="8">
        <f>C15/750</f>
        <v>4.0000000000000001E-3</v>
      </c>
      <c r="F15" s="56" t="s">
        <v>19</v>
      </c>
      <c r="G15" s="41">
        <v>1</v>
      </c>
      <c r="H15" s="23">
        <f>E15*G15</f>
        <v>4.0000000000000001E-3</v>
      </c>
      <c r="I15" t="s">
        <v>94</v>
      </c>
      <c r="J15" s="11">
        <v>164</v>
      </c>
      <c r="K15" s="11">
        <v>25.039000000000001</v>
      </c>
      <c r="L15" t="str">
        <f>VLOOKUP(B15,'[1]Plant data'!$A$1:$AB$315,2,0)</f>
        <v>Myristicaceae</v>
      </c>
      <c r="M15" s="9">
        <f>VLOOKUP($B15,'[1]Plant data'!$A$1:$AB$315,6,0)</f>
        <v>15.7</v>
      </c>
      <c r="N15" s="9">
        <f>VLOOKUP($B15,'[1]Plant data'!$A$1:$AB$315,7,0)</f>
        <v>23.7</v>
      </c>
      <c r="O15" s="8">
        <f>VLOOKUP($B15,'[1]Plant data'!$A$1:$AB$315,10,0)</f>
        <v>3.5</v>
      </c>
      <c r="P15" s="8">
        <f>VLOOKUP($B15,'[1]Plant data'!$A$1:$AB$315,11,0)</f>
        <v>1.1000000000000001</v>
      </c>
      <c r="Q15" s="8" t="str">
        <f>VLOOKUP($B15,'[1]Plant data'!$A$1:$AB$315,12,0)</f>
        <v>NA</v>
      </c>
      <c r="R15" s="8" t="str">
        <f>VLOOKUP($B15,'[1]Plant data'!$A$1:$AB$315,13,0)</f>
        <v>NA</v>
      </c>
      <c r="S15" s="8" t="str">
        <f>VLOOKUP($B15,'[1]Plant data'!$A$1:$AB$315,14,0)</f>
        <v>NA</v>
      </c>
      <c r="T15" s="11">
        <f>VLOOKUP($B15,'[1]Plant data'!$A$1:$AB$315,15,0)</f>
        <v>1</v>
      </c>
      <c r="U15" s="9">
        <f>VLOOKUP($B15,'[1]Plant data'!$A$1:$AB$315,19,0)</f>
        <v>0.62680000000000002</v>
      </c>
      <c r="V15" s="8">
        <f>VLOOKUP($B15,'[1]Plant data'!$A$1:$AB$315,20,0)</f>
        <v>0.61839999999999995</v>
      </c>
      <c r="W15" s="8">
        <f>VLOOKUP($B15,'[1]Plant data'!$A$1:$AB$315,21,0)</f>
        <v>4.6050000000000001E-2</v>
      </c>
      <c r="X15" s="8" t="str">
        <f>VLOOKUP($B15,'[1]Plant data'!$A$1:$AB$315,22,0)</f>
        <v>NA</v>
      </c>
      <c r="Y15" s="8" t="str">
        <f>VLOOKUP($B15,'[1]Plant data'!$A$1:$AB$315,23,0)</f>
        <v>NA</v>
      </c>
      <c r="Z15" s="8" t="str">
        <f>VLOOKUP($B15,'[1]Plant data'!$A$1:$AB$315,24,0)</f>
        <v>NA</v>
      </c>
      <c r="AA15" s="8">
        <f>VLOOKUP($B15,'[1]Plant data'!$A$1:$AB$315,25,0)</f>
        <v>0.32119999999999999</v>
      </c>
      <c r="AB15" s="8" t="s">
        <v>19</v>
      </c>
    </row>
    <row r="16" spans="1:28">
      <c r="A16" s="5" t="s">
        <v>106</v>
      </c>
      <c r="B16" s="15" t="s">
        <v>167</v>
      </c>
      <c r="C16" s="53">
        <v>4</v>
      </c>
      <c r="D16" s="11">
        <v>750</v>
      </c>
      <c r="E16" s="8">
        <f>C16/750</f>
        <v>5.3333333333333332E-3</v>
      </c>
      <c r="F16" s="56" t="s">
        <v>19</v>
      </c>
      <c r="G16" s="9" t="s">
        <v>19</v>
      </c>
      <c r="H16" s="23" t="s">
        <v>19</v>
      </c>
      <c r="I16" t="s">
        <v>75</v>
      </c>
      <c r="J16" s="11">
        <v>68.099999999999994</v>
      </c>
      <c r="K16" s="11">
        <v>16.570370369999999</v>
      </c>
      <c r="L16" t="str">
        <f>VLOOKUP(B16,'[1]Plant data'!$A$1:$AB$315,2,0)</f>
        <v>Myristicaceae</v>
      </c>
      <c r="M16" s="9">
        <f>VLOOKUP($B16,'[1]Plant data'!$A$1:$AB$315,6,0)</f>
        <v>15.7</v>
      </c>
      <c r="N16" s="9">
        <f>VLOOKUP($B16,'[1]Plant data'!$A$1:$AB$315,7,0)</f>
        <v>23.7</v>
      </c>
      <c r="O16" s="8">
        <f>VLOOKUP($B16,'[1]Plant data'!$A$1:$AB$315,10,0)</f>
        <v>3.5</v>
      </c>
      <c r="P16" s="8">
        <f>VLOOKUP($B16,'[1]Plant data'!$A$1:$AB$315,11,0)</f>
        <v>1.1000000000000001</v>
      </c>
      <c r="Q16" s="8" t="str">
        <f>VLOOKUP($B16,'[1]Plant data'!$A$1:$AB$315,12,0)</f>
        <v>NA</v>
      </c>
      <c r="R16" s="8" t="str">
        <f>VLOOKUP($B16,'[1]Plant data'!$A$1:$AB$315,13,0)</f>
        <v>NA</v>
      </c>
      <c r="S16" s="8" t="str">
        <f>VLOOKUP($B16,'[1]Plant data'!$A$1:$AB$315,14,0)</f>
        <v>NA</v>
      </c>
      <c r="T16" s="11">
        <f>VLOOKUP($B16,'[1]Plant data'!$A$1:$AB$315,15,0)</f>
        <v>1</v>
      </c>
      <c r="U16" s="9">
        <f>VLOOKUP($B16,'[1]Plant data'!$A$1:$AB$315,19,0)</f>
        <v>0.62680000000000002</v>
      </c>
      <c r="V16" s="8">
        <f>VLOOKUP($B16,'[1]Plant data'!$A$1:$AB$315,20,0)</f>
        <v>0.61839999999999995</v>
      </c>
      <c r="W16" s="8">
        <f>VLOOKUP($B16,'[1]Plant data'!$A$1:$AB$315,21,0)</f>
        <v>4.6050000000000001E-2</v>
      </c>
      <c r="X16" s="8" t="str">
        <f>VLOOKUP($B16,'[1]Plant data'!$A$1:$AB$315,22,0)</f>
        <v>NA</v>
      </c>
      <c r="Y16" s="8" t="str">
        <f>VLOOKUP($B16,'[1]Plant data'!$A$1:$AB$315,23,0)</f>
        <v>NA</v>
      </c>
      <c r="Z16" s="8" t="str">
        <f>VLOOKUP($B16,'[1]Plant data'!$A$1:$AB$315,24,0)</f>
        <v>NA</v>
      </c>
      <c r="AA16" s="8">
        <f>VLOOKUP($B16,'[1]Plant data'!$A$1:$AB$315,25,0)</f>
        <v>0.32119999999999999</v>
      </c>
      <c r="AB16" s="8" t="s">
        <v>19</v>
      </c>
    </row>
    <row r="17" spans="1:28">
      <c r="A17" s="5" t="s">
        <v>107</v>
      </c>
      <c r="B17" s="15" t="s">
        <v>167</v>
      </c>
      <c r="C17" s="53">
        <v>8</v>
      </c>
      <c r="D17" s="11">
        <v>750</v>
      </c>
      <c r="E17" s="8">
        <f>C17/750</f>
        <v>1.0666666666666666E-2</v>
      </c>
      <c r="F17" s="56" t="s">
        <v>19</v>
      </c>
      <c r="G17" s="41">
        <v>1</v>
      </c>
      <c r="H17" s="23">
        <f>E17*G17</f>
        <v>1.0666666666666666E-2</v>
      </c>
      <c r="I17" t="s">
        <v>109</v>
      </c>
      <c r="J17" s="11">
        <v>89.7</v>
      </c>
      <c r="K17" s="11">
        <v>20.489000000000001</v>
      </c>
      <c r="L17" t="str">
        <f>VLOOKUP(B17,'[1]Plant data'!$A$1:$AB$315,2,0)</f>
        <v>Myristicaceae</v>
      </c>
      <c r="M17" s="9">
        <f>VLOOKUP($B17,'[1]Plant data'!$A$1:$AB$315,6,0)</f>
        <v>15.7</v>
      </c>
      <c r="N17" s="9">
        <f>VLOOKUP($B17,'[1]Plant data'!$A$1:$AB$315,7,0)</f>
        <v>23.7</v>
      </c>
      <c r="O17" s="8">
        <f>VLOOKUP($B17,'[1]Plant data'!$A$1:$AB$315,10,0)</f>
        <v>3.5</v>
      </c>
      <c r="P17" s="8">
        <f>VLOOKUP($B17,'[1]Plant data'!$A$1:$AB$315,11,0)</f>
        <v>1.1000000000000001</v>
      </c>
      <c r="Q17" s="8" t="str">
        <f>VLOOKUP($B17,'[1]Plant data'!$A$1:$AB$315,12,0)</f>
        <v>NA</v>
      </c>
      <c r="R17" s="8" t="str">
        <f>VLOOKUP($B17,'[1]Plant data'!$A$1:$AB$315,13,0)</f>
        <v>NA</v>
      </c>
      <c r="S17" s="8" t="str">
        <f>VLOOKUP($B17,'[1]Plant data'!$A$1:$AB$315,14,0)</f>
        <v>NA</v>
      </c>
      <c r="T17" s="11">
        <f>VLOOKUP($B17,'[1]Plant data'!$A$1:$AB$315,15,0)</f>
        <v>1</v>
      </c>
      <c r="U17" s="9">
        <f>VLOOKUP($B17,'[1]Plant data'!$A$1:$AB$315,19,0)</f>
        <v>0.62680000000000002</v>
      </c>
      <c r="V17" s="8">
        <f>VLOOKUP($B17,'[1]Plant data'!$A$1:$AB$315,20,0)</f>
        <v>0.61839999999999995</v>
      </c>
      <c r="W17" s="8">
        <f>VLOOKUP($B17,'[1]Plant data'!$A$1:$AB$315,21,0)</f>
        <v>4.6050000000000001E-2</v>
      </c>
      <c r="X17" s="8" t="str">
        <f>VLOOKUP($B17,'[1]Plant data'!$A$1:$AB$315,22,0)</f>
        <v>NA</v>
      </c>
      <c r="Y17" s="8" t="str">
        <f>VLOOKUP($B17,'[1]Plant data'!$A$1:$AB$315,23,0)</f>
        <v>NA</v>
      </c>
      <c r="Z17" s="8" t="str">
        <f>VLOOKUP($B17,'[1]Plant data'!$A$1:$AB$315,24,0)</f>
        <v>NA</v>
      </c>
      <c r="AA17" s="8">
        <f>VLOOKUP($B17,'[1]Plant data'!$A$1:$AB$315,25,0)</f>
        <v>0.32119999999999999</v>
      </c>
      <c r="AB17" s="8" t="s">
        <v>19</v>
      </c>
    </row>
    <row r="18" spans="1:28">
      <c r="A18" s="5" t="s">
        <v>110</v>
      </c>
      <c r="B18" s="15" t="s">
        <v>166</v>
      </c>
      <c r="C18" s="53">
        <v>1</v>
      </c>
      <c r="D18" s="11" t="s">
        <v>19</v>
      </c>
      <c r="E18" s="8" t="s">
        <v>19</v>
      </c>
      <c r="F18" s="54" t="s">
        <v>19</v>
      </c>
      <c r="G18" s="9" t="s">
        <v>19</v>
      </c>
      <c r="H18" s="23" t="s">
        <v>19</v>
      </c>
      <c r="I18" t="s">
        <v>101</v>
      </c>
      <c r="J18" s="11">
        <v>1250</v>
      </c>
      <c r="K18" s="11">
        <v>19.114999999999998</v>
      </c>
      <c r="L18" t="str">
        <f>VLOOKUP(B18,'[1]Plant data'!$A$1:$AB$315,2,0)</f>
        <v>Myristicaceae</v>
      </c>
      <c r="M18" s="9">
        <f>VLOOKUP($B18,'[1]Plant data'!$A$1:$AB$315,6,0)</f>
        <v>26.67</v>
      </c>
      <c r="N18" s="9">
        <f>VLOOKUP($B18,'[1]Plant data'!$A$1:$AB$315,7,0)</f>
        <v>35.924999999999997</v>
      </c>
      <c r="O18" s="8">
        <f>VLOOKUP($B18,'[1]Plant data'!$A$1:$AB$315,10,0)</f>
        <v>6.3</v>
      </c>
      <c r="P18" s="8" t="str">
        <f>VLOOKUP($B18,'[1]Plant data'!$A$1:$AB$315,11,0)</f>
        <v>NA</v>
      </c>
      <c r="Q18" s="8">
        <f>VLOOKUP($B18,'[1]Plant data'!$A$1:$AB$315,12,0)</f>
        <v>5.6</v>
      </c>
      <c r="R18" s="8" t="str">
        <f>VLOOKUP($B18,'[1]Plant data'!$A$1:$AB$315,13,0)</f>
        <v>NA</v>
      </c>
      <c r="S18" s="8" t="str">
        <f>VLOOKUP($B18,'[1]Plant data'!$A$1:$AB$315,14,0)</f>
        <v>NA</v>
      </c>
      <c r="T18" s="11">
        <f>VLOOKUP($B18,'[1]Plant data'!$A$1:$AB$315,15,0)</f>
        <v>1</v>
      </c>
      <c r="U18" s="9">
        <f>VLOOKUP($B18,'[1]Plant data'!$A$1:$AB$315,19,0)</f>
        <v>0.72299999999999998</v>
      </c>
      <c r="V18" s="8">
        <f>VLOOKUP($B18,'[1]Plant data'!$A$1:$AB$315,20,0)</f>
        <v>0.88800000000000001</v>
      </c>
      <c r="W18" s="8">
        <f>VLOOKUP($B18,'[1]Plant data'!$A$1:$AB$315,21,0)</f>
        <v>4.9000000000000002E-2</v>
      </c>
      <c r="X18" s="8" t="str">
        <f>VLOOKUP($B18,'[1]Plant data'!$A$1:$AB$315,22,0)</f>
        <v>NA</v>
      </c>
      <c r="Y18" s="8" t="str">
        <f>VLOOKUP($B18,'[1]Plant data'!$A$1:$AB$315,23,0)</f>
        <v>NA</v>
      </c>
      <c r="Z18" s="8" t="str">
        <f>VLOOKUP($B18,'[1]Plant data'!$A$1:$AB$315,24,0)</f>
        <v>NA</v>
      </c>
      <c r="AA18" s="8">
        <f>VLOOKUP($B18,'[1]Plant data'!$A$1:$AB$315,25,0)</f>
        <v>5.2999999999999999E-2</v>
      </c>
      <c r="AB18" s="8" t="s">
        <v>19</v>
      </c>
    </row>
    <row r="19" spans="1:28">
      <c r="A19" s="5" t="s">
        <v>110</v>
      </c>
      <c r="B19" s="14" t="s">
        <v>278</v>
      </c>
      <c r="C19" s="53">
        <v>1</v>
      </c>
      <c r="D19" s="11">
        <v>77.3</v>
      </c>
      <c r="E19" s="8">
        <v>1.29E-2</v>
      </c>
      <c r="F19" s="54">
        <v>6</v>
      </c>
      <c r="G19" s="9">
        <f t="shared" ref="G19:G37" si="0">F19/C19</f>
        <v>6</v>
      </c>
      <c r="H19" s="23">
        <f t="shared" ref="H19:H51" si="1">E19*G19</f>
        <v>7.7399999999999997E-2</v>
      </c>
      <c r="I19" t="s">
        <v>101</v>
      </c>
      <c r="J19" s="11">
        <v>1250</v>
      </c>
      <c r="K19" s="11">
        <v>19.114999999999998</v>
      </c>
      <c r="L19" t="str">
        <f>VLOOKUP(B19,'[1]Plant data'!$A$1:$AB$315,2,0)</f>
        <v>Myristicaceae</v>
      </c>
      <c r="M19" s="9">
        <f>VLOOKUP($B19,'[1]Plant data'!$A$1:$AB$315,6,0)</f>
        <v>17.906666666666666</v>
      </c>
      <c r="N19" s="9">
        <f>VLOOKUP($B19,'[1]Plant data'!$A$1:$AB$315,7,0)</f>
        <v>29.706666666666667</v>
      </c>
      <c r="O19" s="8">
        <f>VLOOKUP($B19,'[1]Plant data'!$A$1:$AB$315,10,0)</f>
        <v>5.2576666666666663</v>
      </c>
      <c r="P19" s="8">
        <f>VLOOKUP($B19,'[1]Plant data'!$A$1:$AB$315,11,0)</f>
        <v>1.55</v>
      </c>
      <c r="Q19" s="8">
        <f>VLOOKUP($B19,'[1]Plant data'!$A$1:$AB$315,12,0)</f>
        <v>2.1990000000000003</v>
      </c>
      <c r="R19" s="8">
        <f>VLOOKUP($B19,'[1]Plant data'!$A$1:$AB$315,13,0)</f>
        <v>0.71</v>
      </c>
      <c r="S19" s="8">
        <f>VLOOKUP($B19,'[1]Plant data'!$A$1:$AB$315,14,0)</f>
        <v>1.5569999999999999</v>
      </c>
      <c r="T19" s="11">
        <f>VLOOKUP($B19,'[1]Plant data'!$A$1:$AB$315,15,0)</f>
        <v>1</v>
      </c>
      <c r="U19" s="9">
        <f>VLOOKUP($B19,'[1]Plant data'!$A$1:$AB$315,19,0)</f>
        <v>0.54189999999999994</v>
      </c>
      <c r="V19" s="8">
        <f>VLOOKUP($B19,'[1]Plant data'!$A$1:$AB$315,20,0)</f>
        <v>0.56909999999999994</v>
      </c>
      <c r="W19" s="8">
        <f>VLOOKUP($B19,'[1]Plant data'!$A$1:$AB$315,21,0)</f>
        <v>5.4851999999999998E-2</v>
      </c>
      <c r="X19" s="8">
        <f>VLOOKUP($B19,'[1]Plant data'!$A$1:$AB$315,22,0)</f>
        <v>3.2000000000000002E-3</v>
      </c>
      <c r="Y19" s="8" t="str">
        <f>VLOOKUP($B19,'[1]Plant data'!$A$1:$AB$315,23,0)</f>
        <v>NA</v>
      </c>
      <c r="Z19" s="8" t="str">
        <f>VLOOKUP($B19,'[1]Plant data'!$A$1:$AB$315,24,0)</f>
        <v>NA</v>
      </c>
      <c r="AA19" s="8" t="str">
        <f>VLOOKUP($B19,'[1]Plant data'!$A$1:$AB$315,25,0)</f>
        <v>NA</v>
      </c>
      <c r="AB19" s="8">
        <f t="shared" ref="AB19:AB25" si="2">SUMIF(X19:Y19,"&gt;0.00001")</f>
        <v>3.2000000000000002E-3</v>
      </c>
    </row>
    <row r="20" spans="1:28">
      <c r="A20" s="5" t="s">
        <v>104</v>
      </c>
      <c r="B20" s="14" t="s">
        <v>278</v>
      </c>
      <c r="C20" s="53">
        <v>1</v>
      </c>
      <c r="D20" s="11">
        <v>77.3</v>
      </c>
      <c r="E20" s="8">
        <v>1.29E-2</v>
      </c>
      <c r="F20" s="54">
        <v>1</v>
      </c>
      <c r="G20" s="9">
        <f t="shared" si="0"/>
        <v>1</v>
      </c>
      <c r="H20" s="23">
        <f t="shared" si="1"/>
        <v>1.29E-2</v>
      </c>
      <c r="I20" t="s">
        <v>94</v>
      </c>
      <c r="J20" s="11">
        <v>343.5</v>
      </c>
      <c r="K20" s="11">
        <v>30.107272729999998</v>
      </c>
      <c r="L20" t="str">
        <f>VLOOKUP(B20,'[1]Plant data'!$A$1:$AB$315,2,0)</f>
        <v>Myristicaceae</v>
      </c>
      <c r="M20" s="9">
        <f>VLOOKUP($B20,'[1]Plant data'!$A$1:$AB$315,6,0)</f>
        <v>17.906666666666666</v>
      </c>
      <c r="N20" s="9">
        <f>VLOOKUP($B20,'[1]Plant data'!$A$1:$AB$315,7,0)</f>
        <v>29.706666666666667</v>
      </c>
      <c r="O20" s="8">
        <f>VLOOKUP($B20,'[1]Plant data'!$A$1:$AB$315,10,0)</f>
        <v>5.2576666666666663</v>
      </c>
      <c r="P20" s="8">
        <f>VLOOKUP($B20,'[1]Plant data'!$A$1:$AB$315,11,0)</f>
        <v>1.55</v>
      </c>
      <c r="Q20" s="8">
        <f>VLOOKUP($B20,'[1]Plant data'!$A$1:$AB$315,12,0)</f>
        <v>2.1990000000000003</v>
      </c>
      <c r="R20" s="8">
        <f>VLOOKUP($B20,'[1]Plant data'!$A$1:$AB$315,13,0)</f>
        <v>0.71</v>
      </c>
      <c r="S20" s="8">
        <f>VLOOKUP($B20,'[1]Plant data'!$A$1:$AB$315,14,0)</f>
        <v>1.5569999999999999</v>
      </c>
      <c r="T20" s="11">
        <f>VLOOKUP($B20,'[1]Plant data'!$A$1:$AB$315,15,0)</f>
        <v>1</v>
      </c>
      <c r="U20" s="9">
        <f>VLOOKUP($B20,'[1]Plant data'!$A$1:$AB$315,19,0)</f>
        <v>0.54189999999999994</v>
      </c>
      <c r="V20" s="8">
        <f>VLOOKUP($B20,'[1]Plant data'!$A$1:$AB$315,20,0)</f>
        <v>0.56909999999999994</v>
      </c>
      <c r="W20" s="8">
        <f>VLOOKUP($B20,'[1]Plant data'!$A$1:$AB$315,21,0)</f>
        <v>5.4851999999999998E-2</v>
      </c>
      <c r="X20" s="8">
        <f>VLOOKUP($B20,'[1]Plant data'!$A$1:$AB$315,22,0)</f>
        <v>3.2000000000000002E-3</v>
      </c>
      <c r="Y20" s="8" t="str">
        <f>VLOOKUP($B20,'[1]Plant data'!$A$1:$AB$315,23,0)</f>
        <v>NA</v>
      </c>
      <c r="Z20" s="8" t="str">
        <f>VLOOKUP($B20,'[1]Plant data'!$A$1:$AB$315,24,0)</f>
        <v>NA</v>
      </c>
      <c r="AA20" s="8" t="str">
        <f>VLOOKUP($B20,'[1]Plant data'!$A$1:$AB$315,25,0)</f>
        <v>NA</v>
      </c>
      <c r="AB20" s="8">
        <f t="shared" si="2"/>
        <v>3.2000000000000002E-3</v>
      </c>
    </row>
    <row r="21" spans="1:28">
      <c r="A21" s="5" t="s">
        <v>105</v>
      </c>
      <c r="B21" s="14" t="s">
        <v>278</v>
      </c>
      <c r="C21" s="53">
        <v>6</v>
      </c>
      <c r="D21" s="11">
        <v>77.3</v>
      </c>
      <c r="E21" s="8">
        <v>7.7600000000000002E-2</v>
      </c>
      <c r="F21" s="54">
        <v>6</v>
      </c>
      <c r="G21" s="9">
        <f t="shared" si="0"/>
        <v>1</v>
      </c>
      <c r="H21" s="23">
        <f t="shared" si="1"/>
        <v>7.7600000000000002E-2</v>
      </c>
      <c r="I21" t="s">
        <v>94</v>
      </c>
      <c r="J21" s="11">
        <v>164</v>
      </c>
      <c r="K21" s="11">
        <v>25.039000000000001</v>
      </c>
      <c r="L21" t="str">
        <f>VLOOKUP(B21,'[1]Plant data'!$A$1:$AB$315,2,0)</f>
        <v>Myristicaceae</v>
      </c>
      <c r="M21" s="9">
        <f>VLOOKUP($B21,'[1]Plant data'!$A$1:$AB$315,6,0)</f>
        <v>17.906666666666666</v>
      </c>
      <c r="N21" s="9">
        <f>VLOOKUP($B21,'[1]Plant data'!$A$1:$AB$315,7,0)</f>
        <v>29.706666666666667</v>
      </c>
      <c r="O21" s="8">
        <f>VLOOKUP($B21,'[1]Plant data'!$A$1:$AB$315,10,0)</f>
        <v>5.2576666666666663</v>
      </c>
      <c r="P21" s="8">
        <f>VLOOKUP($B21,'[1]Plant data'!$A$1:$AB$315,11,0)</f>
        <v>1.55</v>
      </c>
      <c r="Q21" s="8">
        <f>VLOOKUP($B21,'[1]Plant data'!$A$1:$AB$315,12,0)</f>
        <v>2.1990000000000003</v>
      </c>
      <c r="R21" s="8">
        <f>VLOOKUP($B21,'[1]Plant data'!$A$1:$AB$315,13,0)</f>
        <v>0.71</v>
      </c>
      <c r="S21" s="8">
        <f>VLOOKUP($B21,'[1]Plant data'!$A$1:$AB$315,14,0)</f>
        <v>1.5569999999999999</v>
      </c>
      <c r="T21" s="11">
        <f>VLOOKUP($B21,'[1]Plant data'!$A$1:$AB$315,15,0)</f>
        <v>1</v>
      </c>
      <c r="U21" s="9">
        <f>VLOOKUP($B21,'[1]Plant data'!$A$1:$AB$315,19,0)</f>
        <v>0.54189999999999994</v>
      </c>
      <c r="V21" s="8">
        <f>VLOOKUP($B21,'[1]Plant data'!$A$1:$AB$315,20,0)</f>
        <v>0.56909999999999994</v>
      </c>
      <c r="W21" s="8">
        <f>VLOOKUP($B21,'[1]Plant data'!$A$1:$AB$315,21,0)</f>
        <v>5.4851999999999998E-2</v>
      </c>
      <c r="X21" s="8">
        <f>VLOOKUP($B21,'[1]Plant data'!$A$1:$AB$315,22,0)</f>
        <v>3.2000000000000002E-3</v>
      </c>
      <c r="Y21" s="8" t="str">
        <f>VLOOKUP($B21,'[1]Plant data'!$A$1:$AB$315,23,0)</f>
        <v>NA</v>
      </c>
      <c r="Z21" s="8" t="str">
        <f>VLOOKUP($B21,'[1]Plant data'!$A$1:$AB$315,24,0)</f>
        <v>NA</v>
      </c>
      <c r="AA21" s="8" t="str">
        <f>VLOOKUP($B21,'[1]Plant data'!$A$1:$AB$315,25,0)</f>
        <v>NA</v>
      </c>
      <c r="AB21" s="8">
        <f t="shared" si="2"/>
        <v>3.2000000000000002E-3</v>
      </c>
    </row>
    <row r="22" spans="1:28">
      <c r="A22" s="5" t="s">
        <v>41</v>
      </c>
      <c r="B22" s="14" t="s">
        <v>278</v>
      </c>
      <c r="C22" s="53">
        <v>2</v>
      </c>
      <c r="D22" s="11">
        <v>77.3</v>
      </c>
      <c r="E22" s="8">
        <v>2.5899999999999999E-2</v>
      </c>
      <c r="F22" s="54">
        <v>2</v>
      </c>
      <c r="G22" s="9">
        <f t="shared" si="0"/>
        <v>1</v>
      </c>
      <c r="H22" s="23">
        <f t="shared" si="1"/>
        <v>2.5899999999999999E-2</v>
      </c>
      <c r="I22" t="s">
        <v>30</v>
      </c>
      <c r="J22" s="11">
        <v>39</v>
      </c>
      <c r="K22" s="11">
        <v>8.2839869279999991</v>
      </c>
      <c r="L22" t="str">
        <f>VLOOKUP(B22,'[1]Plant data'!$A$1:$AB$315,2,0)</f>
        <v>Myristicaceae</v>
      </c>
      <c r="M22" s="9">
        <f>VLOOKUP($B22,'[1]Plant data'!$A$1:$AB$315,6,0)</f>
        <v>17.906666666666666</v>
      </c>
      <c r="N22" s="9">
        <f>VLOOKUP($B22,'[1]Plant data'!$A$1:$AB$315,7,0)</f>
        <v>29.706666666666667</v>
      </c>
      <c r="O22" s="8">
        <f>VLOOKUP($B22,'[1]Plant data'!$A$1:$AB$315,10,0)</f>
        <v>5.2576666666666663</v>
      </c>
      <c r="P22" s="8">
        <f>VLOOKUP($B22,'[1]Plant data'!$A$1:$AB$315,11,0)</f>
        <v>1.55</v>
      </c>
      <c r="Q22" s="8">
        <f>VLOOKUP($B22,'[1]Plant data'!$A$1:$AB$315,12,0)</f>
        <v>2.1990000000000003</v>
      </c>
      <c r="R22" s="8">
        <f>VLOOKUP($B22,'[1]Plant data'!$A$1:$AB$315,13,0)</f>
        <v>0.71</v>
      </c>
      <c r="S22" s="8">
        <f>VLOOKUP($B22,'[1]Plant data'!$A$1:$AB$315,14,0)</f>
        <v>1.5569999999999999</v>
      </c>
      <c r="T22" s="11">
        <f>VLOOKUP($B22,'[1]Plant data'!$A$1:$AB$315,15,0)</f>
        <v>1</v>
      </c>
      <c r="U22" s="9">
        <f>VLOOKUP($B22,'[1]Plant data'!$A$1:$AB$315,19,0)</f>
        <v>0.54189999999999994</v>
      </c>
      <c r="V22" s="8">
        <f>VLOOKUP($B22,'[1]Plant data'!$A$1:$AB$315,20,0)</f>
        <v>0.56909999999999994</v>
      </c>
      <c r="W22" s="8">
        <f>VLOOKUP($B22,'[1]Plant data'!$A$1:$AB$315,21,0)</f>
        <v>5.4851999999999998E-2</v>
      </c>
      <c r="X22" s="8">
        <f>VLOOKUP($B22,'[1]Plant data'!$A$1:$AB$315,22,0)</f>
        <v>3.2000000000000002E-3</v>
      </c>
      <c r="Y22" s="8" t="str">
        <f>VLOOKUP($B22,'[1]Plant data'!$A$1:$AB$315,23,0)</f>
        <v>NA</v>
      </c>
      <c r="Z22" s="8" t="str">
        <f>VLOOKUP($B22,'[1]Plant data'!$A$1:$AB$315,24,0)</f>
        <v>NA</v>
      </c>
      <c r="AA22" s="8" t="str">
        <f>VLOOKUP($B22,'[1]Plant data'!$A$1:$AB$315,25,0)</f>
        <v>NA</v>
      </c>
      <c r="AB22" s="8">
        <f t="shared" si="2"/>
        <v>3.2000000000000002E-3</v>
      </c>
    </row>
    <row r="23" spans="1:28">
      <c r="A23" s="5" t="s">
        <v>107</v>
      </c>
      <c r="B23" s="15" t="s">
        <v>278</v>
      </c>
      <c r="C23" s="53">
        <v>26</v>
      </c>
      <c r="D23" s="11">
        <v>77.3</v>
      </c>
      <c r="E23" s="8">
        <v>0.33639999999999998</v>
      </c>
      <c r="F23" s="54">
        <v>26</v>
      </c>
      <c r="G23" s="9">
        <f t="shared" si="0"/>
        <v>1</v>
      </c>
      <c r="H23" s="23">
        <f t="shared" si="1"/>
        <v>0.33639999999999998</v>
      </c>
      <c r="I23" t="s">
        <v>109</v>
      </c>
      <c r="J23" s="11">
        <v>89.7</v>
      </c>
      <c r="K23" s="11">
        <v>20.489000000000001</v>
      </c>
      <c r="L23" t="str">
        <f>VLOOKUP(B23,'[1]Plant data'!$A$1:$AB$315,2,0)</f>
        <v>Myristicaceae</v>
      </c>
      <c r="M23" s="9">
        <f>VLOOKUP($B23,'[1]Plant data'!$A$1:$AB$315,6,0)</f>
        <v>17.906666666666666</v>
      </c>
      <c r="N23" s="9">
        <f>VLOOKUP($B23,'[1]Plant data'!$A$1:$AB$315,7,0)</f>
        <v>29.706666666666667</v>
      </c>
      <c r="O23" s="8">
        <f>VLOOKUP($B23,'[1]Plant data'!$A$1:$AB$315,10,0)</f>
        <v>5.2576666666666663</v>
      </c>
      <c r="P23" s="8">
        <f>VLOOKUP($B23,'[1]Plant data'!$A$1:$AB$315,11,0)</f>
        <v>1.55</v>
      </c>
      <c r="Q23" s="8">
        <f>VLOOKUP($B23,'[1]Plant data'!$A$1:$AB$315,12,0)</f>
        <v>2.1990000000000003</v>
      </c>
      <c r="R23" s="8">
        <f>VLOOKUP($B23,'[1]Plant data'!$A$1:$AB$315,13,0)</f>
        <v>0.71</v>
      </c>
      <c r="S23" s="8">
        <f>VLOOKUP($B23,'[1]Plant data'!$A$1:$AB$315,14,0)</f>
        <v>1.5569999999999999</v>
      </c>
      <c r="T23" s="11">
        <f>VLOOKUP($B23,'[1]Plant data'!$A$1:$AB$315,15,0)</f>
        <v>1</v>
      </c>
      <c r="U23" s="9">
        <f>VLOOKUP($B23,'[1]Plant data'!$A$1:$AB$315,19,0)</f>
        <v>0.54189999999999994</v>
      </c>
      <c r="V23" s="8">
        <f>VLOOKUP($B23,'[1]Plant data'!$A$1:$AB$315,20,0)</f>
        <v>0.56909999999999994</v>
      </c>
      <c r="W23" s="8">
        <f>VLOOKUP($B23,'[1]Plant data'!$A$1:$AB$315,21,0)</f>
        <v>5.4851999999999998E-2</v>
      </c>
      <c r="X23" s="8">
        <f>VLOOKUP($B23,'[1]Plant data'!$A$1:$AB$315,22,0)</f>
        <v>3.2000000000000002E-3</v>
      </c>
      <c r="Y23" s="8" t="str">
        <f>VLOOKUP($B23,'[1]Plant data'!$A$1:$AB$315,23,0)</f>
        <v>NA</v>
      </c>
      <c r="Z23" s="8" t="str">
        <f>VLOOKUP($B23,'[1]Plant data'!$A$1:$AB$315,24,0)</f>
        <v>NA</v>
      </c>
      <c r="AA23" s="8" t="str">
        <f>VLOOKUP($B23,'[1]Plant data'!$A$1:$AB$315,25,0)</f>
        <v>NA</v>
      </c>
      <c r="AB23" s="8">
        <f t="shared" si="2"/>
        <v>3.2000000000000002E-3</v>
      </c>
    </row>
    <row r="24" spans="1:28">
      <c r="A24" s="5" t="s">
        <v>46</v>
      </c>
      <c r="B24" s="6" t="s">
        <v>278</v>
      </c>
      <c r="C24" s="53">
        <v>3</v>
      </c>
      <c r="D24" s="11">
        <v>77.3</v>
      </c>
      <c r="E24" s="8">
        <v>3.8800000000000001E-2</v>
      </c>
      <c r="F24" s="54">
        <v>5</v>
      </c>
      <c r="G24" s="9">
        <f t="shared" si="0"/>
        <v>1.6666666666666667</v>
      </c>
      <c r="H24" s="23">
        <f t="shared" si="1"/>
        <v>6.4666666666666678E-2</v>
      </c>
      <c r="I24" t="s">
        <v>47</v>
      </c>
      <c r="J24" s="11">
        <v>54</v>
      </c>
      <c r="K24" s="11">
        <v>11.14875</v>
      </c>
      <c r="L24" t="str">
        <f>VLOOKUP(B24,'[1]Plant data'!$A$1:$AB$315,2,0)</f>
        <v>Myristicaceae</v>
      </c>
      <c r="M24" s="9">
        <f>VLOOKUP($B24,'[1]Plant data'!$A$1:$AB$315,6,0)</f>
        <v>17.906666666666666</v>
      </c>
      <c r="N24" s="9">
        <f>VLOOKUP($B24,'[1]Plant data'!$A$1:$AB$315,7,0)</f>
        <v>29.706666666666667</v>
      </c>
      <c r="O24" s="8">
        <f>VLOOKUP($B24,'[1]Plant data'!$A$1:$AB$315,10,0)</f>
        <v>5.2576666666666663</v>
      </c>
      <c r="P24" s="8">
        <f>VLOOKUP($B24,'[1]Plant data'!$A$1:$AB$315,11,0)</f>
        <v>1.55</v>
      </c>
      <c r="Q24" s="8">
        <f>VLOOKUP($B24,'[1]Plant data'!$A$1:$AB$315,12,0)</f>
        <v>2.1990000000000003</v>
      </c>
      <c r="R24" s="8">
        <f>VLOOKUP($B24,'[1]Plant data'!$A$1:$AB$315,13,0)</f>
        <v>0.71</v>
      </c>
      <c r="S24" s="8">
        <f>VLOOKUP($B24,'[1]Plant data'!$A$1:$AB$315,14,0)</f>
        <v>1.5569999999999999</v>
      </c>
      <c r="T24" s="11">
        <f>VLOOKUP($B24,'[1]Plant data'!$A$1:$AB$315,15,0)</f>
        <v>1</v>
      </c>
      <c r="U24" s="9">
        <f>VLOOKUP($B24,'[1]Plant data'!$A$1:$AB$315,19,0)</f>
        <v>0.54189999999999994</v>
      </c>
      <c r="V24" s="8">
        <f>VLOOKUP($B24,'[1]Plant data'!$A$1:$AB$315,20,0)</f>
        <v>0.56909999999999994</v>
      </c>
      <c r="W24" s="8">
        <f>VLOOKUP($B24,'[1]Plant data'!$A$1:$AB$315,21,0)</f>
        <v>5.4851999999999998E-2</v>
      </c>
      <c r="X24" s="8">
        <f>VLOOKUP($B24,'[1]Plant data'!$A$1:$AB$315,22,0)</f>
        <v>3.2000000000000002E-3</v>
      </c>
      <c r="Y24" s="8" t="str">
        <f>VLOOKUP($B24,'[1]Plant data'!$A$1:$AB$315,23,0)</f>
        <v>NA</v>
      </c>
      <c r="Z24" s="8" t="str">
        <f>VLOOKUP($B24,'[1]Plant data'!$A$1:$AB$315,24,0)</f>
        <v>NA</v>
      </c>
      <c r="AA24" s="8" t="str">
        <f>VLOOKUP($B24,'[1]Plant data'!$A$1:$AB$315,25,0)</f>
        <v>NA</v>
      </c>
      <c r="AB24" s="8">
        <f t="shared" si="2"/>
        <v>3.2000000000000002E-3</v>
      </c>
    </row>
    <row r="25" spans="1:28">
      <c r="A25" s="5" t="s">
        <v>50</v>
      </c>
      <c r="B25" s="14" t="s">
        <v>278</v>
      </c>
      <c r="C25" s="53">
        <v>2</v>
      </c>
      <c r="D25" s="11">
        <v>77.3</v>
      </c>
      <c r="E25" s="8">
        <v>2.5899999999999999E-2</v>
      </c>
      <c r="F25" s="54">
        <v>2</v>
      </c>
      <c r="G25" s="9">
        <f t="shared" si="0"/>
        <v>1</v>
      </c>
      <c r="H25" s="23">
        <f t="shared" si="1"/>
        <v>2.5899999999999999E-2</v>
      </c>
      <c r="I25" t="s">
        <v>47</v>
      </c>
      <c r="J25" s="11">
        <v>69.5</v>
      </c>
      <c r="K25" s="11">
        <v>13.253214290000001</v>
      </c>
      <c r="L25" t="str">
        <f>VLOOKUP(B25,'[1]Plant data'!$A$1:$AB$315,2,0)</f>
        <v>Myristicaceae</v>
      </c>
      <c r="M25" s="9">
        <f>VLOOKUP($B25,'[1]Plant data'!$A$1:$AB$315,6,0)</f>
        <v>17.906666666666666</v>
      </c>
      <c r="N25" s="9">
        <f>VLOOKUP($B25,'[1]Plant data'!$A$1:$AB$315,7,0)</f>
        <v>29.706666666666667</v>
      </c>
      <c r="O25" s="8">
        <f>VLOOKUP($B25,'[1]Plant data'!$A$1:$AB$315,10,0)</f>
        <v>5.2576666666666663</v>
      </c>
      <c r="P25" s="8">
        <f>VLOOKUP($B25,'[1]Plant data'!$A$1:$AB$315,11,0)</f>
        <v>1.55</v>
      </c>
      <c r="Q25" s="8">
        <f>VLOOKUP($B25,'[1]Plant data'!$A$1:$AB$315,12,0)</f>
        <v>2.1990000000000003</v>
      </c>
      <c r="R25" s="8">
        <f>VLOOKUP($B25,'[1]Plant data'!$A$1:$AB$315,13,0)</f>
        <v>0.71</v>
      </c>
      <c r="S25" s="8">
        <f>VLOOKUP($B25,'[1]Plant data'!$A$1:$AB$315,14,0)</f>
        <v>1.5569999999999999</v>
      </c>
      <c r="T25" s="11">
        <f>VLOOKUP($B25,'[1]Plant data'!$A$1:$AB$315,15,0)</f>
        <v>1</v>
      </c>
      <c r="U25" s="9">
        <f>VLOOKUP($B25,'[1]Plant data'!$A$1:$AB$315,19,0)</f>
        <v>0.54189999999999994</v>
      </c>
      <c r="V25" s="8">
        <f>VLOOKUP($B25,'[1]Plant data'!$A$1:$AB$315,20,0)</f>
        <v>0.56909999999999994</v>
      </c>
      <c r="W25" s="8">
        <f>VLOOKUP($B25,'[1]Plant data'!$A$1:$AB$315,21,0)</f>
        <v>5.4851999999999998E-2</v>
      </c>
      <c r="X25" s="8">
        <f>VLOOKUP($B25,'[1]Plant data'!$A$1:$AB$315,22,0)</f>
        <v>3.2000000000000002E-3</v>
      </c>
      <c r="Y25" s="8" t="str">
        <f>VLOOKUP($B25,'[1]Plant data'!$A$1:$AB$315,23,0)</f>
        <v>NA</v>
      </c>
      <c r="Z25" s="8" t="str">
        <f>VLOOKUP($B25,'[1]Plant data'!$A$1:$AB$315,24,0)</f>
        <v>NA</v>
      </c>
      <c r="AA25" s="8" t="str">
        <f>VLOOKUP($B25,'[1]Plant data'!$A$1:$AB$315,25,0)</f>
        <v>NA</v>
      </c>
      <c r="AB25" s="8">
        <f t="shared" si="2"/>
        <v>3.2000000000000002E-3</v>
      </c>
    </row>
    <row r="26" spans="1:28">
      <c r="A26" s="5" t="s">
        <v>28</v>
      </c>
      <c r="B26" s="15" t="s">
        <v>86</v>
      </c>
      <c r="C26" s="53">
        <v>3</v>
      </c>
      <c r="D26" s="58">
        <v>30</v>
      </c>
      <c r="E26" s="8">
        <f>C26/D26</f>
        <v>0.1</v>
      </c>
      <c r="F26" s="54">
        <v>3</v>
      </c>
      <c r="G26" s="9">
        <f t="shared" si="0"/>
        <v>1</v>
      </c>
      <c r="H26" s="23">
        <f t="shared" si="1"/>
        <v>0.1</v>
      </c>
      <c r="I26" t="s">
        <v>30</v>
      </c>
      <c r="J26" s="11">
        <v>18</v>
      </c>
      <c r="K26" s="11">
        <v>7.4188405800000004</v>
      </c>
      <c r="L26" t="str">
        <f>VLOOKUP(B26,'[1]Plant data'!$A$1:$AB$315,2,0)</f>
        <v>Meliaceae</v>
      </c>
      <c r="M26" s="9">
        <f>VLOOKUP($B26,'[1]Plant data'!$A$1:$AB$315,6,0)</f>
        <v>7.7</v>
      </c>
      <c r="N26" s="9">
        <f>VLOOKUP($B26,'[1]Plant data'!$A$1:$AB$315,7,0)</f>
        <v>9.5500000000000007</v>
      </c>
      <c r="O26" s="8">
        <f>VLOOKUP($B26,'[1]Plant data'!$A$1:$AB$315,10,0)</f>
        <v>0.5</v>
      </c>
      <c r="P26" s="8" t="str">
        <f>VLOOKUP($B26,'[1]Plant data'!$A$1:$AB$315,11,0)</f>
        <v>NA</v>
      </c>
      <c r="Q26" s="8" t="str">
        <f>VLOOKUP($B26,'[1]Plant data'!$A$1:$AB$315,12,0)</f>
        <v>NA</v>
      </c>
      <c r="R26" s="8" t="str">
        <f>VLOOKUP($B26,'[1]Plant data'!$A$1:$AB$315,13,0)</f>
        <v>NA</v>
      </c>
      <c r="S26" s="8" t="str">
        <f>VLOOKUP($B26,'[1]Plant data'!$A$1:$AB$315,14,0)</f>
        <v>NA</v>
      </c>
      <c r="T26" s="11" t="str">
        <f>VLOOKUP($B26,'[1]Plant data'!$A$1:$AB$315,15,0)</f>
        <v>NA</v>
      </c>
      <c r="U26" s="9" t="str">
        <f>VLOOKUP($B26,'[1]Plant data'!$A$1:$AB$315,19,0)</f>
        <v>NA</v>
      </c>
      <c r="V26" s="8" t="str">
        <f>VLOOKUP($B26,'[1]Plant data'!$A$1:$AB$315,20,0)</f>
        <v>NA</v>
      </c>
      <c r="W26" s="8" t="str">
        <f>VLOOKUP($B26,'[1]Plant data'!$A$1:$AB$315,21,0)</f>
        <v>NA</v>
      </c>
      <c r="X26" s="8" t="str">
        <f>VLOOKUP($B26,'[1]Plant data'!$A$1:$AB$315,22,0)</f>
        <v>NA</v>
      </c>
      <c r="Y26" s="8" t="str">
        <f>VLOOKUP($B26,'[1]Plant data'!$A$1:$AB$315,23,0)</f>
        <v>NA</v>
      </c>
      <c r="Z26" s="8" t="str">
        <f>VLOOKUP($B26,'[1]Plant data'!$A$1:$AB$315,24,0)</f>
        <v>NA</v>
      </c>
      <c r="AA26" s="8" t="str">
        <f>VLOOKUP($B26,'[1]Plant data'!$A$1:$AB$315,25,0)</f>
        <v>NA</v>
      </c>
      <c r="AB26" s="8" t="s">
        <v>19</v>
      </c>
    </row>
    <row r="27" spans="1:28">
      <c r="A27" s="18" t="s">
        <v>28</v>
      </c>
      <c r="B27" s="15" t="s">
        <v>86</v>
      </c>
      <c r="C27" s="53">
        <v>2</v>
      </c>
      <c r="D27" s="11">
        <v>90.5</v>
      </c>
      <c r="E27" s="8">
        <f>C27/D27</f>
        <v>2.2099447513812154E-2</v>
      </c>
      <c r="F27" s="54">
        <v>5</v>
      </c>
      <c r="G27" s="9">
        <f t="shared" si="0"/>
        <v>2.5</v>
      </c>
      <c r="H27" s="23">
        <f t="shared" si="1"/>
        <v>5.5248618784530384E-2</v>
      </c>
      <c r="I27" t="s">
        <v>30</v>
      </c>
      <c r="J27" s="11">
        <v>18</v>
      </c>
      <c r="K27" s="11">
        <v>7.4188405800000004</v>
      </c>
      <c r="L27" t="str">
        <f>VLOOKUP(B27,'[1]Plant data'!$A$1:$AB$315,2,0)</f>
        <v>Meliaceae</v>
      </c>
      <c r="M27" s="9">
        <f>VLOOKUP($B27,'[1]Plant data'!$A$1:$AB$315,6,0)</f>
        <v>7.7</v>
      </c>
      <c r="N27" s="9">
        <f>VLOOKUP($B27,'[1]Plant data'!$A$1:$AB$315,7,0)</f>
        <v>9.5500000000000007</v>
      </c>
      <c r="O27" s="8">
        <f>VLOOKUP($B27,'[1]Plant data'!$A$1:$AB$315,10,0)</f>
        <v>0.5</v>
      </c>
      <c r="P27" s="8" t="str">
        <f>VLOOKUP($B27,'[1]Plant data'!$A$1:$AB$315,11,0)</f>
        <v>NA</v>
      </c>
      <c r="Q27" s="8" t="str">
        <f>VLOOKUP($B27,'[1]Plant data'!$A$1:$AB$315,12,0)</f>
        <v>NA</v>
      </c>
      <c r="R27" s="8" t="str">
        <f>VLOOKUP($B27,'[1]Plant data'!$A$1:$AB$315,13,0)</f>
        <v>NA</v>
      </c>
      <c r="S27" s="8" t="str">
        <f>VLOOKUP($B27,'[1]Plant data'!$A$1:$AB$315,14,0)</f>
        <v>NA</v>
      </c>
      <c r="T27" s="11" t="str">
        <f>VLOOKUP($B27,'[1]Plant data'!$A$1:$AB$315,15,0)</f>
        <v>NA</v>
      </c>
      <c r="U27" s="9" t="str">
        <f>VLOOKUP($B27,'[1]Plant data'!$A$1:$AB$315,19,0)</f>
        <v>NA</v>
      </c>
      <c r="V27" s="8" t="str">
        <f>VLOOKUP($B27,'[1]Plant data'!$A$1:$AB$315,20,0)</f>
        <v>NA</v>
      </c>
      <c r="W27" s="8" t="str">
        <f>VLOOKUP($B27,'[1]Plant data'!$A$1:$AB$315,21,0)</f>
        <v>NA</v>
      </c>
      <c r="X27" s="8" t="str">
        <f>VLOOKUP($B27,'[1]Plant data'!$A$1:$AB$315,22,0)</f>
        <v>NA</v>
      </c>
      <c r="Y27" s="8" t="str">
        <f>VLOOKUP($B27,'[1]Plant data'!$A$1:$AB$315,23,0)</f>
        <v>NA</v>
      </c>
      <c r="Z27" s="8" t="str">
        <f>VLOOKUP($B27,'[1]Plant data'!$A$1:$AB$315,24,0)</f>
        <v>NA</v>
      </c>
      <c r="AA27" s="8" t="str">
        <f>VLOOKUP($B27,'[1]Plant data'!$A$1:$AB$315,25,0)</f>
        <v>NA</v>
      </c>
      <c r="AB27" s="8" t="s">
        <v>19</v>
      </c>
    </row>
    <row r="28" spans="1:28">
      <c r="A28" s="5" t="s">
        <v>43</v>
      </c>
      <c r="B28" s="14" t="s">
        <v>86</v>
      </c>
      <c r="C28" s="53">
        <v>21</v>
      </c>
      <c r="D28" s="58">
        <v>90.5</v>
      </c>
      <c r="E28" s="8">
        <f>C28/D28</f>
        <v>0.23204419889502761</v>
      </c>
      <c r="F28" s="54">
        <v>88</v>
      </c>
      <c r="G28" s="9">
        <f t="shared" si="0"/>
        <v>4.1904761904761907</v>
      </c>
      <c r="H28" s="23">
        <f t="shared" si="1"/>
        <v>0.97237569060773477</v>
      </c>
      <c r="I28" t="s">
        <v>30</v>
      </c>
      <c r="J28" s="11">
        <v>32.5</v>
      </c>
      <c r="K28" s="11">
        <v>8.9205555560000001</v>
      </c>
      <c r="L28" t="str">
        <f>VLOOKUP(B28,'[1]Plant data'!$A$1:$AB$315,2,0)</f>
        <v>Meliaceae</v>
      </c>
      <c r="M28" s="9">
        <f>VLOOKUP($B28,'[1]Plant data'!$A$1:$AB$315,6,0)</f>
        <v>7.7</v>
      </c>
      <c r="N28" s="9">
        <f>VLOOKUP($B28,'[1]Plant data'!$A$1:$AB$315,7,0)</f>
        <v>9.5500000000000007</v>
      </c>
      <c r="O28" s="8">
        <f>VLOOKUP($B28,'[1]Plant data'!$A$1:$AB$315,10,0)</f>
        <v>0.5</v>
      </c>
      <c r="P28" s="8" t="str">
        <f>VLOOKUP($B28,'[1]Plant data'!$A$1:$AB$315,11,0)</f>
        <v>NA</v>
      </c>
      <c r="Q28" s="8" t="str">
        <f>VLOOKUP($B28,'[1]Plant data'!$A$1:$AB$315,12,0)</f>
        <v>NA</v>
      </c>
      <c r="R28" s="8" t="str">
        <f>VLOOKUP($B28,'[1]Plant data'!$A$1:$AB$315,13,0)</f>
        <v>NA</v>
      </c>
      <c r="S28" s="8" t="str">
        <f>VLOOKUP($B28,'[1]Plant data'!$A$1:$AB$315,14,0)</f>
        <v>NA</v>
      </c>
      <c r="T28" s="11" t="str">
        <f>VLOOKUP($B28,'[1]Plant data'!$A$1:$AB$315,15,0)</f>
        <v>NA</v>
      </c>
      <c r="U28" s="9" t="str">
        <f>VLOOKUP($B28,'[1]Plant data'!$A$1:$AB$315,19,0)</f>
        <v>NA</v>
      </c>
      <c r="V28" s="8" t="str">
        <f>VLOOKUP($B28,'[1]Plant data'!$A$1:$AB$315,20,0)</f>
        <v>NA</v>
      </c>
      <c r="W28" s="8" t="str">
        <f>VLOOKUP($B28,'[1]Plant data'!$A$1:$AB$315,21,0)</f>
        <v>NA</v>
      </c>
      <c r="X28" s="8" t="str">
        <f>VLOOKUP($B28,'[1]Plant data'!$A$1:$AB$315,22,0)</f>
        <v>NA</v>
      </c>
      <c r="Y28" s="8" t="str">
        <f>VLOOKUP($B28,'[1]Plant data'!$A$1:$AB$315,23,0)</f>
        <v>NA</v>
      </c>
      <c r="Z28" s="8" t="str">
        <f>VLOOKUP($B28,'[1]Plant data'!$A$1:$AB$315,24,0)</f>
        <v>NA</v>
      </c>
      <c r="AA28" s="8" t="str">
        <f>VLOOKUP($B28,'[1]Plant data'!$A$1:$AB$315,25,0)</f>
        <v>NA</v>
      </c>
      <c r="AB28" s="8" t="s">
        <v>19</v>
      </c>
    </row>
    <row r="29" spans="1:28">
      <c r="A29" s="5" t="s">
        <v>43</v>
      </c>
      <c r="B29" s="14" t="s">
        <v>86</v>
      </c>
      <c r="C29" s="53">
        <v>5</v>
      </c>
      <c r="D29" s="58">
        <v>30</v>
      </c>
      <c r="E29" s="8">
        <f>C29/30</f>
        <v>0.16666666666666666</v>
      </c>
      <c r="F29" s="54">
        <v>7</v>
      </c>
      <c r="G29" s="9">
        <f t="shared" si="0"/>
        <v>1.4</v>
      </c>
      <c r="H29" s="23">
        <f t="shared" si="1"/>
        <v>0.23333333333333331</v>
      </c>
      <c r="I29" t="s">
        <v>30</v>
      </c>
      <c r="J29" s="11">
        <v>32.5</v>
      </c>
      <c r="K29" s="11">
        <v>8.9205555560000001</v>
      </c>
      <c r="L29" t="str">
        <f>VLOOKUP(B29,'[1]Plant data'!$A$1:$AB$315,2,0)</f>
        <v>Meliaceae</v>
      </c>
      <c r="M29" s="9">
        <f>VLOOKUP($B29,'[1]Plant data'!$A$1:$AB$315,6,0)</f>
        <v>7.7</v>
      </c>
      <c r="N29" s="9">
        <f>VLOOKUP($B29,'[1]Plant data'!$A$1:$AB$315,7,0)</f>
        <v>9.5500000000000007</v>
      </c>
      <c r="O29" s="8">
        <f>VLOOKUP($B29,'[1]Plant data'!$A$1:$AB$315,10,0)</f>
        <v>0.5</v>
      </c>
      <c r="P29" s="8" t="str">
        <f>VLOOKUP($B29,'[1]Plant data'!$A$1:$AB$315,11,0)</f>
        <v>NA</v>
      </c>
      <c r="Q29" s="8" t="str">
        <f>VLOOKUP($B29,'[1]Plant data'!$A$1:$AB$315,12,0)</f>
        <v>NA</v>
      </c>
      <c r="R29" s="8" t="str">
        <f>VLOOKUP($B29,'[1]Plant data'!$A$1:$AB$315,13,0)</f>
        <v>NA</v>
      </c>
      <c r="S29" s="8" t="str">
        <f>VLOOKUP($B29,'[1]Plant data'!$A$1:$AB$315,14,0)</f>
        <v>NA</v>
      </c>
      <c r="T29" s="11" t="str">
        <f>VLOOKUP($B29,'[1]Plant data'!$A$1:$AB$315,15,0)</f>
        <v>NA</v>
      </c>
      <c r="U29" s="9" t="str">
        <f>VLOOKUP($B29,'[1]Plant data'!$A$1:$AB$315,19,0)</f>
        <v>NA</v>
      </c>
      <c r="V29" s="8" t="str">
        <f>VLOOKUP($B29,'[1]Plant data'!$A$1:$AB$315,20,0)</f>
        <v>NA</v>
      </c>
      <c r="W29" s="8" t="str">
        <f>VLOOKUP($B29,'[1]Plant data'!$A$1:$AB$315,21,0)</f>
        <v>NA</v>
      </c>
      <c r="X29" s="8" t="str">
        <f>VLOOKUP($B29,'[1]Plant data'!$A$1:$AB$315,22,0)</f>
        <v>NA</v>
      </c>
      <c r="Y29" s="8" t="str">
        <f>VLOOKUP($B29,'[1]Plant data'!$A$1:$AB$315,23,0)</f>
        <v>NA</v>
      </c>
      <c r="Z29" s="8" t="str">
        <f>VLOOKUP($B29,'[1]Plant data'!$A$1:$AB$315,24,0)</f>
        <v>NA</v>
      </c>
      <c r="AA29" s="8" t="str">
        <f>VLOOKUP($B29,'[1]Plant data'!$A$1:$AB$315,25,0)</f>
        <v>NA</v>
      </c>
      <c r="AB29" s="8" t="s">
        <v>19</v>
      </c>
    </row>
    <row r="30" spans="1:28">
      <c r="A30" s="5" t="s">
        <v>124</v>
      </c>
      <c r="B30" s="6" t="s">
        <v>86</v>
      </c>
      <c r="C30" s="56">
        <v>1</v>
      </c>
      <c r="D30" s="58">
        <v>90.5</v>
      </c>
      <c r="E30" s="8">
        <f>C30/D30</f>
        <v>1.1049723756906077E-2</v>
      </c>
      <c r="F30" s="56">
        <v>2</v>
      </c>
      <c r="G30" s="27">
        <f t="shared" si="0"/>
        <v>2</v>
      </c>
      <c r="H30" s="23">
        <f t="shared" si="1"/>
        <v>2.2099447513812154E-2</v>
      </c>
      <c r="I30" t="s">
        <v>109</v>
      </c>
      <c r="J30" s="11">
        <v>73.3</v>
      </c>
      <c r="K30" s="11">
        <v>17.52380952</v>
      </c>
      <c r="L30" t="str">
        <f>VLOOKUP(B30,'[1]Plant data'!$A$1:$AB$315,2,0)</f>
        <v>Meliaceae</v>
      </c>
      <c r="M30" s="9">
        <f>VLOOKUP($B30,'[1]Plant data'!$A$1:$AB$315,6,0)</f>
        <v>7.7</v>
      </c>
      <c r="N30" s="9">
        <f>VLOOKUP($B30,'[1]Plant data'!$A$1:$AB$315,7,0)</f>
        <v>9.5500000000000007</v>
      </c>
      <c r="O30" s="8">
        <f>VLOOKUP($B30,'[1]Plant data'!$A$1:$AB$315,10,0)</f>
        <v>0.5</v>
      </c>
      <c r="P30" s="8" t="str">
        <f>VLOOKUP($B30,'[1]Plant data'!$A$1:$AB$315,11,0)</f>
        <v>NA</v>
      </c>
      <c r="Q30" s="8" t="str">
        <f>VLOOKUP($B30,'[1]Plant data'!$A$1:$AB$315,12,0)</f>
        <v>NA</v>
      </c>
      <c r="R30" s="8" t="str">
        <f>VLOOKUP($B30,'[1]Plant data'!$A$1:$AB$315,13,0)</f>
        <v>NA</v>
      </c>
      <c r="S30" s="8" t="str">
        <f>VLOOKUP($B30,'[1]Plant data'!$A$1:$AB$315,14,0)</f>
        <v>NA</v>
      </c>
      <c r="T30" s="11" t="str">
        <f>VLOOKUP($B30,'[1]Plant data'!$A$1:$AB$315,15,0)</f>
        <v>NA</v>
      </c>
      <c r="U30" s="9" t="str">
        <f>VLOOKUP($B30,'[1]Plant data'!$A$1:$AB$315,19,0)</f>
        <v>NA</v>
      </c>
      <c r="V30" s="8" t="str">
        <f>VLOOKUP($B30,'[1]Plant data'!$A$1:$AB$315,20,0)</f>
        <v>NA</v>
      </c>
      <c r="W30" s="8" t="str">
        <f>VLOOKUP($B30,'[1]Plant data'!$A$1:$AB$315,21,0)</f>
        <v>NA</v>
      </c>
      <c r="X30" s="8" t="str">
        <f>VLOOKUP($B30,'[1]Plant data'!$A$1:$AB$315,22,0)</f>
        <v>NA</v>
      </c>
      <c r="Y30" s="8" t="str">
        <f>VLOOKUP($B30,'[1]Plant data'!$A$1:$AB$315,23,0)</f>
        <v>NA</v>
      </c>
      <c r="Z30" s="8" t="str">
        <f>VLOOKUP($B30,'[1]Plant data'!$A$1:$AB$315,24,0)</f>
        <v>NA</v>
      </c>
      <c r="AA30" s="8" t="str">
        <f>VLOOKUP($B30,'[1]Plant data'!$A$1:$AB$315,25,0)</f>
        <v>NA</v>
      </c>
      <c r="AB30" s="8" t="s">
        <v>19</v>
      </c>
    </row>
    <row r="31" spans="1:28">
      <c r="A31" s="18" t="s">
        <v>65</v>
      </c>
      <c r="B31" s="15" t="s">
        <v>168</v>
      </c>
      <c r="C31" s="53">
        <v>1</v>
      </c>
      <c r="D31" s="11">
        <v>91.4</v>
      </c>
      <c r="E31" s="8">
        <f>C31/D31</f>
        <v>1.0940919037199124E-2</v>
      </c>
      <c r="F31" s="54">
        <v>3</v>
      </c>
      <c r="G31" s="9">
        <f t="shared" si="0"/>
        <v>3</v>
      </c>
      <c r="H31" s="23">
        <f t="shared" si="1"/>
        <v>3.2822757111597371E-2</v>
      </c>
      <c r="I31" t="s">
        <v>23</v>
      </c>
      <c r="J31" s="11">
        <v>11</v>
      </c>
      <c r="K31" s="11">
        <v>6.1466666669999999</v>
      </c>
      <c r="L31" t="str">
        <f>VLOOKUP(B31,'[1]Plant data'!$A$1:$AB$315,2,0)</f>
        <v>Meliaceae</v>
      </c>
      <c r="M31" s="9">
        <f>VLOOKUP($B31,'[1]Plant data'!$A$1:$AB$315,6,0)</f>
        <v>7.2</v>
      </c>
      <c r="N31" s="9">
        <f>VLOOKUP($B31,'[1]Plant data'!$A$1:$AB$315,7,0)</f>
        <v>14.1</v>
      </c>
      <c r="O31" s="8" t="str">
        <f>VLOOKUP($B31,'[1]Plant data'!$A$1:$AB$315,10,0)</f>
        <v>NA</v>
      </c>
      <c r="P31" s="8" t="str">
        <f>VLOOKUP($B31,'[1]Plant data'!$A$1:$AB$315,11,0)</f>
        <v>NA</v>
      </c>
      <c r="Q31" s="8" t="str">
        <f>VLOOKUP($B31,'[1]Plant data'!$A$1:$AB$315,12,0)</f>
        <v>NA</v>
      </c>
      <c r="R31" s="8" t="str">
        <f>VLOOKUP($B31,'[1]Plant data'!$A$1:$AB$315,13,0)</f>
        <v>NA</v>
      </c>
      <c r="S31" s="8">
        <f>VLOOKUP($B31,'[1]Plant data'!$A$1:$AB$315,14,0)</f>
        <v>2</v>
      </c>
      <c r="T31" s="11" t="str">
        <f>VLOOKUP($B31,'[1]Plant data'!$A$1:$AB$315,15,0)</f>
        <v>NA</v>
      </c>
      <c r="U31" s="9" t="str">
        <f>VLOOKUP($B31,'[1]Plant data'!$A$1:$AB$315,19,0)</f>
        <v>NA</v>
      </c>
      <c r="V31" s="8" t="str">
        <f>VLOOKUP($B31,'[1]Plant data'!$A$1:$AB$315,20,0)</f>
        <v>NA</v>
      </c>
      <c r="W31" s="8" t="str">
        <f>VLOOKUP($B31,'[1]Plant data'!$A$1:$AB$315,21,0)</f>
        <v>NA</v>
      </c>
      <c r="X31" s="8" t="str">
        <f>VLOOKUP($B31,'[1]Plant data'!$A$1:$AB$315,22,0)</f>
        <v>NA</v>
      </c>
      <c r="Y31" s="8" t="str">
        <f>VLOOKUP($B31,'[1]Plant data'!$A$1:$AB$315,23,0)</f>
        <v>NA</v>
      </c>
      <c r="Z31" s="8" t="str">
        <f>VLOOKUP($B31,'[1]Plant data'!$A$1:$AB$315,24,0)</f>
        <v>NA</v>
      </c>
      <c r="AA31" s="8" t="str">
        <f>VLOOKUP($B31,'[1]Plant data'!$A$1:$AB$315,25,0)</f>
        <v>NA</v>
      </c>
      <c r="AB31" s="8" t="s">
        <v>19</v>
      </c>
    </row>
    <row r="32" spans="1:28">
      <c r="A32" s="18" t="s">
        <v>28</v>
      </c>
      <c r="B32" s="15" t="s">
        <v>168</v>
      </c>
      <c r="C32" s="53">
        <v>3</v>
      </c>
      <c r="D32" s="11">
        <v>91.4</v>
      </c>
      <c r="E32" s="8">
        <f>C32/D32</f>
        <v>3.2822757111597371E-2</v>
      </c>
      <c r="F32" s="54">
        <v>3</v>
      </c>
      <c r="G32" s="9">
        <f t="shared" si="0"/>
        <v>1</v>
      </c>
      <c r="H32" s="23">
        <f t="shared" si="1"/>
        <v>3.2822757111597371E-2</v>
      </c>
      <c r="I32" t="s">
        <v>30</v>
      </c>
      <c r="J32" s="11">
        <v>18</v>
      </c>
      <c r="K32" s="11">
        <v>7.4188405800000004</v>
      </c>
      <c r="L32" t="str">
        <f>VLOOKUP(B32,'[1]Plant data'!$A$1:$AB$315,2,0)</f>
        <v>Meliaceae</v>
      </c>
      <c r="M32" s="9">
        <f>VLOOKUP($B32,'[1]Plant data'!$A$1:$AB$315,6,0)</f>
        <v>7.2</v>
      </c>
      <c r="N32" s="9">
        <f>VLOOKUP($B32,'[1]Plant data'!$A$1:$AB$315,7,0)</f>
        <v>14.1</v>
      </c>
      <c r="O32" s="8" t="str">
        <f>VLOOKUP($B32,'[1]Plant data'!$A$1:$AB$315,10,0)</f>
        <v>NA</v>
      </c>
      <c r="P32" s="8" t="str">
        <f>VLOOKUP($B32,'[1]Plant data'!$A$1:$AB$315,11,0)</f>
        <v>NA</v>
      </c>
      <c r="Q32" s="8" t="str">
        <f>VLOOKUP($B32,'[1]Plant data'!$A$1:$AB$315,12,0)</f>
        <v>NA</v>
      </c>
      <c r="R32" s="8" t="str">
        <f>VLOOKUP($B32,'[1]Plant data'!$A$1:$AB$315,13,0)</f>
        <v>NA</v>
      </c>
      <c r="S32" s="8">
        <f>VLOOKUP($B32,'[1]Plant data'!$A$1:$AB$315,14,0)</f>
        <v>2</v>
      </c>
      <c r="T32" s="11" t="str">
        <f>VLOOKUP($B32,'[1]Plant data'!$A$1:$AB$315,15,0)</f>
        <v>NA</v>
      </c>
      <c r="U32" s="9" t="str">
        <f>VLOOKUP($B32,'[1]Plant data'!$A$1:$AB$315,19,0)</f>
        <v>NA</v>
      </c>
      <c r="V32" s="8" t="str">
        <f>VLOOKUP($B32,'[1]Plant data'!$A$1:$AB$315,20,0)</f>
        <v>NA</v>
      </c>
      <c r="W32" s="8" t="str">
        <f>VLOOKUP($B32,'[1]Plant data'!$A$1:$AB$315,21,0)</f>
        <v>NA</v>
      </c>
      <c r="X32" s="8" t="str">
        <f>VLOOKUP($B32,'[1]Plant data'!$A$1:$AB$315,22,0)</f>
        <v>NA</v>
      </c>
      <c r="Y32" s="8" t="str">
        <f>VLOOKUP($B32,'[1]Plant data'!$A$1:$AB$315,23,0)</f>
        <v>NA</v>
      </c>
      <c r="Z32" s="8" t="str">
        <f>VLOOKUP($B32,'[1]Plant data'!$A$1:$AB$315,24,0)</f>
        <v>NA</v>
      </c>
      <c r="AA32" s="8" t="str">
        <f>VLOOKUP($B32,'[1]Plant data'!$A$1:$AB$315,25,0)</f>
        <v>NA</v>
      </c>
      <c r="AB32" s="8" t="s">
        <v>19</v>
      </c>
    </row>
    <row r="33" spans="1:28">
      <c r="A33" s="5" t="s">
        <v>106</v>
      </c>
      <c r="B33" s="14" t="s">
        <v>168</v>
      </c>
      <c r="C33" s="53">
        <v>3</v>
      </c>
      <c r="D33" s="58">
        <v>91.4</v>
      </c>
      <c r="E33" s="8">
        <f>C33/D33</f>
        <v>3.2822757111597371E-2</v>
      </c>
      <c r="F33" s="54">
        <v>4</v>
      </c>
      <c r="G33" s="9">
        <f t="shared" si="0"/>
        <v>1.3333333333333333</v>
      </c>
      <c r="H33" s="23">
        <f t="shared" si="1"/>
        <v>4.376367614879649E-2</v>
      </c>
      <c r="I33" t="s">
        <v>75</v>
      </c>
      <c r="J33" s="11">
        <v>68.099999999999994</v>
      </c>
      <c r="K33" s="11">
        <v>16.570370369999999</v>
      </c>
      <c r="L33" t="str">
        <f>VLOOKUP(B33,'[1]Plant data'!$A$1:$AB$315,2,0)</f>
        <v>Meliaceae</v>
      </c>
      <c r="M33" s="9">
        <f>VLOOKUP($B33,'[1]Plant data'!$A$1:$AB$315,6,0)</f>
        <v>7.2</v>
      </c>
      <c r="N33" s="9">
        <f>VLOOKUP($B33,'[1]Plant data'!$A$1:$AB$315,7,0)</f>
        <v>14.1</v>
      </c>
      <c r="O33" s="8" t="str">
        <f>VLOOKUP($B33,'[1]Plant data'!$A$1:$AB$315,10,0)</f>
        <v>NA</v>
      </c>
      <c r="P33" s="8" t="str">
        <f>VLOOKUP($B33,'[1]Plant data'!$A$1:$AB$315,11,0)</f>
        <v>NA</v>
      </c>
      <c r="Q33" s="8" t="str">
        <f>VLOOKUP($B33,'[1]Plant data'!$A$1:$AB$315,12,0)</f>
        <v>NA</v>
      </c>
      <c r="R33" s="8" t="str">
        <f>VLOOKUP($B33,'[1]Plant data'!$A$1:$AB$315,13,0)</f>
        <v>NA</v>
      </c>
      <c r="S33" s="8">
        <f>VLOOKUP($B33,'[1]Plant data'!$A$1:$AB$315,14,0)</f>
        <v>2</v>
      </c>
      <c r="T33" s="11" t="str">
        <f>VLOOKUP($B33,'[1]Plant data'!$A$1:$AB$315,15,0)</f>
        <v>NA</v>
      </c>
      <c r="U33" s="9" t="str">
        <f>VLOOKUP($B33,'[1]Plant data'!$A$1:$AB$315,19,0)</f>
        <v>NA</v>
      </c>
      <c r="V33" s="8" t="str">
        <f>VLOOKUP($B33,'[1]Plant data'!$A$1:$AB$315,20,0)</f>
        <v>NA</v>
      </c>
      <c r="W33" s="8" t="str">
        <f>VLOOKUP($B33,'[1]Plant data'!$A$1:$AB$315,21,0)</f>
        <v>NA</v>
      </c>
      <c r="X33" s="8" t="str">
        <f>VLOOKUP($B33,'[1]Plant data'!$A$1:$AB$315,22,0)</f>
        <v>NA</v>
      </c>
      <c r="Y33" s="8" t="str">
        <f>VLOOKUP($B33,'[1]Plant data'!$A$1:$AB$315,23,0)</f>
        <v>NA</v>
      </c>
      <c r="Z33" s="8" t="str">
        <f>VLOOKUP($B33,'[1]Plant data'!$A$1:$AB$315,24,0)</f>
        <v>NA</v>
      </c>
      <c r="AA33" s="8" t="str">
        <f>VLOOKUP($B33,'[1]Plant data'!$A$1:$AB$315,25,0)</f>
        <v>NA</v>
      </c>
      <c r="AB33" s="8" t="s">
        <v>19</v>
      </c>
    </row>
    <row r="34" spans="1:28">
      <c r="A34" s="5" t="s">
        <v>50</v>
      </c>
      <c r="B34" s="14" t="s">
        <v>168</v>
      </c>
      <c r="C34" s="53">
        <v>6</v>
      </c>
      <c r="D34" s="58">
        <v>91.4</v>
      </c>
      <c r="E34" s="8">
        <f>C34/D34</f>
        <v>6.5645514223194742E-2</v>
      </c>
      <c r="F34" s="54">
        <v>11</v>
      </c>
      <c r="G34" s="9">
        <f t="shared" si="0"/>
        <v>1.8333333333333333</v>
      </c>
      <c r="H34" s="23">
        <f t="shared" si="1"/>
        <v>0.12035010940919036</v>
      </c>
      <c r="I34" t="s">
        <v>47</v>
      </c>
      <c r="J34" s="11">
        <v>69.5</v>
      </c>
      <c r="K34" s="11">
        <v>13.253214290000001</v>
      </c>
      <c r="L34" t="str">
        <f>VLOOKUP(B34,'[1]Plant data'!$A$1:$AB$315,2,0)</f>
        <v>Meliaceae</v>
      </c>
      <c r="M34" s="9">
        <f>VLOOKUP($B34,'[1]Plant data'!$A$1:$AB$315,6,0)</f>
        <v>7.2</v>
      </c>
      <c r="N34" s="9">
        <f>VLOOKUP($B34,'[1]Plant data'!$A$1:$AB$315,7,0)</f>
        <v>14.1</v>
      </c>
      <c r="O34" s="8" t="str">
        <f>VLOOKUP($B34,'[1]Plant data'!$A$1:$AB$315,10,0)</f>
        <v>NA</v>
      </c>
      <c r="P34" s="8" t="str">
        <f>VLOOKUP($B34,'[1]Plant data'!$A$1:$AB$315,11,0)</f>
        <v>NA</v>
      </c>
      <c r="Q34" s="8" t="str">
        <f>VLOOKUP($B34,'[1]Plant data'!$A$1:$AB$315,12,0)</f>
        <v>NA</v>
      </c>
      <c r="R34" s="8" t="str">
        <f>VLOOKUP($B34,'[1]Plant data'!$A$1:$AB$315,13,0)</f>
        <v>NA</v>
      </c>
      <c r="S34" s="8">
        <f>VLOOKUP($B34,'[1]Plant data'!$A$1:$AB$315,14,0)</f>
        <v>2</v>
      </c>
      <c r="T34" s="11" t="str">
        <f>VLOOKUP($B34,'[1]Plant data'!$A$1:$AB$315,15,0)</f>
        <v>NA</v>
      </c>
      <c r="U34" s="9" t="str">
        <f>VLOOKUP($B34,'[1]Plant data'!$A$1:$AB$315,19,0)</f>
        <v>NA</v>
      </c>
      <c r="V34" s="8" t="str">
        <f>VLOOKUP($B34,'[1]Plant data'!$A$1:$AB$315,20,0)</f>
        <v>NA</v>
      </c>
      <c r="W34" s="8" t="str">
        <f>VLOOKUP($B34,'[1]Plant data'!$A$1:$AB$315,21,0)</f>
        <v>NA</v>
      </c>
      <c r="X34" s="8" t="str">
        <f>VLOOKUP($B34,'[1]Plant data'!$A$1:$AB$315,22,0)</f>
        <v>NA</v>
      </c>
      <c r="Y34" s="8" t="str">
        <f>VLOOKUP($B34,'[1]Plant data'!$A$1:$AB$315,23,0)</f>
        <v>NA</v>
      </c>
      <c r="Z34" s="8" t="str">
        <f>VLOOKUP($B34,'[1]Plant data'!$A$1:$AB$315,24,0)</f>
        <v>NA</v>
      </c>
      <c r="AA34" s="8" t="str">
        <f>VLOOKUP($B34,'[1]Plant data'!$A$1:$AB$315,25,0)</f>
        <v>NA</v>
      </c>
      <c r="AB34" s="8" t="s">
        <v>19</v>
      </c>
    </row>
    <row r="35" spans="1:28">
      <c r="A35" s="5" t="s">
        <v>28</v>
      </c>
      <c r="B35" s="14" t="s">
        <v>85</v>
      </c>
      <c r="C35" s="53">
        <v>9</v>
      </c>
      <c r="D35" s="58">
        <v>23</v>
      </c>
      <c r="E35" s="8">
        <f>C35/10</f>
        <v>0.9</v>
      </c>
      <c r="F35" s="54">
        <v>39</v>
      </c>
      <c r="G35" s="9">
        <f t="shared" si="0"/>
        <v>4.333333333333333</v>
      </c>
      <c r="H35" s="23">
        <f t="shared" si="1"/>
        <v>3.9</v>
      </c>
      <c r="I35" t="s">
        <v>30</v>
      </c>
      <c r="J35" s="11">
        <v>18</v>
      </c>
      <c r="K35" s="11">
        <v>7.4188405800000004</v>
      </c>
      <c r="L35" t="str">
        <f>VLOOKUP(B35,'[1]Plant data'!$A$1:$AB$315,2,0)</f>
        <v>Cannabaceae</v>
      </c>
      <c r="M35" s="9">
        <f>VLOOKUP($B35,'[1]Plant data'!$A$1:$AB$315,6,0)</f>
        <v>2.9199999999999995</v>
      </c>
      <c r="N35" s="9">
        <f>VLOOKUP($B35,'[1]Plant data'!$A$1:$AB$315,7,0)</f>
        <v>3.2375000000000003</v>
      </c>
      <c r="O35" s="8">
        <f>VLOOKUP($B35,'[1]Plant data'!$A$1:$AB$315,10,0)</f>
        <v>9.75E-3</v>
      </c>
      <c r="P35" s="8" t="str">
        <f>VLOOKUP($B35,'[1]Plant data'!$A$1:$AB$315,11,0)</f>
        <v>NA</v>
      </c>
      <c r="Q35" s="8">
        <f>VLOOKUP($B35,'[1]Plant data'!$A$1:$AB$315,12,0)</f>
        <v>4.0000000000000001E-3</v>
      </c>
      <c r="R35" s="8">
        <f>VLOOKUP($B35,'[1]Plant data'!$A$1:$AB$315,13,0)</f>
        <v>5.749999999999999E-3</v>
      </c>
      <c r="S35" s="8" t="str">
        <f>VLOOKUP($B35,'[1]Plant data'!$A$1:$AB$315,14,0)</f>
        <v>NA</v>
      </c>
      <c r="T35" s="11">
        <f>VLOOKUP($B35,'[1]Plant data'!$A$1:$AB$315,15,0)</f>
        <v>1</v>
      </c>
      <c r="U35" s="9" t="str">
        <f>VLOOKUP($B35,'[1]Plant data'!$A$1:$AB$315,19,0)</f>
        <v>NA</v>
      </c>
      <c r="V35" s="8">
        <f>VLOOKUP($B35,'[1]Plant data'!$A$1:$AB$315,20,0)</f>
        <v>0.48760568793234976</v>
      </c>
      <c r="W35" s="8">
        <f>VLOOKUP($B35,'[1]Plant data'!$A$1:$AB$315,21,0)</f>
        <v>0.107406</v>
      </c>
      <c r="X35" s="8">
        <f>VLOOKUP($B35,'[1]Plant data'!$A$1:$AB$315,22,0)</f>
        <v>1.2626597282962414E-3</v>
      </c>
      <c r="Y35" s="8">
        <f>VLOOKUP($B35,'[1]Plant data'!$A$1:$AB$315,23,0)</f>
        <v>2.0982975076643082E-2</v>
      </c>
      <c r="Z35" s="8" t="str">
        <f>VLOOKUP($B35,'[1]Plant data'!$A$1:$AB$315,24,0)</f>
        <v>NA</v>
      </c>
      <c r="AA35" s="8" t="str">
        <f>VLOOKUP($B35,'[1]Plant data'!$A$1:$AB$315,25,0)</f>
        <v>NA</v>
      </c>
      <c r="AB35" s="8">
        <f t="shared" ref="AB35:AB49" si="3">SUMIF(X35:Y35,"&gt;0.00001")</f>
        <v>2.2245634804939324E-2</v>
      </c>
    </row>
    <row r="36" spans="1:28">
      <c r="A36" s="5" t="s">
        <v>32</v>
      </c>
      <c r="B36" s="14" t="s">
        <v>85</v>
      </c>
      <c r="C36" s="53">
        <v>4</v>
      </c>
      <c r="D36" s="11">
        <v>13</v>
      </c>
      <c r="E36" s="8">
        <f>C36/D36</f>
        <v>0.30769230769230771</v>
      </c>
      <c r="F36" s="54">
        <v>19</v>
      </c>
      <c r="G36" s="9">
        <f t="shared" si="0"/>
        <v>4.75</v>
      </c>
      <c r="H36" s="23">
        <f t="shared" si="1"/>
        <v>1.4615384615384617</v>
      </c>
      <c r="I36" t="s">
        <v>30</v>
      </c>
      <c r="J36" s="11">
        <v>18</v>
      </c>
      <c r="K36" s="11">
        <v>5.1684999999999999</v>
      </c>
      <c r="L36" t="str">
        <f>VLOOKUP(B36,'[1]Plant data'!$A$1:$AB$315,2,0)</f>
        <v>Cannabaceae</v>
      </c>
      <c r="M36" s="9">
        <f>VLOOKUP($B36,'[1]Plant data'!$A$1:$AB$315,6,0)</f>
        <v>2.9199999999999995</v>
      </c>
      <c r="N36" s="9">
        <f>VLOOKUP($B36,'[1]Plant data'!$A$1:$AB$315,7,0)</f>
        <v>3.2375000000000003</v>
      </c>
      <c r="O36" s="8">
        <f>VLOOKUP($B36,'[1]Plant data'!$A$1:$AB$315,10,0)</f>
        <v>9.75E-3</v>
      </c>
      <c r="P36" s="8" t="str">
        <f>VLOOKUP($B36,'[1]Plant data'!$A$1:$AB$315,11,0)</f>
        <v>NA</v>
      </c>
      <c r="Q36" s="8">
        <f>VLOOKUP($B36,'[1]Plant data'!$A$1:$AB$315,12,0)</f>
        <v>4.0000000000000001E-3</v>
      </c>
      <c r="R36" s="8">
        <f>VLOOKUP($B36,'[1]Plant data'!$A$1:$AB$315,13,0)</f>
        <v>5.749999999999999E-3</v>
      </c>
      <c r="S36" s="8" t="str">
        <f>VLOOKUP($B36,'[1]Plant data'!$A$1:$AB$315,14,0)</f>
        <v>NA</v>
      </c>
      <c r="T36" s="11">
        <f>VLOOKUP($B36,'[1]Plant data'!$A$1:$AB$315,15,0)</f>
        <v>1</v>
      </c>
      <c r="U36" s="9" t="str">
        <f>VLOOKUP($B36,'[1]Plant data'!$A$1:$AB$315,19,0)</f>
        <v>NA</v>
      </c>
      <c r="V36" s="8">
        <f>VLOOKUP($B36,'[1]Plant data'!$A$1:$AB$315,20,0)</f>
        <v>0.48760568793234976</v>
      </c>
      <c r="W36" s="8">
        <f>VLOOKUP($B36,'[1]Plant data'!$A$1:$AB$315,21,0)</f>
        <v>0.107406</v>
      </c>
      <c r="X36" s="8">
        <f>VLOOKUP($B36,'[1]Plant data'!$A$1:$AB$315,22,0)</f>
        <v>1.2626597282962414E-3</v>
      </c>
      <c r="Y36" s="8">
        <f>VLOOKUP($B36,'[1]Plant data'!$A$1:$AB$315,23,0)</f>
        <v>2.0982975076643082E-2</v>
      </c>
      <c r="Z36" s="8" t="str">
        <f>VLOOKUP($B36,'[1]Plant data'!$A$1:$AB$315,24,0)</f>
        <v>NA</v>
      </c>
      <c r="AA36" s="8" t="str">
        <f>VLOOKUP($B36,'[1]Plant data'!$A$1:$AB$315,25,0)</f>
        <v>NA</v>
      </c>
      <c r="AB36" s="8">
        <f t="shared" si="3"/>
        <v>2.2245634804939324E-2</v>
      </c>
    </row>
    <row r="37" spans="1:28">
      <c r="A37" s="5" t="s">
        <v>41</v>
      </c>
      <c r="B37" s="14" t="s">
        <v>85</v>
      </c>
      <c r="C37" s="53">
        <v>3</v>
      </c>
      <c r="D37" s="11">
        <v>13</v>
      </c>
      <c r="E37" s="8">
        <f>C37/13</f>
        <v>0.23076923076923078</v>
      </c>
      <c r="F37" s="54">
        <v>33</v>
      </c>
      <c r="G37" s="9">
        <f t="shared" si="0"/>
        <v>11</v>
      </c>
      <c r="H37" s="23">
        <f t="shared" si="1"/>
        <v>2.5384615384615388</v>
      </c>
      <c r="I37" t="s">
        <v>30</v>
      </c>
      <c r="J37" s="11">
        <v>39</v>
      </c>
      <c r="K37" s="11">
        <v>8.2839869279999991</v>
      </c>
      <c r="L37" t="str">
        <f>VLOOKUP(B37,'[1]Plant data'!$A$1:$AB$315,2,0)</f>
        <v>Cannabaceae</v>
      </c>
      <c r="M37" s="9">
        <f>VLOOKUP($B37,'[1]Plant data'!$A$1:$AB$315,6,0)</f>
        <v>2.9199999999999995</v>
      </c>
      <c r="N37" s="9">
        <f>VLOOKUP($B37,'[1]Plant data'!$A$1:$AB$315,7,0)</f>
        <v>3.2375000000000003</v>
      </c>
      <c r="O37" s="8">
        <f>VLOOKUP($B37,'[1]Plant data'!$A$1:$AB$315,10,0)</f>
        <v>9.75E-3</v>
      </c>
      <c r="P37" s="8" t="str">
        <f>VLOOKUP($B37,'[1]Plant data'!$A$1:$AB$315,11,0)</f>
        <v>NA</v>
      </c>
      <c r="Q37" s="8">
        <f>VLOOKUP($B37,'[1]Plant data'!$A$1:$AB$315,12,0)</f>
        <v>4.0000000000000001E-3</v>
      </c>
      <c r="R37" s="8">
        <f>VLOOKUP($B37,'[1]Plant data'!$A$1:$AB$315,13,0)</f>
        <v>5.749999999999999E-3</v>
      </c>
      <c r="S37" s="8" t="str">
        <f>VLOOKUP($B37,'[1]Plant data'!$A$1:$AB$315,14,0)</f>
        <v>NA</v>
      </c>
      <c r="T37" s="11">
        <f>VLOOKUP($B37,'[1]Plant data'!$A$1:$AB$315,15,0)</f>
        <v>1</v>
      </c>
      <c r="U37" s="9" t="str">
        <f>VLOOKUP($B37,'[1]Plant data'!$A$1:$AB$315,19,0)</f>
        <v>NA</v>
      </c>
      <c r="V37" s="8">
        <f>VLOOKUP($B37,'[1]Plant data'!$A$1:$AB$315,20,0)</f>
        <v>0.48760568793234976</v>
      </c>
      <c r="W37" s="8">
        <f>VLOOKUP($B37,'[1]Plant data'!$A$1:$AB$315,21,0)</f>
        <v>0.107406</v>
      </c>
      <c r="X37" s="8">
        <f>VLOOKUP($B37,'[1]Plant data'!$A$1:$AB$315,22,0)</f>
        <v>1.2626597282962414E-3</v>
      </c>
      <c r="Y37" s="8">
        <f>VLOOKUP($B37,'[1]Plant data'!$A$1:$AB$315,23,0)</f>
        <v>2.0982975076643082E-2</v>
      </c>
      <c r="Z37" s="8" t="str">
        <f>VLOOKUP($B37,'[1]Plant data'!$A$1:$AB$315,24,0)</f>
        <v>NA</v>
      </c>
      <c r="AA37" s="8" t="str">
        <f>VLOOKUP($B37,'[1]Plant data'!$A$1:$AB$315,25,0)</f>
        <v>NA</v>
      </c>
      <c r="AB37" s="8">
        <f t="shared" si="3"/>
        <v>2.2245634804939324E-2</v>
      </c>
    </row>
    <row r="38" spans="1:28">
      <c r="A38" s="5" t="s">
        <v>41</v>
      </c>
      <c r="B38" s="14" t="s">
        <v>85</v>
      </c>
      <c r="C38" s="53">
        <v>1</v>
      </c>
      <c r="D38" s="17">
        <v>10</v>
      </c>
      <c r="E38" s="8">
        <f>C38/10</f>
        <v>0.1</v>
      </c>
      <c r="F38" s="54">
        <v>1</v>
      </c>
      <c r="G38" s="9">
        <v>1</v>
      </c>
      <c r="H38" s="23">
        <f t="shared" si="1"/>
        <v>0.1</v>
      </c>
      <c r="I38" t="s">
        <v>30</v>
      </c>
      <c r="J38" s="11">
        <v>39</v>
      </c>
      <c r="K38" s="11">
        <v>8.2839869279999991</v>
      </c>
      <c r="L38" t="str">
        <f>VLOOKUP(B38,'[1]Plant data'!$A$1:$AB$315,2,0)</f>
        <v>Cannabaceae</v>
      </c>
      <c r="M38" s="9">
        <f>VLOOKUP($B38,'[1]Plant data'!$A$1:$AB$315,6,0)</f>
        <v>2.9199999999999995</v>
      </c>
      <c r="N38" s="9">
        <f>VLOOKUP($B38,'[1]Plant data'!$A$1:$AB$315,7,0)</f>
        <v>3.2375000000000003</v>
      </c>
      <c r="O38" s="8">
        <f>VLOOKUP($B38,'[1]Plant data'!$A$1:$AB$315,10,0)</f>
        <v>9.75E-3</v>
      </c>
      <c r="P38" s="8" t="str">
        <f>VLOOKUP($B38,'[1]Plant data'!$A$1:$AB$315,11,0)</f>
        <v>NA</v>
      </c>
      <c r="Q38" s="8">
        <f>VLOOKUP($B38,'[1]Plant data'!$A$1:$AB$315,12,0)</f>
        <v>4.0000000000000001E-3</v>
      </c>
      <c r="R38" s="8">
        <f>VLOOKUP($B38,'[1]Plant data'!$A$1:$AB$315,13,0)</f>
        <v>5.749999999999999E-3</v>
      </c>
      <c r="S38" s="8" t="str">
        <f>VLOOKUP($B38,'[1]Plant data'!$A$1:$AB$315,14,0)</f>
        <v>NA</v>
      </c>
      <c r="T38" s="11">
        <f>VLOOKUP($B38,'[1]Plant data'!$A$1:$AB$315,15,0)</f>
        <v>1</v>
      </c>
      <c r="U38" s="9" t="str">
        <f>VLOOKUP($B38,'[1]Plant data'!$A$1:$AB$315,19,0)</f>
        <v>NA</v>
      </c>
      <c r="V38" s="8">
        <f>VLOOKUP($B38,'[1]Plant data'!$A$1:$AB$315,20,0)</f>
        <v>0.48760568793234976</v>
      </c>
      <c r="W38" s="8">
        <f>VLOOKUP($B38,'[1]Plant data'!$A$1:$AB$315,21,0)</f>
        <v>0.107406</v>
      </c>
      <c r="X38" s="8">
        <f>VLOOKUP($B38,'[1]Plant data'!$A$1:$AB$315,22,0)</f>
        <v>1.2626597282962414E-3</v>
      </c>
      <c r="Y38" s="8">
        <f>VLOOKUP($B38,'[1]Plant data'!$A$1:$AB$315,23,0)</f>
        <v>2.0982975076643082E-2</v>
      </c>
      <c r="Z38" s="8" t="str">
        <f>VLOOKUP($B38,'[1]Plant data'!$A$1:$AB$315,24,0)</f>
        <v>NA</v>
      </c>
      <c r="AA38" s="8" t="str">
        <f>VLOOKUP($B38,'[1]Plant data'!$A$1:$AB$315,25,0)</f>
        <v>NA</v>
      </c>
      <c r="AB38" s="8">
        <f t="shared" si="3"/>
        <v>2.2245634804939324E-2</v>
      </c>
    </row>
    <row r="39" spans="1:28">
      <c r="A39" s="5" t="s">
        <v>43</v>
      </c>
      <c r="B39" s="14" t="s">
        <v>85</v>
      </c>
      <c r="C39" s="53">
        <v>9</v>
      </c>
      <c r="D39" s="11">
        <v>13</v>
      </c>
      <c r="E39" s="8">
        <f>C39/13</f>
        <v>0.69230769230769229</v>
      </c>
      <c r="F39" s="54">
        <v>94</v>
      </c>
      <c r="G39" s="9">
        <f>F39/C39</f>
        <v>10.444444444444445</v>
      </c>
      <c r="H39" s="23">
        <f t="shared" si="1"/>
        <v>7.2307692307692308</v>
      </c>
      <c r="I39" t="s">
        <v>30</v>
      </c>
      <c r="J39" s="11">
        <v>32.5</v>
      </c>
      <c r="K39" s="11">
        <v>8.9205555560000001</v>
      </c>
      <c r="L39" t="str">
        <f>VLOOKUP(B39,'[1]Plant data'!$A$1:$AB$315,2,0)</f>
        <v>Cannabaceae</v>
      </c>
      <c r="M39" s="9">
        <f>VLOOKUP($B39,'[1]Plant data'!$A$1:$AB$315,6,0)</f>
        <v>2.9199999999999995</v>
      </c>
      <c r="N39" s="9">
        <f>VLOOKUP($B39,'[1]Plant data'!$A$1:$AB$315,7,0)</f>
        <v>3.2375000000000003</v>
      </c>
      <c r="O39" s="8">
        <f>VLOOKUP($B39,'[1]Plant data'!$A$1:$AB$315,10,0)</f>
        <v>9.75E-3</v>
      </c>
      <c r="P39" s="8" t="str">
        <f>VLOOKUP($B39,'[1]Plant data'!$A$1:$AB$315,11,0)</f>
        <v>NA</v>
      </c>
      <c r="Q39" s="8">
        <f>VLOOKUP($B39,'[1]Plant data'!$A$1:$AB$315,12,0)</f>
        <v>4.0000000000000001E-3</v>
      </c>
      <c r="R39" s="8">
        <f>VLOOKUP($B39,'[1]Plant data'!$A$1:$AB$315,13,0)</f>
        <v>5.749999999999999E-3</v>
      </c>
      <c r="S39" s="8" t="str">
        <f>VLOOKUP($B39,'[1]Plant data'!$A$1:$AB$315,14,0)</f>
        <v>NA</v>
      </c>
      <c r="T39" s="11">
        <f>VLOOKUP($B39,'[1]Plant data'!$A$1:$AB$315,15,0)</f>
        <v>1</v>
      </c>
      <c r="U39" s="9" t="str">
        <f>VLOOKUP($B39,'[1]Plant data'!$A$1:$AB$315,19,0)</f>
        <v>NA</v>
      </c>
      <c r="V39" s="8">
        <f>VLOOKUP($B39,'[1]Plant data'!$A$1:$AB$315,20,0)</f>
        <v>0.48760568793234976</v>
      </c>
      <c r="W39" s="8">
        <f>VLOOKUP($B39,'[1]Plant data'!$A$1:$AB$315,21,0)</f>
        <v>0.107406</v>
      </c>
      <c r="X39" s="8">
        <f>VLOOKUP($B39,'[1]Plant data'!$A$1:$AB$315,22,0)</f>
        <v>1.2626597282962414E-3</v>
      </c>
      <c r="Y39" s="8">
        <f>VLOOKUP($B39,'[1]Plant data'!$A$1:$AB$315,23,0)</f>
        <v>2.0982975076643082E-2</v>
      </c>
      <c r="Z39" s="8" t="str">
        <f>VLOOKUP($B39,'[1]Plant data'!$A$1:$AB$315,24,0)</f>
        <v>NA</v>
      </c>
      <c r="AA39" s="8" t="str">
        <f>VLOOKUP($B39,'[1]Plant data'!$A$1:$AB$315,25,0)</f>
        <v>NA</v>
      </c>
      <c r="AB39" s="8">
        <f t="shared" si="3"/>
        <v>2.2245634804939324E-2</v>
      </c>
    </row>
    <row r="40" spans="1:28">
      <c r="A40" s="5" t="s">
        <v>43</v>
      </c>
      <c r="B40" s="14" t="s">
        <v>85</v>
      </c>
      <c r="C40" s="53">
        <v>12</v>
      </c>
      <c r="D40" s="17">
        <v>10</v>
      </c>
      <c r="E40" s="8">
        <f>C40/10</f>
        <v>1.2</v>
      </c>
      <c r="F40" s="54">
        <v>9</v>
      </c>
      <c r="G40" s="9">
        <f>F40/C40</f>
        <v>0.75</v>
      </c>
      <c r="H40" s="23">
        <f t="shared" si="1"/>
        <v>0.89999999999999991</v>
      </c>
      <c r="I40" t="s">
        <v>30</v>
      </c>
      <c r="J40" s="11">
        <v>32.5</v>
      </c>
      <c r="K40" s="11">
        <v>8.9205555560000001</v>
      </c>
      <c r="L40" t="str">
        <f>VLOOKUP(B40,'[1]Plant data'!$A$1:$AB$315,2,0)</f>
        <v>Cannabaceae</v>
      </c>
      <c r="M40" s="9">
        <f>VLOOKUP($B40,'[1]Plant data'!$A$1:$AB$315,6,0)</f>
        <v>2.9199999999999995</v>
      </c>
      <c r="N40" s="9">
        <f>VLOOKUP($B40,'[1]Plant data'!$A$1:$AB$315,7,0)</f>
        <v>3.2375000000000003</v>
      </c>
      <c r="O40" s="8">
        <f>VLOOKUP($B40,'[1]Plant data'!$A$1:$AB$315,10,0)</f>
        <v>9.75E-3</v>
      </c>
      <c r="P40" s="8" t="str">
        <f>VLOOKUP($B40,'[1]Plant data'!$A$1:$AB$315,11,0)</f>
        <v>NA</v>
      </c>
      <c r="Q40" s="8">
        <f>VLOOKUP($B40,'[1]Plant data'!$A$1:$AB$315,12,0)</f>
        <v>4.0000000000000001E-3</v>
      </c>
      <c r="R40" s="8">
        <f>VLOOKUP($B40,'[1]Plant data'!$A$1:$AB$315,13,0)</f>
        <v>5.749999999999999E-3</v>
      </c>
      <c r="S40" s="8" t="str">
        <f>VLOOKUP($B40,'[1]Plant data'!$A$1:$AB$315,14,0)</f>
        <v>NA</v>
      </c>
      <c r="T40" s="11">
        <f>VLOOKUP($B40,'[1]Plant data'!$A$1:$AB$315,15,0)</f>
        <v>1</v>
      </c>
      <c r="U40" s="9" t="str">
        <f>VLOOKUP($B40,'[1]Plant data'!$A$1:$AB$315,19,0)</f>
        <v>NA</v>
      </c>
      <c r="V40" s="8">
        <f>VLOOKUP($B40,'[1]Plant data'!$A$1:$AB$315,20,0)</f>
        <v>0.48760568793234976</v>
      </c>
      <c r="W40" s="8">
        <f>VLOOKUP($B40,'[1]Plant data'!$A$1:$AB$315,21,0)</f>
        <v>0.107406</v>
      </c>
      <c r="X40" s="8">
        <f>VLOOKUP($B40,'[1]Plant data'!$A$1:$AB$315,22,0)</f>
        <v>1.2626597282962414E-3</v>
      </c>
      <c r="Y40" s="8">
        <f>VLOOKUP($B40,'[1]Plant data'!$A$1:$AB$315,23,0)</f>
        <v>2.0982975076643082E-2</v>
      </c>
      <c r="Z40" s="8" t="str">
        <f>VLOOKUP($B40,'[1]Plant data'!$A$1:$AB$315,24,0)</f>
        <v>NA</v>
      </c>
      <c r="AA40" s="8" t="str">
        <f>VLOOKUP($B40,'[1]Plant data'!$A$1:$AB$315,25,0)</f>
        <v>NA</v>
      </c>
      <c r="AB40" s="8">
        <f t="shared" si="3"/>
        <v>2.2245634804939324E-2</v>
      </c>
    </row>
    <row r="41" spans="1:28">
      <c r="A41" s="5" t="s">
        <v>43</v>
      </c>
      <c r="B41" s="14" t="s">
        <v>85</v>
      </c>
      <c r="C41" s="53">
        <v>1</v>
      </c>
      <c r="D41" s="58">
        <v>23</v>
      </c>
      <c r="E41" s="8">
        <f>C41/23</f>
        <v>4.3478260869565216E-2</v>
      </c>
      <c r="F41" s="54">
        <v>1</v>
      </c>
      <c r="G41" s="9">
        <v>1</v>
      </c>
      <c r="H41" s="23">
        <f t="shared" si="1"/>
        <v>4.3478260869565216E-2</v>
      </c>
      <c r="I41" t="s">
        <v>30</v>
      </c>
      <c r="J41" s="11">
        <v>32.5</v>
      </c>
      <c r="K41" s="11">
        <v>8.9205555560000001</v>
      </c>
      <c r="L41" t="str">
        <f>VLOOKUP(B41,'[1]Plant data'!$A$1:$AB$315,2,0)</f>
        <v>Cannabaceae</v>
      </c>
      <c r="M41" s="9">
        <f>VLOOKUP($B41,'[1]Plant data'!$A$1:$AB$315,6,0)</f>
        <v>2.9199999999999995</v>
      </c>
      <c r="N41" s="9">
        <f>VLOOKUP($B41,'[1]Plant data'!$A$1:$AB$315,7,0)</f>
        <v>3.2375000000000003</v>
      </c>
      <c r="O41" s="8">
        <f>VLOOKUP($B41,'[1]Plant data'!$A$1:$AB$315,10,0)</f>
        <v>9.75E-3</v>
      </c>
      <c r="P41" s="8" t="str">
        <f>VLOOKUP($B41,'[1]Plant data'!$A$1:$AB$315,11,0)</f>
        <v>NA</v>
      </c>
      <c r="Q41" s="8">
        <f>VLOOKUP($B41,'[1]Plant data'!$A$1:$AB$315,12,0)</f>
        <v>4.0000000000000001E-3</v>
      </c>
      <c r="R41" s="8">
        <f>VLOOKUP($B41,'[1]Plant data'!$A$1:$AB$315,13,0)</f>
        <v>5.749999999999999E-3</v>
      </c>
      <c r="S41" s="8" t="str">
        <f>VLOOKUP($B41,'[1]Plant data'!$A$1:$AB$315,14,0)</f>
        <v>NA</v>
      </c>
      <c r="T41" s="11">
        <f>VLOOKUP($B41,'[1]Plant data'!$A$1:$AB$315,15,0)</f>
        <v>1</v>
      </c>
      <c r="U41" s="9" t="str">
        <f>VLOOKUP($B41,'[1]Plant data'!$A$1:$AB$315,19,0)</f>
        <v>NA</v>
      </c>
      <c r="V41" s="8">
        <f>VLOOKUP($B41,'[1]Plant data'!$A$1:$AB$315,20,0)</f>
        <v>0.48760568793234976</v>
      </c>
      <c r="W41" s="8">
        <f>VLOOKUP($B41,'[1]Plant data'!$A$1:$AB$315,21,0)</f>
        <v>0.107406</v>
      </c>
      <c r="X41" s="8">
        <f>VLOOKUP($B41,'[1]Plant data'!$A$1:$AB$315,22,0)</f>
        <v>1.2626597282962414E-3</v>
      </c>
      <c r="Y41" s="8">
        <f>VLOOKUP($B41,'[1]Plant data'!$A$1:$AB$315,23,0)</f>
        <v>2.0982975076643082E-2</v>
      </c>
      <c r="Z41" s="8" t="str">
        <f>VLOOKUP($B41,'[1]Plant data'!$A$1:$AB$315,24,0)</f>
        <v>NA</v>
      </c>
      <c r="AA41" s="8" t="str">
        <f>VLOOKUP($B41,'[1]Plant data'!$A$1:$AB$315,25,0)</f>
        <v>NA</v>
      </c>
      <c r="AB41" s="8">
        <f t="shared" si="3"/>
        <v>2.2245634804939324E-2</v>
      </c>
    </row>
    <row r="42" spans="1:28">
      <c r="A42" s="5" t="s">
        <v>50</v>
      </c>
      <c r="B42" s="14" t="s">
        <v>85</v>
      </c>
      <c r="C42" s="53">
        <v>6</v>
      </c>
      <c r="D42" s="11">
        <v>13</v>
      </c>
      <c r="E42" s="8">
        <f>C42/13</f>
        <v>0.46153846153846156</v>
      </c>
      <c r="F42" s="54">
        <v>145</v>
      </c>
      <c r="G42" s="9">
        <f>F42/C42</f>
        <v>24.166666666666668</v>
      </c>
      <c r="H42" s="23">
        <f t="shared" si="1"/>
        <v>11.153846153846155</v>
      </c>
      <c r="I42" t="s">
        <v>47</v>
      </c>
      <c r="J42" s="11">
        <v>69.5</v>
      </c>
      <c r="K42" s="11">
        <v>13.253214290000001</v>
      </c>
      <c r="L42" t="str">
        <f>VLOOKUP(B42,'[1]Plant data'!$A$1:$AB$315,2,0)</f>
        <v>Cannabaceae</v>
      </c>
      <c r="M42" s="9">
        <f>VLOOKUP($B42,'[1]Plant data'!$A$1:$AB$315,6,0)</f>
        <v>2.9199999999999995</v>
      </c>
      <c r="N42" s="9">
        <f>VLOOKUP($B42,'[1]Plant data'!$A$1:$AB$315,7,0)</f>
        <v>3.2375000000000003</v>
      </c>
      <c r="O42" s="8">
        <f>VLOOKUP($B42,'[1]Plant data'!$A$1:$AB$315,10,0)</f>
        <v>9.75E-3</v>
      </c>
      <c r="P42" s="8" t="str">
        <f>VLOOKUP($B42,'[1]Plant data'!$A$1:$AB$315,11,0)</f>
        <v>NA</v>
      </c>
      <c r="Q42" s="8">
        <f>VLOOKUP($B42,'[1]Plant data'!$A$1:$AB$315,12,0)</f>
        <v>4.0000000000000001E-3</v>
      </c>
      <c r="R42" s="8">
        <f>VLOOKUP($B42,'[1]Plant data'!$A$1:$AB$315,13,0)</f>
        <v>5.749999999999999E-3</v>
      </c>
      <c r="S42" s="8" t="str">
        <f>VLOOKUP($B42,'[1]Plant data'!$A$1:$AB$315,14,0)</f>
        <v>NA</v>
      </c>
      <c r="T42" s="11">
        <f>VLOOKUP($B42,'[1]Plant data'!$A$1:$AB$315,15,0)</f>
        <v>1</v>
      </c>
      <c r="U42" s="9" t="str">
        <f>VLOOKUP($B42,'[1]Plant data'!$A$1:$AB$315,19,0)</f>
        <v>NA</v>
      </c>
      <c r="V42" s="8">
        <f>VLOOKUP($B42,'[1]Plant data'!$A$1:$AB$315,20,0)</f>
        <v>0.48760568793234976</v>
      </c>
      <c r="W42" s="8">
        <f>VLOOKUP($B42,'[1]Plant data'!$A$1:$AB$315,21,0)</f>
        <v>0.107406</v>
      </c>
      <c r="X42" s="8">
        <f>VLOOKUP($B42,'[1]Plant data'!$A$1:$AB$315,22,0)</f>
        <v>1.2626597282962414E-3</v>
      </c>
      <c r="Y42" s="8">
        <f>VLOOKUP($B42,'[1]Plant data'!$A$1:$AB$315,23,0)</f>
        <v>2.0982975076643082E-2</v>
      </c>
      <c r="Z42" s="8" t="str">
        <f>VLOOKUP($B42,'[1]Plant data'!$A$1:$AB$315,24,0)</f>
        <v>NA</v>
      </c>
      <c r="AA42" s="8" t="str">
        <f>VLOOKUP($B42,'[1]Plant data'!$A$1:$AB$315,25,0)</f>
        <v>NA</v>
      </c>
      <c r="AB42" s="8">
        <f t="shared" si="3"/>
        <v>2.2245634804939324E-2</v>
      </c>
    </row>
    <row r="43" spans="1:28">
      <c r="A43" s="18" t="s">
        <v>65</v>
      </c>
      <c r="B43" s="6" t="s">
        <v>61</v>
      </c>
      <c r="C43" s="53">
        <v>8</v>
      </c>
      <c r="D43" s="59">
        <v>56</v>
      </c>
      <c r="E43" s="26">
        <f t="shared" ref="E43:E50" si="4">C43/D43</f>
        <v>0.14285714285714285</v>
      </c>
      <c r="F43" s="54">
        <v>23</v>
      </c>
      <c r="G43" s="27">
        <f>F43/C43</f>
        <v>2.875</v>
      </c>
      <c r="H43" s="23">
        <f t="shared" si="1"/>
        <v>0.4107142857142857</v>
      </c>
      <c r="I43" t="s">
        <v>23</v>
      </c>
      <c r="J43" s="11">
        <v>11</v>
      </c>
      <c r="K43" s="11">
        <v>6.1466666669999999</v>
      </c>
      <c r="L43" t="str">
        <f>VLOOKUP(B43,'[1]Plant data'!$A$1:$AB$315,2,0)</f>
        <v>Anacardiaceae</v>
      </c>
      <c r="M43" s="9">
        <f>VLOOKUP($B43,'[1]Plant data'!$A$1:$AB$315,6,0)</f>
        <v>10.474</v>
      </c>
      <c r="N43" s="9">
        <f>VLOOKUP($B43,'[1]Plant data'!$A$1:$AB$315,7,0)</f>
        <v>14.028</v>
      </c>
      <c r="O43" s="8">
        <f>VLOOKUP($B43,'[1]Plant data'!$A$1:$AB$315,10,0)</f>
        <v>0.74192499999999995</v>
      </c>
      <c r="P43" s="8">
        <f>VLOOKUP($B43,'[1]Plant data'!$A$1:$AB$315,11,0)</f>
        <v>0.59</v>
      </c>
      <c r="Q43" s="8">
        <f>VLOOKUP($B43,'[1]Plant data'!$A$1:$AB$315,12,0)</f>
        <v>0.2601</v>
      </c>
      <c r="R43" s="8">
        <f>VLOOKUP($B43,'[1]Plant data'!$A$1:$AB$315,13,0)</f>
        <v>0.56875000000000009</v>
      </c>
      <c r="S43" s="8">
        <f>VLOOKUP($B43,'[1]Plant data'!$A$1:$AB$315,14,0)</f>
        <v>0.22020000000000001</v>
      </c>
      <c r="T43" s="11">
        <f>VLOOKUP($B43,'[1]Plant data'!$A$1:$AB$315,15,0)</f>
        <v>1</v>
      </c>
      <c r="U43" s="9">
        <f>VLOOKUP($B43,'[1]Plant data'!$A$1:$AB$315,19,0)</f>
        <v>0.79535</v>
      </c>
      <c r="V43" s="8">
        <f>VLOOKUP($B43,'[1]Plant data'!$A$1:$AB$315,20,0)</f>
        <v>7.5081210121013958E-2</v>
      </c>
      <c r="W43" s="8">
        <f>VLOOKUP($B43,'[1]Plant data'!$A$1:$AB$315,21,0)</f>
        <v>4.8041E-2</v>
      </c>
      <c r="X43" s="8">
        <f>VLOOKUP($B43,'[1]Plant data'!$A$1:$AB$315,22,0)</f>
        <v>5.3345778338190118E-2</v>
      </c>
      <c r="Y43" s="8">
        <f>VLOOKUP($B43,'[1]Plant data'!$A$1:$AB$315,23,0)</f>
        <v>0.11043249918861621</v>
      </c>
      <c r="Z43" s="8">
        <f>VLOOKUP($B43,'[1]Plant data'!$A$1:$AB$315,24,0)</f>
        <v>0.88</v>
      </c>
      <c r="AA43" s="8" t="str">
        <f>VLOOKUP($B43,'[1]Plant data'!$A$1:$AB$315,25,0)</f>
        <v>NA</v>
      </c>
      <c r="AB43" s="8">
        <f t="shared" si="3"/>
        <v>0.16377827752680632</v>
      </c>
    </row>
    <row r="44" spans="1:28">
      <c r="A44" s="5" t="s">
        <v>70</v>
      </c>
      <c r="B44" s="6" t="s">
        <v>61</v>
      </c>
      <c r="C44" s="53">
        <v>5</v>
      </c>
      <c r="D44" s="59">
        <v>56</v>
      </c>
      <c r="E44" s="26">
        <f t="shared" si="4"/>
        <v>8.9285714285714288E-2</v>
      </c>
      <c r="F44" s="54">
        <v>11</v>
      </c>
      <c r="G44" s="27">
        <f>F44/C44</f>
        <v>2.2000000000000002</v>
      </c>
      <c r="H44" s="23">
        <f t="shared" si="1"/>
        <v>0.19642857142857145</v>
      </c>
      <c r="I44" t="s">
        <v>23</v>
      </c>
      <c r="J44" s="11">
        <v>15</v>
      </c>
      <c r="K44" s="11">
        <v>6.9235714289999999</v>
      </c>
      <c r="L44" t="str">
        <f>VLOOKUP(B44,'[1]Plant data'!$A$1:$AB$315,2,0)</f>
        <v>Anacardiaceae</v>
      </c>
      <c r="M44" s="9">
        <f>VLOOKUP($B44,'[1]Plant data'!$A$1:$AB$315,6,0)</f>
        <v>10.474</v>
      </c>
      <c r="N44" s="9">
        <f>VLOOKUP($B44,'[1]Plant data'!$A$1:$AB$315,7,0)</f>
        <v>14.028</v>
      </c>
      <c r="O44" s="8">
        <f>VLOOKUP($B44,'[1]Plant data'!$A$1:$AB$315,10,0)</f>
        <v>0.74192499999999995</v>
      </c>
      <c r="P44" s="8">
        <f>VLOOKUP($B44,'[1]Plant data'!$A$1:$AB$315,11,0)</f>
        <v>0.59</v>
      </c>
      <c r="Q44" s="8">
        <f>VLOOKUP($B44,'[1]Plant data'!$A$1:$AB$315,12,0)</f>
        <v>0.2601</v>
      </c>
      <c r="R44" s="8">
        <f>VLOOKUP($B44,'[1]Plant data'!$A$1:$AB$315,13,0)</f>
        <v>0.56875000000000009</v>
      </c>
      <c r="S44" s="8">
        <f>VLOOKUP($B44,'[1]Plant data'!$A$1:$AB$315,14,0)</f>
        <v>0.22020000000000001</v>
      </c>
      <c r="T44" s="11">
        <f>VLOOKUP($B44,'[1]Plant data'!$A$1:$AB$315,15,0)</f>
        <v>1</v>
      </c>
      <c r="U44" s="9">
        <f>VLOOKUP($B44,'[1]Plant data'!$A$1:$AB$315,19,0)</f>
        <v>0.79535</v>
      </c>
      <c r="V44" s="8">
        <f>VLOOKUP($B44,'[1]Plant data'!$A$1:$AB$315,20,0)</f>
        <v>7.5081210121013958E-2</v>
      </c>
      <c r="W44" s="8">
        <f>VLOOKUP($B44,'[1]Plant data'!$A$1:$AB$315,21,0)</f>
        <v>4.8041E-2</v>
      </c>
      <c r="X44" s="8">
        <f>VLOOKUP($B44,'[1]Plant data'!$A$1:$AB$315,22,0)</f>
        <v>5.3345778338190118E-2</v>
      </c>
      <c r="Y44" s="8">
        <f>VLOOKUP($B44,'[1]Plant data'!$A$1:$AB$315,23,0)</f>
        <v>0.11043249918861621</v>
      </c>
      <c r="Z44" s="8">
        <f>VLOOKUP($B44,'[1]Plant data'!$A$1:$AB$315,24,0)</f>
        <v>0.88</v>
      </c>
      <c r="AA44" s="8" t="str">
        <f>VLOOKUP($B44,'[1]Plant data'!$A$1:$AB$315,25,0)</f>
        <v>NA</v>
      </c>
      <c r="AB44" s="8">
        <f t="shared" si="3"/>
        <v>0.16377827752680632</v>
      </c>
    </row>
    <row r="45" spans="1:28">
      <c r="A45" s="18" t="s">
        <v>28</v>
      </c>
      <c r="B45" s="6" t="s">
        <v>61</v>
      </c>
      <c r="C45" s="53">
        <v>72</v>
      </c>
      <c r="D45" s="59">
        <v>56</v>
      </c>
      <c r="E45" s="26">
        <f t="shared" si="4"/>
        <v>1.2857142857142858</v>
      </c>
      <c r="F45" s="54">
        <v>115</v>
      </c>
      <c r="G45" s="27">
        <f>F45/C45</f>
        <v>1.5972222222222223</v>
      </c>
      <c r="H45" s="23">
        <f t="shared" si="1"/>
        <v>2.0535714285714288</v>
      </c>
      <c r="I45" t="s">
        <v>30</v>
      </c>
      <c r="J45" s="11">
        <v>18</v>
      </c>
      <c r="K45" s="11">
        <v>7.4188405800000004</v>
      </c>
      <c r="L45" t="str">
        <f>VLOOKUP(B45,'[1]Plant data'!$A$1:$AB$315,2,0)</f>
        <v>Anacardiaceae</v>
      </c>
      <c r="M45" s="9">
        <f>VLOOKUP($B45,'[1]Plant data'!$A$1:$AB$315,6,0)</f>
        <v>10.474</v>
      </c>
      <c r="N45" s="9">
        <f>VLOOKUP($B45,'[1]Plant data'!$A$1:$AB$315,7,0)</f>
        <v>14.028</v>
      </c>
      <c r="O45" s="8">
        <f>VLOOKUP($B45,'[1]Plant data'!$A$1:$AB$315,10,0)</f>
        <v>0.74192499999999995</v>
      </c>
      <c r="P45" s="8">
        <f>VLOOKUP($B45,'[1]Plant data'!$A$1:$AB$315,11,0)</f>
        <v>0.59</v>
      </c>
      <c r="Q45" s="8">
        <f>VLOOKUP($B45,'[1]Plant data'!$A$1:$AB$315,12,0)</f>
        <v>0.2601</v>
      </c>
      <c r="R45" s="8">
        <f>VLOOKUP($B45,'[1]Plant data'!$A$1:$AB$315,13,0)</f>
        <v>0.56875000000000009</v>
      </c>
      <c r="S45" s="8">
        <f>VLOOKUP($B45,'[1]Plant data'!$A$1:$AB$315,14,0)</f>
        <v>0.22020000000000001</v>
      </c>
      <c r="T45" s="11">
        <f>VLOOKUP($B45,'[1]Plant data'!$A$1:$AB$315,15,0)</f>
        <v>1</v>
      </c>
      <c r="U45" s="9">
        <f>VLOOKUP($B45,'[1]Plant data'!$A$1:$AB$315,19,0)</f>
        <v>0.79535</v>
      </c>
      <c r="V45" s="8">
        <f>VLOOKUP($B45,'[1]Plant data'!$A$1:$AB$315,20,0)</f>
        <v>7.5081210121013958E-2</v>
      </c>
      <c r="W45" s="8">
        <f>VLOOKUP($B45,'[1]Plant data'!$A$1:$AB$315,21,0)</f>
        <v>4.8041E-2</v>
      </c>
      <c r="X45" s="8">
        <f>VLOOKUP($B45,'[1]Plant data'!$A$1:$AB$315,22,0)</f>
        <v>5.3345778338190118E-2</v>
      </c>
      <c r="Y45" s="8">
        <f>VLOOKUP($B45,'[1]Plant data'!$A$1:$AB$315,23,0)</f>
        <v>0.11043249918861621</v>
      </c>
      <c r="Z45" s="8">
        <f>VLOOKUP($B45,'[1]Plant data'!$A$1:$AB$315,24,0)</f>
        <v>0.88</v>
      </c>
      <c r="AA45" s="8" t="str">
        <f>VLOOKUP($B45,'[1]Plant data'!$A$1:$AB$315,25,0)</f>
        <v>NA</v>
      </c>
      <c r="AB45" s="8">
        <f t="shared" si="3"/>
        <v>0.16377827752680632</v>
      </c>
    </row>
    <row r="46" spans="1:28">
      <c r="A46" s="18" t="s">
        <v>28</v>
      </c>
      <c r="B46" s="14" t="s">
        <v>61</v>
      </c>
      <c r="C46" s="53">
        <v>1</v>
      </c>
      <c r="D46" s="58">
        <v>254</v>
      </c>
      <c r="E46" s="8">
        <f t="shared" si="4"/>
        <v>3.937007874015748E-3</v>
      </c>
      <c r="F46" s="55" t="s">
        <v>19</v>
      </c>
      <c r="G46" s="41">
        <v>1.5972222222222223</v>
      </c>
      <c r="H46" s="23">
        <f t="shared" si="1"/>
        <v>6.2882764654418203E-3</v>
      </c>
      <c r="I46" t="s">
        <v>30</v>
      </c>
      <c r="J46" s="11">
        <v>18</v>
      </c>
      <c r="K46" s="11">
        <v>7.4188405800000004</v>
      </c>
      <c r="L46" t="str">
        <f>VLOOKUP(B46,'[1]Plant data'!$A$1:$AB$315,2,0)</f>
        <v>Anacardiaceae</v>
      </c>
      <c r="M46" s="9">
        <f>VLOOKUP($B46,'[1]Plant data'!$A$1:$AB$315,6,0)</f>
        <v>10.474</v>
      </c>
      <c r="N46" s="9">
        <f>VLOOKUP($B46,'[1]Plant data'!$A$1:$AB$315,7,0)</f>
        <v>14.028</v>
      </c>
      <c r="O46" s="8">
        <f>VLOOKUP($B46,'[1]Plant data'!$A$1:$AB$315,10,0)</f>
        <v>0.74192499999999995</v>
      </c>
      <c r="P46" s="8">
        <f>VLOOKUP($B46,'[1]Plant data'!$A$1:$AB$315,11,0)</f>
        <v>0.59</v>
      </c>
      <c r="Q46" s="8">
        <f>VLOOKUP($B46,'[1]Plant data'!$A$1:$AB$315,12,0)</f>
        <v>0.2601</v>
      </c>
      <c r="R46" s="8">
        <f>VLOOKUP($B46,'[1]Plant data'!$A$1:$AB$315,13,0)</f>
        <v>0.56875000000000009</v>
      </c>
      <c r="S46" s="8">
        <f>VLOOKUP($B46,'[1]Plant data'!$A$1:$AB$315,14,0)</f>
        <v>0.22020000000000001</v>
      </c>
      <c r="T46" s="11">
        <f>VLOOKUP($B46,'[1]Plant data'!$A$1:$AB$315,15,0)</f>
        <v>1</v>
      </c>
      <c r="U46" s="9">
        <f>VLOOKUP($B46,'[1]Plant data'!$A$1:$AB$315,19,0)</f>
        <v>0.79535</v>
      </c>
      <c r="V46" s="8">
        <f>VLOOKUP($B46,'[1]Plant data'!$A$1:$AB$315,20,0)</f>
        <v>7.5081210121013958E-2</v>
      </c>
      <c r="W46" s="8">
        <f>VLOOKUP($B46,'[1]Plant data'!$A$1:$AB$315,21,0)</f>
        <v>4.8041E-2</v>
      </c>
      <c r="X46" s="8">
        <f>VLOOKUP($B46,'[1]Plant data'!$A$1:$AB$315,22,0)</f>
        <v>5.3345778338190118E-2</v>
      </c>
      <c r="Y46" s="8">
        <f>VLOOKUP($B46,'[1]Plant data'!$A$1:$AB$315,23,0)</f>
        <v>0.11043249918861621</v>
      </c>
      <c r="Z46" s="8">
        <f>VLOOKUP($B46,'[1]Plant data'!$A$1:$AB$315,24,0)</f>
        <v>0.88</v>
      </c>
      <c r="AA46" s="8" t="str">
        <f>VLOOKUP($B46,'[1]Plant data'!$A$1:$AB$315,25,0)</f>
        <v>NA</v>
      </c>
      <c r="AB46" s="8">
        <f t="shared" si="3"/>
        <v>0.16377827752680632</v>
      </c>
    </row>
    <row r="47" spans="1:28">
      <c r="A47" s="5" t="s">
        <v>41</v>
      </c>
      <c r="B47" s="6" t="s">
        <v>61</v>
      </c>
      <c r="C47" s="53">
        <v>35</v>
      </c>
      <c r="D47" s="59">
        <v>56</v>
      </c>
      <c r="E47" s="26">
        <f t="shared" si="4"/>
        <v>0.625</v>
      </c>
      <c r="F47" s="54">
        <v>94</v>
      </c>
      <c r="G47" s="27">
        <f>F47/C47</f>
        <v>2.6857142857142855</v>
      </c>
      <c r="H47" s="23">
        <f t="shared" si="1"/>
        <v>1.6785714285714284</v>
      </c>
      <c r="I47" t="s">
        <v>30</v>
      </c>
      <c r="J47" s="11">
        <v>39</v>
      </c>
      <c r="K47" s="11">
        <v>8.2839869279999991</v>
      </c>
      <c r="L47" t="str">
        <f>VLOOKUP(B47,'[1]Plant data'!$A$1:$AB$315,2,0)</f>
        <v>Anacardiaceae</v>
      </c>
      <c r="M47" s="9">
        <f>VLOOKUP($B47,'[1]Plant data'!$A$1:$AB$315,6,0)</f>
        <v>10.474</v>
      </c>
      <c r="N47" s="9">
        <f>VLOOKUP($B47,'[1]Plant data'!$A$1:$AB$315,7,0)</f>
        <v>14.028</v>
      </c>
      <c r="O47" s="8">
        <f>VLOOKUP($B47,'[1]Plant data'!$A$1:$AB$315,10,0)</f>
        <v>0.74192499999999995</v>
      </c>
      <c r="P47" s="8">
        <f>VLOOKUP($B47,'[1]Plant data'!$A$1:$AB$315,11,0)</f>
        <v>0.59</v>
      </c>
      <c r="Q47" s="8">
        <f>VLOOKUP($B47,'[1]Plant data'!$A$1:$AB$315,12,0)</f>
        <v>0.2601</v>
      </c>
      <c r="R47" s="8">
        <f>VLOOKUP($B47,'[1]Plant data'!$A$1:$AB$315,13,0)</f>
        <v>0.56875000000000009</v>
      </c>
      <c r="S47" s="8">
        <f>VLOOKUP($B47,'[1]Plant data'!$A$1:$AB$315,14,0)</f>
        <v>0.22020000000000001</v>
      </c>
      <c r="T47" s="11">
        <f>VLOOKUP($B47,'[1]Plant data'!$A$1:$AB$315,15,0)</f>
        <v>1</v>
      </c>
      <c r="U47" s="9">
        <f>VLOOKUP($B47,'[1]Plant data'!$A$1:$AB$315,19,0)</f>
        <v>0.79535</v>
      </c>
      <c r="V47" s="8">
        <f>VLOOKUP($B47,'[1]Plant data'!$A$1:$AB$315,20,0)</f>
        <v>7.5081210121013958E-2</v>
      </c>
      <c r="W47" s="8">
        <f>VLOOKUP($B47,'[1]Plant data'!$A$1:$AB$315,21,0)</f>
        <v>4.8041E-2</v>
      </c>
      <c r="X47" s="8">
        <f>VLOOKUP($B47,'[1]Plant data'!$A$1:$AB$315,22,0)</f>
        <v>5.3345778338190118E-2</v>
      </c>
      <c r="Y47" s="8">
        <f>VLOOKUP($B47,'[1]Plant data'!$A$1:$AB$315,23,0)</f>
        <v>0.11043249918861621</v>
      </c>
      <c r="Z47" s="8">
        <f>VLOOKUP($B47,'[1]Plant data'!$A$1:$AB$315,24,0)</f>
        <v>0.88</v>
      </c>
      <c r="AA47" s="8" t="str">
        <f>VLOOKUP($B47,'[1]Plant data'!$A$1:$AB$315,25,0)</f>
        <v>NA</v>
      </c>
      <c r="AB47" s="8">
        <f t="shared" si="3"/>
        <v>0.16377827752680632</v>
      </c>
    </row>
    <row r="48" spans="1:28">
      <c r="A48" s="5" t="s">
        <v>41</v>
      </c>
      <c r="B48" s="14" t="s">
        <v>61</v>
      </c>
      <c r="C48" s="53">
        <v>3</v>
      </c>
      <c r="D48" s="11">
        <v>254</v>
      </c>
      <c r="E48" s="8">
        <f t="shared" si="4"/>
        <v>1.1811023622047244E-2</v>
      </c>
      <c r="F48" s="55" t="s">
        <v>19</v>
      </c>
      <c r="G48" s="41">
        <v>2.3777408637873751</v>
      </c>
      <c r="H48" s="23">
        <f t="shared" si="1"/>
        <v>2.8083553509299707E-2</v>
      </c>
      <c r="I48" t="s">
        <v>30</v>
      </c>
      <c r="J48" s="11">
        <v>39</v>
      </c>
      <c r="K48" s="11">
        <v>8.2839869279999991</v>
      </c>
      <c r="L48" t="str">
        <f>VLOOKUP(B48,'[1]Plant data'!$A$1:$AB$315,2,0)</f>
        <v>Anacardiaceae</v>
      </c>
      <c r="M48" s="9">
        <f>VLOOKUP($B48,'[1]Plant data'!$A$1:$AB$315,6,0)</f>
        <v>10.474</v>
      </c>
      <c r="N48" s="9">
        <f>VLOOKUP($B48,'[1]Plant data'!$A$1:$AB$315,7,0)</f>
        <v>14.028</v>
      </c>
      <c r="O48" s="8">
        <f>VLOOKUP($B48,'[1]Plant data'!$A$1:$AB$315,10,0)</f>
        <v>0.74192499999999995</v>
      </c>
      <c r="P48" s="8">
        <f>VLOOKUP($B48,'[1]Plant data'!$A$1:$AB$315,11,0)</f>
        <v>0.59</v>
      </c>
      <c r="Q48" s="8">
        <f>VLOOKUP($B48,'[1]Plant data'!$A$1:$AB$315,12,0)</f>
        <v>0.2601</v>
      </c>
      <c r="R48" s="8">
        <f>VLOOKUP($B48,'[1]Plant data'!$A$1:$AB$315,13,0)</f>
        <v>0.56875000000000009</v>
      </c>
      <c r="S48" s="8">
        <f>VLOOKUP($B48,'[1]Plant data'!$A$1:$AB$315,14,0)</f>
        <v>0.22020000000000001</v>
      </c>
      <c r="T48" s="11">
        <f>VLOOKUP($B48,'[1]Plant data'!$A$1:$AB$315,15,0)</f>
        <v>1</v>
      </c>
      <c r="U48" s="9">
        <f>VLOOKUP($B48,'[1]Plant data'!$A$1:$AB$315,19,0)</f>
        <v>0.79535</v>
      </c>
      <c r="V48" s="8">
        <f>VLOOKUP($B48,'[1]Plant data'!$A$1:$AB$315,20,0)</f>
        <v>7.5081210121013958E-2</v>
      </c>
      <c r="W48" s="8">
        <f>VLOOKUP($B48,'[1]Plant data'!$A$1:$AB$315,21,0)</f>
        <v>4.8041E-2</v>
      </c>
      <c r="X48" s="8">
        <f>VLOOKUP($B48,'[1]Plant data'!$A$1:$AB$315,22,0)</f>
        <v>5.3345778338190118E-2</v>
      </c>
      <c r="Y48" s="8">
        <f>VLOOKUP($B48,'[1]Plant data'!$A$1:$AB$315,23,0)</f>
        <v>0.11043249918861621</v>
      </c>
      <c r="Z48" s="8">
        <f>VLOOKUP($B48,'[1]Plant data'!$A$1:$AB$315,24,0)</f>
        <v>0.88</v>
      </c>
      <c r="AA48" s="8" t="str">
        <f>VLOOKUP($B48,'[1]Plant data'!$A$1:$AB$315,25,0)</f>
        <v>NA</v>
      </c>
      <c r="AB48" s="8">
        <f t="shared" si="3"/>
        <v>0.16377827752680632</v>
      </c>
    </row>
    <row r="49" spans="1:28">
      <c r="A49" s="5" t="s">
        <v>43</v>
      </c>
      <c r="B49" s="6" t="s">
        <v>61</v>
      </c>
      <c r="C49" s="56">
        <v>86</v>
      </c>
      <c r="D49" s="59">
        <v>56</v>
      </c>
      <c r="E49" s="26">
        <f t="shared" si="4"/>
        <v>1.5357142857142858</v>
      </c>
      <c r="F49" s="56">
        <v>178</v>
      </c>
      <c r="G49" s="27">
        <f>F49/C49</f>
        <v>2.0697674418604652</v>
      </c>
      <c r="H49" s="23">
        <f t="shared" si="1"/>
        <v>3.1785714285714288</v>
      </c>
      <c r="I49" t="s">
        <v>30</v>
      </c>
      <c r="J49" s="11">
        <v>32.5</v>
      </c>
      <c r="K49" s="11">
        <v>8.9205555560000001</v>
      </c>
      <c r="L49" t="str">
        <f>VLOOKUP(B49,'[1]Plant data'!$A$1:$AB$315,2,0)</f>
        <v>Anacardiaceae</v>
      </c>
      <c r="M49" s="9">
        <f>VLOOKUP($B49,'[1]Plant data'!$A$1:$AB$315,6,0)</f>
        <v>10.474</v>
      </c>
      <c r="N49" s="9">
        <f>VLOOKUP($B49,'[1]Plant data'!$A$1:$AB$315,7,0)</f>
        <v>14.028</v>
      </c>
      <c r="O49" s="8">
        <f>VLOOKUP($B49,'[1]Plant data'!$A$1:$AB$315,10,0)</f>
        <v>0.74192499999999995</v>
      </c>
      <c r="P49" s="8">
        <f>VLOOKUP($B49,'[1]Plant data'!$A$1:$AB$315,11,0)</f>
        <v>0.59</v>
      </c>
      <c r="Q49" s="8">
        <f>VLOOKUP($B49,'[1]Plant data'!$A$1:$AB$315,12,0)</f>
        <v>0.2601</v>
      </c>
      <c r="R49" s="8">
        <f>VLOOKUP($B49,'[1]Plant data'!$A$1:$AB$315,13,0)</f>
        <v>0.56875000000000009</v>
      </c>
      <c r="S49" s="8">
        <f>VLOOKUP($B49,'[1]Plant data'!$A$1:$AB$315,14,0)</f>
        <v>0.22020000000000001</v>
      </c>
      <c r="T49" s="11">
        <f>VLOOKUP($B49,'[1]Plant data'!$A$1:$AB$315,15,0)</f>
        <v>1</v>
      </c>
      <c r="U49" s="9">
        <f>VLOOKUP($B49,'[1]Plant data'!$A$1:$AB$315,19,0)</f>
        <v>0.79535</v>
      </c>
      <c r="V49" s="8">
        <f>VLOOKUP($B49,'[1]Plant data'!$A$1:$AB$315,20,0)</f>
        <v>7.5081210121013958E-2</v>
      </c>
      <c r="W49" s="8">
        <f>VLOOKUP($B49,'[1]Plant data'!$A$1:$AB$315,21,0)</f>
        <v>4.8041E-2</v>
      </c>
      <c r="X49" s="8">
        <f>VLOOKUP($B49,'[1]Plant data'!$A$1:$AB$315,22,0)</f>
        <v>5.3345778338190118E-2</v>
      </c>
      <c r="Y49" s="8">
        <f>VLOOKUP($B49,'[1]Plant data'!$A$1:$AB$315,23,0)</f>
        <v>0.11043249918861621</v>
      </c>
      <c r="Z49" s="8">
        <f>VLOOKUP($B49,'[1]Plant data'!$A$1:$AB$315,24,0)</f>
        <v>0.88</v>
      </c>
      <c r="AA49" s="8" t="str">
        <f>VLOOKUP($B49,'[1]Plant data'!$A$1:$AB$315,25,0)</f>
        <v>NA</v>
      </c>
      <c r="AB49" s="8">
        <f t="shared" si="3"/>
        <v>0.16377827752680632</v>
      </c>
    </row>
    <row r="50" spans="1:28">
      <c r="A50" s="5" t="s">
        <v>43</v>
      </c>
      <c r="B50" s="15" t="s">
        <v>89</v>
      </c>
      <c r="C50" s="53">
        <v>9</v>
      </c>
      <c r="D50" s="58">
        <v>10</v>
      </c>
      <c r="E50" s="8">
        <f t="shared" si="4"/>
        <v>0.9</v>
      </c>
      <c r="F50" s="54">
        <v>14</v>
      </c>
      <c r="G50" s="9">
        <f>F50/C50</f>
        <v>1.5555555555555556</v>
      </c>
      <c r="H50" s="23">
        <f t="shared" si="1"/>
        <v>1.4000000000000001</v>
      </c>
      <c r="I50" t="s">
        <v>30</v>
      </c>
      <c r="J50" s="11">
        <v>32.5</v>
      </c>
      <c r="K50" s="11">
        <v>8.9205555560000001</v>
      </c>
      <c r="L50" t="str">
        <f>VLOOKUP(B50,'[1]Plant data'!$A$1:$AB$315,2,0)</f>
        <v>Myrtaceae</v>
      </c>
      <c r="M50" s="9" t="str">
        <f>VLOOKUP($B50,'[1]Plant data'!$A$1:$AB$315,6,0)</f>
        <v>NA</v>
      </c>
      <c r="N50" s="9">
        <f>VLOOKUP($B50,'[1]Plant data'!$A$1:$AB$315,7,0)</f>
        <v>22.3</v>
      </c>
      <c r="O50" s="8">
        <f>VLOOKUP($B50,'[1]Plant data'!$A$1:$AB$315,10,0)</f>
        <v>2.6</v>
      </c>
      <c r="P50" s="8" t="str">
        <f>VLOOKUP($B50,'[1]Plant data'!$A$1:$AB$315,11,0)</f>
        <v>NA</v>
      </c>
      <c r="Q50" s="8" t="str">
        <f>VLOOKUP($B50,'[1]Plant data'!$A$1:$AB$315,12,0)</f>
        <v>NA</v>
      </c>
      <c r="R50" s="8" t="str">
        <f>VLOOKUP($B50,'[1]Plant data'!$A$1:$AB$315,13,0)</f>
        <v>NA</v>
      </c>
      <c r="S50" s="8" t="str">
        <f>VLOOKUP($B50,'[1]Plant data'!$A$1:$AB$315,14,0)</f>
        <v>NA</v>
      </c>
      <c r="T50" s="11" t="str">
        <f>VLOOKUP($B50,'[1]Plant data'!$A$1:$AB$315,15,0)</f>
        <v>NA</v>
      </c>
      <c r="U50" s="9" t="str">
        <f>VLOOKUP($B50,'[1]Plant data'!$A$1:$AB$315,19,0)</f>
        <v>NA</v>
      </c>
      <c r="V50" s="8" t="str">
        <f>VLOOKUP($B50,'[1]Plant data'!$A$1:$AB$315,20,0)</f>
        <v>NA</v>
      </c>
      <c r="W50" s="8" t="str">
        <f>VLOOKUP($B50,'[1]Plant data'!$A$1:$AB$315,21,0)</f>
        <v>NA</v>
      </c>
      <c r="X50" s="8" t="str">
        <f>VLOOKUP($B50,'[1]Plant data'!$A$1:$AB$315,22,0)</f>
        <v>NA</v>
      </c>
      <c r="Y50" s="8" t="str">
        <f>VLOOKUP($B50,'[1]Plant data'!$A$1:$AB$315,23,0)</f>
        <v>NA</v>
      </c>
      <c r="Z50" s="8" t="str">
        <f>VLOOKUP($B50,'[1]Plant data'!$A$1:$AB$315,24,0)</f>
        <v>NA</v>
      </c>
      <c r="AA50" s="8" t="str">
        <f>VLOOKUP($B50,'[1]Plant data'!$A$1:$AB$315,25,0)</f>
        <v>NA</v>
      </c>
      <c r="AB50" s="8" t="s">
        <v>19</v>
      </c>
    </row>
    <row r="51" spans="1:28">
      <c r="A51" s="5" t="s">
        <v>43</v>
      </c>
      <c r="B51" s="14" t="s">
        <v>89</v>
      </c>
      <c r="C51" s="53">
        <v>9</v>
      </c>
      <c r="D51" s="58">
        <v>10</v>
      </c>
      <c r="E51" s="8">
        <f>C51/10</f>
        <v>0.9</v>
      </c>
      <c r="F51" s="54">
        <v>14</v>
      </c>
      <c r="G51" s="9">
        <v>1</v>
      </c>
      <c r="H51" s="23">
        <f t="shared" si="1"/>
        <v>0.9</v>
      </c>
      <c r="I51" t="s">
        <v>30</v>
      </c>
      <c r="J51" s="11">
        <v>32.5</v>
      </c>
      <c r="K51" s="11">
        <v>8.9205555560000001</v>
      </c>
      <c r="L51" t="str">
        <f>VLOOKUP(B51,'[1]Plant data'!$A$1:$AB$315,2,0)</f>
        <v>Myrtaceae</v>
      </c>
      <c r="M51" s="9" t="str">
        <f>VLOOKUP($B51,'[1]Plant data'!$A$1:$AB$315,6,0)</f>
        <v>NA</v>
      </c>
      <c r="N51" s="9">
        <f>VLOOKUP($B51,'[1]Plant data'!$A$1:$AB$315,7,0)</f>
        <v>22.3</v>
      </c>
      <c r="O51" s="8">
        <f>VLOOKUP($B51,'[1]Plant data'!$A$1:$AB$315,10,0)</f>
        <v>2.6</v>
      </c>
      <c r="P51" s="8" t="str">
        <f>VLOOKUP($B51,'[1]Plant data'!$A$1:$AB$315,11,0)</f>
        <v>NA</v>
      </c>
      <c r="Q51" s="8" t="str">
        <f>VLOOKUP($B51,'[1]Plant data'!$A$1:$AB$315,12,0)</f>
        <v>NA</v>
      </c>
      <c r="R51" s="8" t="str">
        <f>VLOOKUP($B51,'[1]Plant data'!$A$1:$AB$315,13,0)</f>
        <v>NA</v>
      </c>
      <c r="S51" s="8" t="str">
        <f>VLOOKUP($B51,'[1]Plant data'!$A$1:$AB$315,14,0)</f>
        <v>NA</v>
      </c>
      <c r="T51" s="11" t="str">
        <f>VLOOKUP($B51,'[1]Plant data'!$A$1:$AB$315,15,0)</f>
        <v>NA</v>
      </c>
      <c r="U51" s="9" t="str">
        <f>VLOOKUP($B51,'[1]Plant data'!$A$1:$AB$315,19,0)</f>
        <v>NA</v>
      </c>
      <c r="V51" s="8" t="str">
        <f>VLOOKUP($B51,'[1]Plant data'!$A$1:$AB$315,20,0)</f>
        <v>NA</v>
      </c>
      <c r="W51" s="8" t="str">
        <f>VLOOKUP($B51,'[1]Plant data'!$A$1:$AB$315,21,0)</f>
        <v>NA</v>
      </c>
      <c r="X51" s="8" t="str">
        <f>VLOOKUP($B51,'[1]Plant data'!$A$1:$AB$315,22,0)</f>
        <v>NA</v>
      </c>
      <c r="Y51" s="8" t="str">
        <f>VLOOKUP($B51,'[1]Plant data'!$A$1:$AB$315,23,0)</f>
        <v>NA</v>
      </c>
      <c r="Z51" s="8" t="str">
        <f>VLOOKUP($B51,'[1]Plant data'!$A$1:$AB$315,24,0)</f>
        <v>NA</v>
      </c>
      <c r="AA51" s="8" t="str">
        <f>VLOOKUP($B51,'[1]Plant data'!$A$1:$AB$315,25,0)</f>
        <v>NA</v>
      </c>
      <c r="AB51" s="8" t="s">
        <v>19</v>
      </c>
    </row>
    <row r="52" spans="1:28">
      <c r="A52" s="5" t="s">
        <v>96</v>
      </c>
      <c r="B52" s="15" t="s">
        <v>117</v>
      </c>
      <c r="C52" s="53">
        <v>1</v>
      </c>
      <c r="D52" s="58" t="s">
        <v>19</v>
      </c>
      <c r="E52" s="8" t="s">
        <v>19</v>
      </c>
      <c r="F52" s="54" t="s">
        <v>19</v>
      </c>
      <c r="G52" s="8" t="s">
        <v>19</v>
      </c>
      <c r="H52" s="23" t="s">
        <v>19</v>
      </c>
      <c r="I52" t="s">
        <v>101</v>
      </c>
      <c r="J52" s="11">
        <v>1770</v>
      </c>
      <c r="K52" s="11">
        <v>22.349</v>
      </c>
      <c r="L52" t="str">
        <f>VLOOKUP(B52,'[1]Plant data'!$A$1:$AB$315,2,0)</f>
        <v>Symplocaceae</v>
      </c>
      <c r="M52" s="9">
        <f>VLOOKUP($B52,'[1]Plant data'!$A$1:$AB$315,6,0)</f>
        <v>10.9</v>
      </c>
      <c r="N52" s="9" t="str">
        <f>VLOOKUP($B52,'[1]Plant data'!$A$1:$AB$315,7,0)</f>
        <v>NA</v>
      </c>
      <c r="O52" s="8" t="str">
        <f>VLOOKUP($B52,'[1]Plant data'!$A$1:$AB$315,10,0)</f>
        <v>NA</v>
      </c>
      <c r="P52" s="8" t="str">
        <f>VLOOKUP($B52,'[1]Plant data'!$A$1:$AB$315,11,0)</f>
        <v>NA</v>
      </c>
      <c r="Q52" s="8" t="str">
        <f>VLOOKUP($B52,'[1]Plant data'!$A$1:$AB$315,12,0)</f>
        <v>NA</v>
      </c>
      <c r="R52" s="8" t="str">
        <f>VLOOKUP($B52,'[1]Plant data'!$A$1:$AB$315,13,0)</f>
        <v>NA</v>
      </c>
      <c r="S52" s="8" t="str">
        <f>VLOOKUP($B52,'[1]Plant data'!$A$1:$AB$315,14,0)</f>
        <v>NA</v>
      </c>
      <c r="T52" s="11">
        <f>VLOOKUP($B52,'[1]Plant data'!$A$1:$AB$315,15,0)</f>
        <v>1</v>
      </c>
      <c r="U52" s="9" t="str">
        <f>VLOOKUP($B52,'[1]Plant data'!$A$1:$AB$315,19,0)</f>
        <v>NA</v>
      </c>
      <c r="V52" s="8" t="str">
        <f>VLOOKUP($B52,'[1]Plant data'!$A$1:$AB$315,20,0)</f>
        <v>NA</v>
      </c>
      <c r="W52" s="8" t="str">
        <f>VLOOKUP($B52,'[1]Plant data'!$A$1:$AB$315,21,0)</f>
        <v>NA</v>
      </c>
      <c r="X52" s="8" t="str">
        <f>VLOOKUP($B52,'[1]Plant data'!$A$1:$AB$315,22,0)</f>
        <v>NA</v>
      </c>
      <c r="Y52" s="8" t="str">
        <f>VLOOKUP($B52,'[1]Plant data'!$A$1:$AB$315,23,0)</f>
        <v>NA</v>
      </c>
      <c r="Z52" s="8" t="str">
        <f>VLOOKUP($B52,'[1]Plant data'!$A$1:$AB$315,24,0)</f>
        <v>NA</v>
      </c>
      <c r="AA52" s="8" t="str">
        <f>VLOOKUP($B52,'[1]Plant data'!$A$1:$AB$315,25,0)</f>
        <v>NA</v>
      </c>
      <c r="AB52" s="8" t="s">
        <v>19</v>
      </c>
    </row>
    <row r="53" spans="1:28">
      <c r="A53" s="5" t="s">
        <v>46</v>
      </c>
      <c r="B53" s="6" t="s">
        <v>117</v>
      </c>
      <c r="C53" s="53">
        <v>1</v>
      </c>
      <c r="D53" s="17">
        <v>24</v>
      </c>
      <c r="E53" s="8">
        <f>C53/24</f>
        <v>4.1666666666666664E-2</v>
      </c>
      <c r="F53" s="54">
        <v>1</v>
      </c>
      <c r="G53" s="9">
        <f>F53/C53</f>
        <v>1</v>
      </c>
      <c r="H53" s="23">
        <f>E53*G53</f>
        <v>4.1666666666666664E-2</v>
      </c>
      <c r="I53" t="s">
        <v>47</v>
      </c>
      <c r="J53" s="11">
        <v>54</v>
      </c>
      <c r="K53" s="11">
        <v>11.14875</v>
      </c>
      <c r="L53" t="str">
        <f>VLOOKUP(B53,'[1]Plant data'!$A$1:$AB$315,2,0)</f>
        <v>Symplocaceae</v>
      </c>
      <c r="M53" s="9">
        <f>VLOOKUP($B53,'[1]Plant data'!$A$1:$AB$315,6,0)</f>
        <v>10.9</v>
      </c>
      <c r="N53" s="9" t="str">
        <f>VLOOKUP($B53,'[1]Plant data'!$A$1:$AB$315,7,0)</f>
        <v>NA</v>
      </c>
      <c r="O53" s="8" t="str">
        <f>VLOOKUP($B53,'[1]Plant data'!$A$1:$AB$315,10,0)</f>
        <v>NA</v>
      </c>
      <c r="P53" s="8" t="str">
        <f>VLOOKUP($B53,'[1]Plant data'!$A$1:$AB$315,11,0)</f>
        <v>NA</v>
      </c>
      <c r="Q53" s="8" t="str">
        <f>VLOOKUP($B53,'[1]Plant data'!$A$1:$AB$315,12,0)</f>
        <v>NA</v>
      </c>
      <c r="R53" s="8" t="str">
        <f>VLOOKUP($B53,'[1]Plant data'!$A$1:$AB$315,13,0)</f>
        <v>NA</v>
      </c>
      <c r="S53" s="8" t="str">
        <f>VLOOKUP($B53,'[1]Plant data'!$A$1:$AB$315,14,0)</f>
        <v>NA</v>
      </c>
      <c r="T53" s="11">
        <f>VLOOKUP($B53,'[1]Plant data'!$A$1:$AB$315,15,0)</f>
        <v>1</v>
      </c>
      <c r="U53" s="9" t="str">
        <f>VLOOKUP($B53,'[1]Plant data'!$A$1:$AB$315,19,0)</f>
        <v>NA</v>
      </c>
      <c r="V53" s="8" t="str">
        <f>VLOOKUP($B53,'[1]Plant data'!$A$1:$AB$315,20,0)</f>
        <v>NA</v>
      </c>
      <c r="W53" s="8" t="str">
        <f>VLOOKUP($B53,'[1]Plant data'!$A$1:$AB$315,21,0)</f>
        <v>NA</v>
      </c>
      <c r="X53" s="8" t="str">
        <f>VLOOKUP($B53,'[1]Plant data'!$A$1:$AB$315,22,0)</f>
        <v>NA</v>
      </c>
      <c r="Y53" s="8" t="str">
        <f>VLOOKUP($B53,'[1]Plant data'!$A$1:$AB$315,23,0)</f>
        <v>NA</v>
      </c>
      <c r="Z53" s="8" t="str">
        <f>VLOOKUP($B53,'[1]Plant data'!$A$1:$AB$315,24,0)</f>
        <v>NA</v>
      </c>
      <c r="AA53" s="8" t="str">
        <f>VLOOKUP($B53,'[1]Plant data'!$A$1:$AB$315,25,0)</f>
        <v>NA</v>
      </c>
      <c r="AB53" s="8" t="s">
        <v>19</v>
      </c>
    </row>
    <row r="54" spans="1:28">
      <c r="A54" s="5" t="s">
        <v>50</v>
      </c>
      <c r="B54" s="14" t="s">
        <v>117</v>
      </c>
      <c r="C54" s="53">
        <v>3</v>
      </c>
      <c r="D54" s="17">
        <v>24</v>
      </c>
      <c r="E54" s="8">
        <f>C54/24</f>
        <v>0.125</v>
      </c>
      <c r="F54" s="54">
        <v>11</v>
      </c>
      <c r="G54" s="9">
        <f>F54/C54</f>
        <v>3.6666666666666665</v>
      </c>
      <c r="H54" s="23">
        <f>E54*G54</f>
        <v>0.45833333333333331</v>
      </c>
      <c r="I54" t="s">
        <v>47</v>
      </c>
      <c r="J54" s="11">
        <v>69.5</v>
      </c>
      <c r="K54" s="11">
        <v>13.253214290000001</v>
      </c>
      <c r="L54" t="str">
        <f>VLOOKUP(B54,'[1]Plant data'!$A$1:$AB$315,2,0)</f>
        <v>Symplocaceae</v>
      </c>
      <c r="M54" s="9">
        <f>VLOOKUP($B54,'[1]Plant data'!$A$1:$AB$315,6,0)</f>
        <v>10.9</v>
      </c>
      <c r="N54" s="9" t="str">
        <f>VLOOKUP($B54,'[1]Plant data'!$A$1:$AB$315,7,0)</f>
        <v>NA</v>
      </c>
      <c r="O54" s="8" t="str">
        <f>VLOOKUP($B54,'[1]Plant data'!$A$1:$AB$315,10,0)</f>
        <v>NA</v>
      </c>
      <c r="P54" s="8" t="str">
        <f>VLOOKUP($B54,'[1]Plant data'!$A$1:$AB$315,11,0)</f>
        <v>NA</v>
      </c>
      <c r="Q54" s="8" t="str">
        <f>VLOOKUP($B54,'[1]Plant data'!$A$1:$AB$315,12,0)</f>
        <v>NA</v>
      </c>
      <c r="R54" s="8" t="str">
        <f>VLOOKUP($B54,'[1]Plant data'!$A$1:$AB$315,13,0)</f>
        <v>NA</v>
      </c>
      <c r="S54" s="8" t="str">
        <f>VLOOKUP($B54,'[1]Plant data'!$A$1:$AB$315,14,0)</f>
        <v>NA</v>
      </c>
      <c r="T54" s="11">
        <f>VLOOKUP($B54,'[1]Plant data'!$A$1:$AB$315,15,0)</f>
        <v>1</v>
      </c>
      <c r="U54" s="9" t="str">
        <f>VLOOKUP($B54,'[1]Plant data'!$A$1:$AB$315,19,0)</f>
        <v>NA</v>
      </c>
      <c r="V54" s="8" t="str">
        <f>VLOOKUP($B54,'[1]Plant data'!$A$1:$AB$315,20,0)</f>
        <v>NA</v>
      </c>
      <c r="W54" s="8" t="str">
        <f>VLOOKUP($B54,'[1]Plant data'!$A$1:$AB$315,21,0)</f>
        <v>NA</v>
      </c>
      <c r="X54" s="8" t="str">
        <f>VLOOKUP($B54,'[1]Plant data'!$A$1:$AB$315,22,0)</f>
        <v>NA</v>
      </c>
      <c r="Y54" s="8" t="str">
        <f>VLOOKUP($B54,'[1]Plant data'!$A$1:$AB$315,23,0)</f>
        <v>NA</v>
      </c>
      <c r="Z54" s="8" t="str">
        <f>VLOOKUP($B54,'[1]Plant data'!$A$1:$AB$315,24,0)</f>
        <v>NA</v>
      </c>
      <c r="AA54" s="8" t="str">
        <f>VLOOKUP($B54,'[1]Plant data'!$A$1:$AB$315,25,0)</f>
        <v>NA</v>
      </c>
      <c r="AB54" s="8" t="s">
        <v>19</v>
      </c>
    </row>
    <row r="55" spans="1:28">
      <c r="A55" s="5" t="s">
        <v>43</v>
      </c>
      <c r="B55" s="14" t="s">
        <v>201</v>
      </c>
      <c r="C55" s="53">
        <v>1</v>
      </c>
      <c r="D55" s="59" t="s">
        <v>19</v>
      </c>
      <c r="E55" s="23" t="s">
        <v>19</v>
      </c>
      <c r="F55" s="54">
        <v>3</v>
      </c>
      <c r="G55" s="9">
        <f>F55/C55</f>
        <v>3</v>
      </c>
      <c r="H55" s="23" t="s">
        <v>19</v>
      </c>
      <c r="I55" t="s">
        <v>30</v>
      </c>
      <c r="J55" s="11">
        <v>32.5</v>
      </c>
      <c r="K55" s="11">
        <v>8.9205555560000001</v>
      </c>
      <c r="L55" t="str">
        <f>VLOOKUP(B55,'[1]Plant data'!$A$1:$AB$315,2,0)</f>
        <v>Styracaceae</v>
      </c>
      <c r="M55" s="9">
        <f>VLOOKUP($B55,'[1]Plant data'!$A$1:$AB$315,6,0)</f>
        <v>9.0500000000000007</v>
      </c>
      <c r="N55" s="9">
        <f>VLOOKUP($B55,'[1]Plant data'!$A$1:$AB$315,7,0)</f>
        <v>10</v>
      </c>
      <c r="O55" s="8" t="str">
        <f>VLOOKUP($B55,'[1]Plant data'!$A$1:$AB$315,10,0)</f>
        <v>NA</v>
      </c>
      <c r="P55" s="8" t="str">
        <f>VLOOKUP($B55,'[1]Plant data'!$A$1:$AB$315,11,0)</f>
        <v>NA</v>
      </c>
      <c r="Q55" s="8" t="str">
        <f>VLOOKUP($B55,'[1]Plant data'!$A$1:$AB$315,12,0)</f>
        <v>NA</v>
      </c>
      <c r="R55" s="8" t="str">
        <f>VLOOKUP($B55,'[1]Plant data'!$A$1:$AB$315,13,0)</f>
        <v>NA</v>
      </c>
      <c r="S55" s="8" t="str">
        <f>VLOOKUP($B55,'[1]Plant data'!$A$1:$AB$315,14,0)</f>
        <v>NA</v>
      </c>
      <c r="T55" s="11">
        <f>VLOOKUP($B55,'[1]Plant data'!$A$1:$AB$315,15,0)</f>
        <v>1</v>
      </c>
      <c r="U55" s="9" t="str">
        <f>VLOOKUP($B55,'[1]Plant data'!$A$1:$AB$315,19,0)</f>
        <v>NA</v>
      </c>
      <c r="V55" s="8" t="str">
        <f>VLOOKUP($B55,'[1]Plant data'!$A$1:$AB$315,20,0)</f>
        <v>NA</v>
      </c>
      <c r="W55" s="8" t="str">
        <f>VLOOKUP($B55,'[1]Plant data'!$A$1:$AB$315,21,0)</f>
        <v>NA</v>
      </c>
      <c r="X55" s="8" t="str">
        <f>VLOOKUP($B55,'[1]Plant data'!$A$1:$AB$315,22,0)</f>
        <v>NA</v>
      </c>
      <c r="Y55" s="8" t="str">
        <f>VLOOKUP($B55,'[1]Plant data'!$A$1:$AB$315,23,0)</f>
        <v>NA</v>
      </c>
      <c r="Z55" s="8" t="str">
        <f>VLOOKUP($B55,'[1]Plant data'!$A$1:$AB$315,24,0)</f>
        <v>NA</v>
      </c>
      <c r="AA55" s="8" t="str">
        <f>VLOOKUP($B55,'[1]Plant data'!$A$1:$AB$315,25,0)</f>
        <v>NA</v>
      </c>
      <c r="AB55" s="8" t="s">
        <v>19</v>
      </c>
    </row>
    <row r="56" spans="1:28">
      <c r="A56" s="5" t="s">
        <v>46</v>
      </c>
      <c r="B56" s="6" t="s">
        <v>201</v>
      </c>
      <c r="C56" s="53">
        <v>3</v>
      </c>
      <c r="D56" s="59" t="s">
        <v>19</v>
      </c>
      <c r="E56" s="23" t="s">
        <v>19</v>
      </c>
      <c r="F56" s="54">
        <v>8</v>
      </c>
      <c r="G56" s="9">
        <f>F56/C56</f>
        <v>2.6666666666666665</v>
      </c>
      <c r="H56" s="23" t="s">
        <v>19</v>
      </c>
      <c r="I56" t="s">
        <v>47</v>
      </c>
      <c r="J56" s="11">
        <v>54</v>
      </c>
      <c r="K56" s="11">
        <v>11.14875</v>
      </c>
      <c r="L56" t="str">
        <f>VLOOKUP(B56,'[1]Plant data'!$A$1:$AB$315,2,0)</f>
        <v>Styracaceae</v>
      </c>
      <c r="M56" s="9">
        <f>VLOOKUP($B56,'[1]Plant data'!$A$1:$AB$315,6,0)</f>
        <v>9.0500000000000007</v>
      </c>
      <c r="N56" s="9">
        <f>VLOOKUP($B56,'[1]Plant data'!$A$1:$AB$315,7,0)</f>
        <v>10</v>
      </c>
      <c r="O56" s="8" t="str">
        <f>VLOOKUP($B56,'[1]Plant data'!$A$1:$AB$315,10,0)</f>
        <v>NA</v>
      </c>
      <c r="P56" s="8" t="str">
        <f>VLOOKUP($B56,'[1]Plant data'!$A$1:$AB$315,11,0)</f>
        <v>NA</v>
      </c>
      <c r="Q56" s="8" t="str">
        <f>VLOOKUP($B56,'[1]Plant data'!$A$1:$AB$315,12,0)</f>
        <v>NA</v>
      </c>
      <c r="R56" s="8" t="str">
        <f>VLOOKUP($B56,'[1]Plant data'!$A$1:$AB$315,13,0)</f>
        <v>NA</v>
      </c>
      <c r="S56" s="8" t="str">
        <f>VLOOKUP($B56,'[1]Plant data'!$A$1:$AB$315,14,0)</f>
        <v>NA</v>
      </c>
      <c r="T56" s="11">
        <f>VLOOKUP($B56,'[1]Plant data'!$A$1:$AB$315,15,0)</f>
        <v>1</v>
      </c>
      <c r="U56" s="9" t="str">
        <f>VLOOKUP($B56,'[1]Plant data'!$A$1:$AB$315,19,0)</f>
        <v>NA</v>
      </c>
      <c r="V56" s="8" t="str">
        <f>VLOOKUP($B56,'[1]Plant data'!$A$1:$AB$315,20,0)</f>
        <v>NA</v>
      </c>
      <c r="W56" s="8" t="str">
        <f>VLOOKUP($B56,'[1]Plant data'!$A$1:$AB$315,21,0)</f>
        <v>NA</v>
      </c>
      <c r="X56" s="8" t="str">
        <f>VLOOKUP($B56,'[1]Plant data'!$A$1:$AB$315,22,0)</f>
        <v>NA</v>
      </c>
      <c r="Y56" s="8" t="str">
        <f>VLOOKUP($B56,'[1]Plant data'!$A$1:$AB$315,23,0)</f>
        <v>NA</v>
      </c>
      <c r="Z56" s="8" t="str">
        <f>VLOOKUP($B56,'[1]Plant data'!$A$1:$AB$315,24,0)</f>
        <v>NA</v>
      </c>
      <c r="AA56" s="8" t="str">
        <f>VLOOKUP($B56,'[1]Plant data'!$A$1:$AB$315,25,0)</f>
        <v>NA</v>
      </c>
      <c r="AB56" s="8" t="s">
        <v>19</v>
      </c>
    </row>
    <row r="57" spans="1:28">
      <c r="A57" s="5" t="s">
        <v>50</v>
      </c>
      <c r="B57" s="14" t="s">
        <v>197</v>
      </c>
      <c r="C57" s="53">
        <v>1</v>
      </c>
      <c r="D57" s="11" t="s">
        <v>19</v>
      </c>
      <c r="E57" s="8" t="s">
        <v>19</v>
      </c>
      <c r="F57" s="54" t="s">
        <v>19</v>
      </c>
      <c r="G57" s="9" t="s">
        <v>184</v>
      </c>
      <c r="H57" s="23" t="s">
        <v>19</v>
      </c>
      <c r="I57" t="s">
        <v>47</v>
      </c>
      <c r="J57" s="11">
        <v>69.5</v>
      </c>
      <c r="K57" s="11">
        <v>13.253214290000001</v>
      </c>
      <c r="L57" t="str">
        <f>VLOOKUP(B57,'[1]Plant data'!$A$1:$AB$315,2,0)</f>
        <v>Loranthaceae</v>
      </c>
      <c r="M57" s="9">
        <f>VLOOKUP($B57,'[1]Plant data'!$A$1:$AB$315,6,0)</f>
        <v>4.3499999999999996</v>
      </c>
      <c r="N57" s="9">
        <f>VLOOKUP($B57,'[1]Plant data'!$A$1:$AB$315,7,0)</f>
        <v>6.7249999999999996</v>
      </c>
      <c r="O57" s="8">
        <f>VLOOKUP($B57,'[1]Plant data'!$A$1:$AB$315,10,0)</f>
        <v>0.11399999999999999</v>
      </c>
      <c r="P57" s="8" t="str">
        <f>VLOOKUP($B57,'[1]Plant data'!$A$1:$AB$315,11,0)</f>
        <v>NA</v>
      </c>
      <c r="Q57" s="8">
        <f>VLOOKUP($B57,'[1]Plant data'!$A$1:$AB$315,12,0)</f>
        <v>2.1750000000000002E-2</v>
      </c>
      <c r="R57" s="8">
        <f>VLOOKUP($B57,'[1]Plant data'!$A$1:$AB$315,13,0)</f>
        <v>9.2249999999999999E-2</v>
      </c>
      <c r="S57" s="8">
        <f>VLOOKUP($B57,'[1]Plant data'!$A$1:$AB$315,14,0)</f>
        <v>2.1750000000000002E-2</v>
      </c>
      <c r="T57" s="11">
        <f>VLOOKUP($B57,'[1]Plant data'!$A$1:$AB$315,15,0)</f>
        <v>1</v>
      </c>
      <c r="U57" s="9" t="str">
        <f>VLOOKUP($B57,'[1]Plant data'!$A$1:$AB$315,19,0)</f>
        <v>NA</v>
      </c>
      <c r="V57" s="8" t="str">
        <f>VLOOKUP($B57,'[1]Plant data'!$A$1:$AB$315,20,0)</f>
        <v>NA</v>
      </c>
      <c r="W57" s="8" t="str">
        <f>VLOOKUP($B57,'[1]Plant data'!$A$1:$AB$315,21,0)</f>
        <v>NA</v>
      </c>
      <c r="X57" s="8" t="str">
        <f>VLOOKUP($B57,'[1]Plant data'!$A$1:$AB$315,22,0)</f>
        <v>NA</v>
      </c>
      <c r="Y57" s="8" t="str">
        <f>VLOOKUP($B57,'[1]Plant data'!$A$1:$AB$315,23,0)</f>
        <v>NA</v>
      </c>
      <c r="Z57" s="8" t="str">
        <f>VLOOKUP($B57,'[1]Plant data'!$A$1:$AB$315,24,0)</f>
        <v>NA</v>
      </c>
      <c r="AA57" s="8" t="str">
        <f>VLOOKUP($B57,'[1]Plant data'!$A$1:$AB$315,25,0)</f>
        <v>NA</v>
      </c>
      <c r="AB57" s="8" t="s">
        <v>19</v>
      </c>
    </row>
    <row r="58" spans="1:28">
      <c r="A58" s="5" t="s">
        <v>70</v>
      </c>
      <c r="B58" s="15" t="s">
        <v>77</v>
      </c>
      <c r="C58" s="53">
        <v>7</v>
      </c>
      <c r="D58" s="58">
        <v>15.8</v>
      </c>
      <c r="E58" s="8">
        <f>C58/15.8</f>
        <v>0.44303797468354428</v>
      </c>
      <c r="F58" t="s">
        <v>19</v>
      </c>
      <c r="G58" t="s">
        <v>19</v>
      </c>
      <c r="H58" s="23" t="s">
        <v>19</v>
      </c>
      <c r="I58" t="s">
        <v>23</v>
      </c>
      <c r="J58" s="11">
        <v>15</v>
      </c>
      <c r="K58" s="11">
        <v>6.9235714289999999</v>
      </c>
      <c r="L58" t="str">
        <f>VLOOKUP(B58,'[1]Plant data'!$A$1:$AB$315,2,0)</f>
        <v>Moraceae</v>
      </c>
      <c r="M58" s="9">
        <f>VLOOKUP($B58,'[1]Plant data'!$A$1:$AB$315,6,0)</f>
        <v>12.327500000000001</v>
      </c>
      <c r="N58" s="9">
        <f>VLOOKUP($B58,'[1]Plant data'!$A$1:$AB$315,7,0)</f>
        <v>13.815000000000001</v>
      </c>
      <c r="O58" s="8">
        <f>VLOOKUP($B58,'[1]Plant data'!$A$1:$AB$315,10,0)</f>
        <v>1.7966666666666666</v>
      </c>
      <c r="P58" s="8">
        <f>VLOOKUP($B58,'[1]Plant data'!$A$1:$AB$315,11,0)</f>
        <v>2.15</v>
      </c>
      <c r="Q58" s="8">
        <f>VLOOKUP($B58,'[1]Plant data'!$A$1:$AB$315,12,0)</f>
        <v>0.58499999999999996</v>
      </c>
      <c r="R58" s="8">
        <f>VLOOKUP($B58,'[1]Plant data'!$A$1:$AB$315,13,0)</f>
        <v>0.28999999999999998</v>
      </c>
      <c r="S58" s="8">
        <f>VLOOKUP($B58,'[1]Plant data'!$A$1:$AB$315,14,0)</f>
        <v>0.64</v>
      </c>
      <c r="T58" s="11">
        <f>VLOOKUP($B58,'[1]Plant data'!$A$1:$AB$315,15,0)</f>
        <v>1</v>
      </c>
      <c r="U58" s="9">
        <f>VLOOKUP($B58,'[1]Plant data'!$A$1:$AB$315,19,0)</f>
        <v>0.77099999999999991</v>
      </c>
      <c r="V58" s="8">
        <f>VLOOKUP($B58,'[1]Plant data'!$A$1:$AB$315,20,0)</f>
        <v>0.05</v>
      </c>
      <c r="W58" s="8">
        <f>VLOOKUP($B58,'[1]Plant data'!$A$1:$AB$315,21,0)</f>
        <v>0.10300000000000001</v>
      </c>
      <c r="X58" s="8" t="str">
        <f>VLOOKUP($B58,'[1]Plant data'!$A$1:$AB$315,22,0)</f>
        <v>NA</v>
      </c>
      <c r="Y58" s="8" t="str">
        <f>VLOOKUP($B58,'[1]Plant data'!$A$1:$AB$315,23,0)</f>
        <v>NA</v>
      </c>
      <c r="Z58" s="8" t="str">
        <f>VLOOKUP($B58,'[1]Plant data'!$A$1:$AB$315,24,0)</f>
        <v>NA</v>
      </c>
      <c r="AA58" s="8">
        <f>VLOOKUP($B58,'[1]Plant data'!$A$1:$AB$315,25,0)</f>
        <v>0.81099999999999994</v>
      </c>
      <c r="AB58" s="8" t="s">
        <v>19</v>
      </c>
    </row>
    <row r="59" spans="1:28">
      <c r="A59" s="5" t="s">
        <v>74</v>
      </c>
      <c r="B59" s="15" t="s">
        <v>77</v>
      </c>
      <c r="C59" s="53">
        <v>3</v>
      </c>
      <c r="D59" s="58">
        <v>15.8</v>
      </c>
      <c r="E59" s="8">
        <f>C59/15.8</f>
        <v>0.18987341772151897</v>
      </c>
      <c r="F59" t="s">
        <v>19</v>
      </c>
      <c r="G59" t="s">
        <v>19</v>
      </c>
      <c r="H59" t="s">
        <v>19</v>
      </c>
      <c r="I59" t="s">
        <v>75</v>
      </c>
      <c r="J59" s="11">
        <v>200</v>
      </c>
      <c r="K59" s="11">
        <v>23.614285710000001</v>
      </c>
      <c r="L59" t="str">
        <f>VLOOKUP(B59,'[1]Plant data'!$A$1:$AB$315,2,0)</f>
        <v>Moraceae</v>
      </c>
      <c r="M59" s="9">
        <f>VLOOKUP($B59,'[1]Plant data'!$A$1:$AB$315,6,0)</f>
        <v>12.327500000000001</v>
      </c>
      <c r="N59" s="9">
        <f>VLOOKUP($B59,'[1]Plant data'!$A$1:$AB$315,7,0)</f>
        <v>13.815000000000001</v>
      </c>
      <c r="O59" s="8">
        <f>VLOOKUP($B59,'[1]Plant data'!$A$1:$AB$315,10,0)</f>
        <v>1.7966666666666666</v>
      </c>
      <c r="P59" s="8">
        <f>VLOOKUP($B59,'[1]Plant data'!$A$1:$AB$315,11,0)</f>
        <v>2.15</v>
      </c>
      <c r="Q59" s="8">
        <f>VLOOKUP($B59,'[1]Plant data'!$A$1:$AB$315,12,0)</f>
        <v>0.58499999999999996</v>
      </c>
      <c r="R59" s="8">
        <f>VLOOKUP($B59,'[1]Plant data'!$A$1:$AB$315,13,0)</f>
        <v>0.28999999999999998</v>
      </c>
      <c r="S59" s="8">
        <f>VLOOKUP($B59,'[1]Plant data'!$A$1:$AB$315,14,0)</f>
        <v>0.64</v>
      </c>
      <c r="T59" s="11">
        <f>VLOOKUP($B59,'[1]Plant data'!$A$1:$AB$315,15,0)</f>
        <v>1</v>
      </c>
      <c r="U59" s="9">
        <f>VLOOKUP($B59,'[1]Plant data'!$A$1:$AB$315,19,0)</f>
        <v>0.77099999999999991</v>
      </c>
      <c r="V59" s="8">
        <f>VLOOKUP($B59,'[1]Plant data'!$A$1:$AB$315,20,0)</f>
        <v>0.05</v>
      </c>
      <c r="W59" s="8">
        <f>VLOOKUP($B59,'[1]Plant data'!$A$1:$AB$315,21,0)</f>
        <v>0.10300000000000001</v>
      </c>
      <c r="X59" s="8" t="str">
        <f>VLOOKUP($B59,'[1]Plant data'!$A$1:$AB$315,22,0)</f>
        <v>NA</v>
      </c>
      <c r="Y59" s="8" t="str">
        <f>VLOOKUP($B59,'[1]Plant data'!$A$1:$AB$315,23,0)</f>
        <v>NA</v>
      </c>
      <c r="Z59" s="8" t="str">
        <f>VLOOKUP($B59,'[1]Plant data'!$A$1:$AB$315,24,0)</f>
        <v>NA</v>
      </c>
      <c r="AA59" s="8">
        <f>VLOOKUP($B59,'[1]Plant data'!$A$1:$AB$315,25,0)</f>
        <v>0.81099999999999994</v>
      </c>
      <c r="AB59" s="8" t="s">
        <v>19</v>
      </c>
    </row>
    <row r="60" spans="1:28">
      <c r="A60" s="5" t="s">
        <v>43</v>
      </c>
      <c r="B60" s="15" t="s">
        <v>77</v>
      </c>
      <c r="C60" s="53">
        <v>4</v>
      </c>
      <c r="D60" s="58">
        <v>15.8</v>
      </c>
      <c r="E60" s="8">
        <f>C60/15.8</f>
        <v>0.25316455696202528</v>
      </c>
      <c r="F60" t="s">
        <v>19</v>
      </c>
      <c r="G60" t="s">
        <v>19</v>
      </c>
      <c r="H60" t="s">
        <v>19</v>
      </c>
      <c r="I60" t="s">
        <v>30</v>
      </c>
      <c r="J60" s="11">
        <v>32.5</v>
      </c>
      <c r="K60" s="11">
        <v>8.9205555560000001</v>
      </c>
      <c r="L60" t="str">
        <f>VLOOKUP(B60,'[1]Plant data'!$A$1:$AB$315,2,0)</f>
        <v>Moraceae</v>
      </c>
      <c r="M60" s="9">
        <f>VLOOKUP($B60,'[1]Plant data'!$A$1:$AB$315,6,0)</f>
        <v>12.327500000000001</v>
      </c>
      <c r="N60" s="9">
        <f>VLOOKUP($B60,'[1]Plant data'!$A$1:$AB$315,7,0)</f>
        <v>13.815000000000001</v>
      </c>
      <c r="O60" s="8">
        <f>VLOOKUP($B60,'[1]Plant data'!$A$1:$AB$315,10,0)</f>
        <v>1.7966666666666666</v>
      </c>
      <c r="P60" s="8">
        <f>VLOOKUP($B60,'[1]Plant data'!$A$1:$AB$315,11,0)</f>
        <v>2.15</v>
      </c>
      <c r="Q60" s="8">
        <f>VLOOKUP($B60,'[1]Plant data'!$A$1:$AB$315,12,0)</f>
        <v>0.58499999999999996</v>
      </c>
      <c r="R60" s="8">
        <f>VLOOKUP($B60,'[1]Plant data'!$A$1:$AB$315,13,0)</f>
        <v>0.28999999999999998</v>
      </c>
      <c r="S60" s="8">
        <f>VLOOKUP($B60,'[1]Plant data'!$A$1:$AB$315,14,0)</f>
        <v>0.64</v>
      </c>
      <c r="T60" s="11">
        <f>VLOOKUP($B60,'[1]Plant data'!$A$1:$AB$315,15,0)</f>
        <v>1</v>
      </c>
      <c r="U60" s="9">
        <f>VLOOKUP($B60,'[1]Plant data'!$A$1:$AB$315,19,0)</f>
        <v>0.77099999999999991</v>
      </c>
      <c r="V60" s="8">
        <f>VLOOKUP($B60,'[1]Plant data'!$A$1:$AB$315,20,0)</f>
        <v>0.05</v>
      </c>
      <c r="W60" s="8">
        <f>VLOOKUP($B60,'[1]Plant data'!$A$1:$AB$315,21,0)</f>
        <v>0.10300000000000001</v>
      </c>
      <c r="X60" s="8" t="str">
        <f>VLOOKUP($B60,'[1]Plant data'!$A$1:$AB$315,22,0)</f>
        <v>NA</v>
      </c>
      <c r="Y60" s="8" t="str">
        <f>VLOOKUP($B60,'[1]Plant data'!$A$1:$AB$315,23,0)</f>
        <v>NA</v>
      </c>
      <c r="Z60" s="8" t="str">
        <f>VLOOKUP($B60,'[1]Plant data'!$A$1:$AB$315,24,0)</f>
        <v>NA</v>
      </c>
      <c r="AA60" s="8">
        <f>VLOOKUP($B60,'[1]Plant data'!$A$1:$AB$315,25,0)</f>
        <v>0.81099999999999994</v>
      </c>
      <c r="AB60" s="8" t="s">
        <v>19</v>
      </c>
    </row>
    <row r="61" spans="1:28">
      <c r="A61" s="21" t="s">
        <v>50</v>
      </c>
      <c r="B61" s="22" t="s">
        <v>234</v>
      </c>
      <c r="C61" s="55">
        <v>2</v>
      </c>
      <c r="D61" s="17">
        <v>32</v>
      </c>
      <c r="E61" s="23">
        <f>C61/32</f>
        <v>6.25E-2</v>
      </c>
      <c r="F61" s="55">
        <v>20</v>
      </c>
      <c r="G61" s="19">
        <v>10</v>
      </c>
      <c r="H61" s="23">
        <f>E61*G61</f>
        <v>0.625</v>
      </c>
      <c r="I61" s="16" t="s">
        <v>47</v>
      </c>
      <c r="J61" s="17">
        <v>69.5</v>
      </c>
      <c r="K61" s="17">
        <v>13.253214290000001</v>
      </c>
      <c r="L61" t="str">
        <f>VLOOKUP(B61,'[1]Plant data'!$A$1:$AB$315,2,0)</f>
        <v>Solanaceae</v>
      </c>
      <c r="M61" s="9">
        <f>VLOOKUP($B61,'[1]Plant data'!$A$1:$AB$315,6,0)</f>
        <v>8.6</v>
      </c>
      <c r="N61" s="9">
        <f>VLOOKUP($B61,'[1]Plant data'!$A$1:$AB$315,7,0)</f>
        <v>8.6999999999999993</v>
      </c>
      <c r="O61" s="8">
        <f>VLOOKUP($B61,'[1]Plant data'!$A$1:$AB$315,10,0)</f>
        <v>0.4</v>
      </c>
      <c r="P61" s="8" t="str">
        <f>VLOOKUP($B61,'[1]Plant data'!$A$1:$AB$315,11,0)</f>
        <v>NA</v>
      </c>
      <c r="Q61" s="8" t="str">
        <f>VLOOKUP($B61,'[1]Plant data'!$A$1:$AB$315,12,0)</f>
        <v>NA</v>
      </c>
      <c r="R61" s="8" t="str">
        <f>VLOOKUP($B61,'[1]Plant data'!$A$1:$AB$315,13,0)</f>
        <v>NA</v>
      </c>
      <c r="S61" s="8" t="str">
        <f>VLOOKUP($B61,'[1]Plant data'!$A$1:$AB$315,14,0)</f>
        <v>NA</v>
      </c>
      <c r="T61" s="11">
        <f>VLOOKUP($B61,'[1]Plant data'!$A$1:$AB$315,15,0)</f>
        <v>9.5</v>
      </c>
      <c r="U61" s="9">
        <f>VLOOKUP($B61,'[1]Plant data'!$A$1:$AB$315,19,0)</f>
        <v>0.69</v>
      </c>
      <c r="V61" s="8">
        <f>VLOOKUP($B61,'[1]Plant data'!$A$1:$AB$315,20,0)</f>
        <v>3.0000000000000001E-3</v>
      </c>
      <c r="W61" s="8" t="str">
        <f>VLOOKUP($B61,'[1]Plant data'!$A$1:$AB$315,21,0)</f>
        <v>NA</v>
      </c>
      <c r="X61" s="8" t="str">
        <f>VLOOKUP($B61,'[1]Plant data'!$A$1:$AB$315,22,0)</f>
        <v>NA</v>
      </c>
      <c r="Y61" s="8" t="str">
        <f>VLOOKUP($B61,'[1]Plant data'!$A$1:$AB$315,23,0)</f>
        <v>NA</v>
      </c>
      <c r="Z61" s="8" t="str">
        <f>VLOOKUP($B61,'[1]Plant data'!$A$1:$AB$315,24,0)</f>
        <v>NA</v>
      </c>
      <c r="AA61" s="8" t="str">
        <f>VLOOKUP($B61,'[1]Plant data'!$A$1:$AB$315,25,0)</f>
        <v>NA</v>
      </c>
      <c r="AB61" s="8" t="s">
        <v>19</v>
      </c>
    </row>
    <row r="62" spans="1:28">
      <c r="A62" s="5" t="s">
        <v>43</v>
      </c>
      <c r="B62" s="14" t="s">
        <v>276</v>
      </c>
      <c r="C62" s="53">
        <v>5</v>
      </c>
      <c r="D62" s="17">
        <v>10</v>
      </c>
      <c r="E62" s="8">
        <f>C62/10</f>
        <v>0.5</v>
      </c>
      <c r="F62" s="54">
        <v>5</v>
      </c>
      <c r="G62" s="9">
        <f>F62/C62</f>
        <v>1</v>
      </c>
      <c r="H62" s="23">
        <f>E62*G62</f>
        <v>0.5</v>
      </c>
      <c r="I62" t="s">
        <v>30</v>
      </c>
      <c r="J62" s="11">
        <v>32.5</v>
      </c>
      <c r="K62" s="11">
        <v>8.9205555560000001</v>
      </c>
      <c r="L62" t="str">
        <f>VLOOKUP(B62,'[1]Plant data'!$A$1:$AB$315,2,0)</f>
        <v>Solanaceae</v>
      </c>
      <c r="M62" s="9" t="str">
        <f>VLOOKUP($B62,'[1]Plant data'!$A$1:$AB$315,6,0)</f>
        <v>NA</v>
      </c>
      <c r="N62" s="9" t="str">
        <f>VLOOKUP($B62,'[1]Plant data'!$A$1:$AB$315,7,0)</f>
        <v>NA</v>
      </c>
      <c r="O62" s="8" t="str">
        <f>VLOOKUP($B62,'[1]Plant data'!$A$1:$AB$315,10,0)</f>
        <v>NA</v>
      </c>
      <c r="P62" s="8" t="str">
        <f>VLOOKUP($B62,'[1]Plant data'!$A$1:$AB$315,11,0)</f>
        <v>NA</v>
      </c>
      <c r="Q62" s="8" t="str">
        <f>VLOOKUP($B62,'[1]Plant data'!$A$1:$AB$315,12,0)</f>
        <v>NA</v>
      </c>
      <c r="R62" s="8" t="str">
        <f>VLOOKUP($B62,'[1]Plant data'!$A$1:$AB$315,13,0)</f>
        <v>NA</v>
      </c>
      <c r="S62" s="8" t="str">
        <f>VLOOKUP($B62,'[1]Plant data'!$A$1:$AB$315,14,0)</f>
        <v>NA</v>
      </c>
      <c r="T62" s="11" t="str">
        <f>VLOOKUP($B62,'[1]Plant data'!$A$1:$AB$315,15,0)</f>
        <v>NA</v>
      </c>
      <c r="U62" s="9" t="str">
        <f>VLOOKUP($B62,'[1]Plant data'!$A$1:$AB$315,19,0)</f>
        <v>NA</v>
      </c>
      <c r="V62" s="8" t="str">
        <f>VLOOKUP($B62,'[1]Plant data'!$A$1:$AB$315,20,0)</f>
        <v>NA</v>
      </c>
      <c r="W62" s="8" t="str">
        <f>VLOOKUP($B62,'[1]Plant data'!$A$1:$AB$315,21,0)</f>
        <v>NA</v>
      </c>
      <c r="X62" s="8" t="str">
        <f>VLOOKUP($B62,'[1]Plant data'!$A$1:$AB$315,22,0)</f>
        <v>NA</v>
      </c>
      <c r="Y62" s="8" t="str">
        <f>VLOOKUP($B62,'[1]Plant data'!$A$1:$AB$315,23,0)</f>
        <v>NA</v>
      </c>
      <c r="Z62" s="8" t="str">
        <f>VLOOKUP($B62,'[1]Plant data'!$A$1:$AB$315,24,0)</f>
        <v>NA</v>
      </c>
      <c r="AA62" s="8" t="str">
        <f>VLOOKUP($B62,'[1]Plant data'!$A$1:$AB$315,25,0)</f>
        <v>NA</v>
      </c>
      <c r="AB62" s="8" t="s">
        <v>19</v>
      </c>
    </row>
    <row r="63" spans="1:28">
      <c r="A63" s="5" t="s">
        <v>43</v>
      </c>
      <c r="B63" s="14" t="s">
        <v>88</v>
      </c>
      <c r="C63" s="53">
        <v>4</v>
      </c>
      <c r="D63" s="58">
        <v>23</v>
      </c>
      <c r="E63" s="8">
        <f>C63/23</f>
        <v>0.17391304347826086</v>
      </c>
      <c r="F63" s="54">
        <v>5</v>
      </c>
      <c r="G63" s="9">
        <f>F63/C63</f>
        <v>1.25</v>
      </c>
      <c r="H63" s="23">
        <f>E63*G63</f>
        <v>0.21739130434782608</v>
      </c>
      <c r="I63" t="s">
        <v>30</v>
      </c>
      <c r="J63" s="11">
        <v>32.5</v>
      </c>
      <c r="K63" s="11">
        <v>8.9205555560000001</v>
      </c>
      <c r="L63" t="str">
        <f>VLOOKUP(B63,'[1]Plant data'!$A$1:$AB$315,2,0)</f>
        <v>Solanaceae</v>
      </c>
      <c r="M63" s="9">
        <f>VLOOKUP($B63,'[1]Plant data'!$A$1:$AB$315,6,0)</f>
        <v>11</v>
      </c>
      <c r="N63" s="9" t="str">
        <f>VLOOKUP($B63,'[1]Plant data'!$A$1:$AB$315,7,0)</f>
        <v>NA</v>
      </c>
      <c r="O63" s="8">
        <f>VLOOKUP($B63,'[1]Plant data'!$A$1:$AB$315,10,0)</f>
        <v>1.5</v>
      </c>
      <c r="P63" s="8" t="str">
        <f>VLOOKUP($B63,'[1]Plant data'!$A$1:$AB$315,11,0)</f>
        <v>NA</v>
      </c>
      <c r="Q63" s="8" t="str">
        <f>VLOOKUP($B63,'[1]Plant data'!$A$1:$AB$315,12,0)</f>
        <v>NA</v>
      </c>
      <c r="R63" s="8" t="str">
        <f>VLOOKUP($B63,'[1]Plant data'!$A$1:$AB$315,13,0)</f>
        <v>NA</v>
      </c>
      <c r="S63" s="8" t="str">
        <f>VLOOKUP($B63,'[1]Plant data'!$A$1:$AB$315,14,0)</f>
        <v>NA</v>
      </c>
      <c r="T63" s="11" t="str">
        <f>VLOOKUP($B63,'[1]Plant data'!$A$1:$AB$315,15,0)</f>
        <v>NA</v>
      </c>
      <c r="U63" s="9" t="str">
        <f>VLOOKUP($B63,'[1]Plant data'!$A$1:$AB$315,19,0)</f>
        <v>NA</v>
      </c>
      <c r="V63" s="8" t="str">
        <f>VLOOKUP($B63,'[1]Plant data'!$A$1:$AB$315,20,0)</f>
        <v>NA</v>
      </c>
      <c r="W63" s="8" t="str">
        <f>VLOOKUP($B63,'[1]Plant data'!$A$1:$AB$315,21,0)</f>
        <v>NA</v>
      </c>
      <c r="X63" s="8" t="str">
        <f>VLOOKUP($B63,'[1]Plant data'!$A$1:$AB$315,22,0)</f>
        <v>NA</v>
      </c>
      <c r="Y63" s="8" t="str">
        <f>VLOOKUP($B63,'[1]Plant data'!$A$1:$AB$315,23,0)</f>
        <v>NA</v>
      </c>
      <c r="Z63" s="8" t="str">
        <f>VLOOKUP($B63,'[1]Plant data'!$A$1:$AB$315,24,0)</f>
        <v>NA</v>
      </c>
      <c r="AA63" s="8" t="str">
        <f>VLOOKUP($B63,'[1]Plant data'!$A$1:$AB$315,25,0)</f>
        <v>NA</v>
      </c>
      <c r="AB63" s="8" t="s">
        <v>19</v>
      </c>
    </row>
    <row r="64" spans="1:28">
      <c r="A64" s="5" t="s">
        <v>43</v>
      </c>
      <c r="B64" s="14" t="s">
        <v>191</v>
      </c>
      <c r="C64" s="53">
        <v>4</v>
      </c>
      <c r="D64" s="58">
        <v>3</v>
      </c>
      <c r="E64" s="8">
        <f>C64/3</f>
        <v>1.3333333333333333</v>
      </c>
      <c r="F64" s="54" t="s">
        <v>19</v>
      </c>
      <c r="G64" s="19">
        <v>1</v>
      </c>
      <c r="H64" s="23">
        <f>E64*G64</f>
        <v>1.3333333333333333</v>
      </c>
      <c r="I64" t="s">
        <v>30</v>
      </c>
      <c r="J64" s="11">
        <v>32.5</v>
      </c>
      <c r="K64" s="11">
        <v>8.9205555560000001</v>
      </c>
      <c r="L64" t="str">
        <f>VLOOKUP(B64,'[1]Plant data'!$A$1:$AB$315,2,0)</f>
        <v>Solanaceae</v>
      </c>
      <c r="M64" s="9" t="str">
        <f>VLOOKUP($B64,'[1]Plant data'!$A$1:$AB$315,6,0)</f>
        <v>NA</v>
      </c>
      <c r="N64" s="9" t="str">
        <f>VLOOKUP($B64,'[1]Plant data'!$A$1:$AB$315,7,0)</f>
        <v>NA</v>
      </c>
      <c r="O64" s="8" t="str">
        <f>VLOOKUP($B64,'[1]Plant data'!$A$1:$AB$315,10,0)</f>
        <v>NA</v>
      </c>
      <c r="P64" s="8" t="str">
        <f>VLOOKUP($B64,'[1]Plant data'!$A$1:$AB$315,11,0)</f>
        <v>NA</v>
      </c>
      <c r="Q64" s="8" t="str">
        <f>VLOOKUP($B64,'[1]Plant data'!$A$1:$AB$315,12,0)</f>
        <v>NA</v>
      </c>
      <c r="R64" s="8" t="str">
        <f>VLOOKUP($B64,'[1]Plant data'!$A$1:$AB$315,13,0)</f>
        <v>NA</v>
      </c>
      <c r="S64" s="8" t="str">
        <f>VLOOKUP($B64,'[1]Plant data'!$A$1:$AB$315,14,0)</f>
        <v>NA</v>
      </c>
      <c r="T64" s="11" t="str">
        <f>VLOOKUP($B64,'[1]Plant data'!$A$1:$AB$315,15,0)</f>
        <v>NA</v>
      </c>
      <c r="U64" s="9" t="str">
        <f>VLOOKUP($B64,'[1]Plant data'!$A$1:$AB$315,19,0)</f>
        <v>NA</v>
      </c>
      <c r="V64" s="8" t="str">
        <f>VLOOKUP($B64,'[1]Plant data'!$A$1:$AB$315,20,0)</f>
        <v>NA</v>
      </c>
      <c r="W64" s="8" t="str">
        <f>VLOOKUP($B64,'[1]Plant data'!$A$1:$AB$315,21,0)</f>
        <v>NA</v>
      </c>
      <c r="X64" s="8" t="str">
        <f>VLOOKUP($B64,'[1]Plant data'!$A$1:$AB$315,22,0)</f>
        <v>NA</v>
      </c>
      <c r="Y64" s="8" t="str">
        <f>VLOOKUP($B64,'[1]Plant data'!$A$1:$AB$315,23,0)</f>
        <v>NA</v>
      </c>
      <c r="Z64" s="8" t="str">
        <f>VLOOKUP($B64,'[1]Plant data'!$A$1:$AB$315,24,0)</f>
        <v>NA</v>
      </c>
      <c r="AA64" s="8" t="str">
        <f>VLOOKUP($B64,'[1]Plant data'!$A$1:$AB$315,25,0)</f>
        <v>NA</v>
      </c>
      <c r="AB64" s="8" t="s">
        <v>19</v>
      </c>
    </row>
    <row r="65" spans="1:28">
      <c r="A65" s="5" t="s">
        <v>46</v>
      </c>
      <c r="B65" s="14" t="s">
        <v>204</v>
      </c>
      <c r="C65" s="53">
        <v>6</v>
      </c>
      <c r="D65" s="59" t="s">
        <v>19</v>
      </c>
      <c r="E65" s="23" t="s">
        <v>19</v>
      </c>
      <c r="F65" s="54">
        <v>12</v>
      </c>
      <c r="G65" s="9">
        <f t="shared" ref="G65:G72" si="5">F65/C65</f>
        <v>2</v>
      </c>
      <c r="H65" s="23" t="s">
        <v>19</v>
      </c>
      <c r="I65" t="s">
        <v>47</v>
      </c>
      <c r="J65" s="11">
        <v>54</v>
      </c>
      <c r="K65" s="11">
        <v>11.14875</v>
      </c>
      <c r="L65" t="str">
        <f>VLOOKUP(B65,'[1]Plant data'!$A$1:$AB$315,2,0)</f>
        <v>Elaeocarpaceae</v>
      </c>
      <c r="M65" s="9">
        <f>VLOOKUP($B65,'[1]Plant data'!$A$1:$AB$315,6,0)</f>
        <v>10.033333333333333</v>
      </c>
      <c r="N65" s="9">
        <f>VLOOKUP($B65,'[1]Plant data'!$A$1:$AB$315,7,0)</f>
        <v>14.733333333333334</v>
      </c>
      <c r="O65" s="8">
        <f>VLOOKUP($B65,'[1]Plant data'!$A$1:$AB$315,10,0)</f>
        <v>1.2296666666666667</v>
      </c>
      <c r="P65" s="8" t="str">
        <f>VLOOKUP($B65,'[1]Plant data'!$A$1:$AB$315,11,0)</f>
        <v>NA</v>
      </c>
      <c r="Q65" s="8">
        <f>VLOOKUP($B65,'[1]Plant data'!$A$1:$AB$315,12,0)</f>
        <v>0.48233333333333328</v>
      </c>
      <c r="R65" s="8">
        <f>VLOOKUP($B65,'[1]Plant data'!$A$1:$AB$315,13,0)</f>
        <v>0.74733333333333329</v>
      </c>
      <c r="S65" s="8">
        <f>VLOOKUP($B65,'[1]Plant data'!$A$1:$AB$315,14,0)</f>
        <v>0.48233333333333328</v>
      </c>
      <c r="T65" s="11">
        <f>VLOOKUP($B65,'[1]Plant data'!$A$1:$AB$315,15,0)</f>
        <v>1</v>
      </c>
      <c r="U65" s="9" t="str">
        <f>VLOOKUP($B65,'[1]Plant data'!$A$1:$AB$315,19,0)</f>
        <v>NA</v>
      </c>
      <c r="V65" s="8" t="str">
        <f>VLOOKUP($B65,'[1]Plant data'!$A$1:$AB$315,20,0)</f>
        <v>NA</v>
      </c>
      <c r="W65" s="8" t="str">
        <f>VLOOKUP($B65,'[1]Plant data'!$A$1:$AB$315,21,0)</f>
        <v>NA</v>
      </c>
      <c r="X65" s="8" t="str">
        <f>VLOOKUP($B65,'[1]Plant data'!$A$1:$AB$315,22,0)</f>
        <v>NA</v>
      </c>
      <c r="Y65" s="8" t="str">
        <f>VLOOKUP($B65,'[1]Plant data'!$A$1:$AB$315,23,0)</f>
        <v>NA</v>
      </c>
      <c r="Z65" s="8" t="str">
        <f>VLOOKUP($B65,'[1]Plant data'!$A$1:$AB$315,24,0)</f>
        <v>NA</v>
      </c>
      <c r="AA65" s="8" t="str">
        <f>VLOOKUP($B65,'[1]Plant data'!$A$1:$AB$315,25,0)</f>
        <v>NA</v>
      </c>
      <c r="AB65" s="8" t="s">
        <v>19</v>
      </c>
    </row>
    <row r="66" spans="1:28">
      <c r="A66" s="5" t="s">
        <v>50</v>
      </c>
      <c r="B66" s="14" t="s">
        <v>204</v>
      </c>
      <c r="C66" s="53">
        <v>1</v>
      </c>
      <c r="D66" s="59" t="s">
        <v>19</v>
      </c>
      <c r="E66" s="23" t="s">
        <v>19</v>
      </c>
      <c r="F66" s="54">
        <v>1</v>
      </c>
      <c r="G66" s="9">
        <f t="shared" si="5"/>
        <v>1</v>
      </c>
      <c r="H66" s="23" t="s">
        <v>19</v>
      </c>
      <c r="I66" t="s">
        <v>47</v>
      </c>
      <c r="J66" s="11">
        <v>69.5</v>
      </c>
      <c r="K66" s="11">
        <v>13.253214290000001</v>
      </c>
      <c r="L66" t="str">
        <f>VLOOKUP(B66,'[1]Plant data'!$A$1:$AB$315,2,0)</f>
        <v>Elaeocarpaceae</v>
      </c>
      <c r="M66" s="9">
        <f>VLOOKUP($B66,'[1]Plant data'!$A$1:$AB$315,6,0)</f>
        <v>10.033333333333333</v>
      </c>
      <c r="N66" s="9">
        <f>VLOOKUP($B66,'[1]Plant data'!$A$1:$AB$315,7,0)</f>
        <v>14.733333333333334</v>
      </c>
      <c r="O66" s="8">
        <f>VLOOKUP($B66,'[1]Plant data'!$A$1:$AB$315,10,0)</f>
        <v>1.2296666666666667</v>
      </c>
      <c r="P66" s="8" t="str">
        <f>VLOOKUP($B66,'[1]Plant data'!$A$1:$AB$315,11,0)</f>
        <v>NA</v>
      </c>
      <c r="Q66" s="8">
        <f>VLOOKUP($B66,'[1]Plant data'!$A$1:$AB$315,12,0)</f>
        <v>0.48233333333333328</v>
      </c>
      <c r="R66" s="8">
        <f>VLOOKUP($B66,'[1]Plant data'!$A$1:$AB$315,13,0)</f>
        <v>0.74733333333333329</v>
      </c>
      <c r="S66" s="8">
        <f>VLOOKUP($B66,'[1]Plant data'!$A$1:$AB$315,14,0)</f>
        <v>0.48233333333333328</v>
      </c>
      <c r="T66" s="11">
        <f>VLOOKUP($B66,'[1]Plant data'!$A$1:$AB$315,15,0)</f>
        <v>1</v>
      </c>
      <c r="U66" s="9" t="str">
        <f>VLOOKUP($B66,'[1]Plant data'!$A$1:$AB$315,19,0)</f>
        <v>NA</v>
      </c>
      <c r="V66" s="8" t="str">
        <f>VLOOKUP($B66,'[1]Plant data'!$A$1:$AB$315,20,0)</f>
        <v>NA</v>
      </c>
      <c r="W66" s="8" t="str">
        <f>VLOOKUP($B66,'[1]Plant data'!$A$1:$AB$315,21,0)</f>
        <v>NA</v>
      </c>
      <c r="X66" s="8" t="str">
        <f>VLOOKUP($B66,'[1]Plant data'!$A$1:$AB$315,22,0)</f>
        <v>NA</v>
      </c>
      <c r="Y66" s="8" t="str">
        <f>VLOOKUP($B66,'[1]Plant data'!$A$1:$AB$315,23,0)</f>
        <v>NA</v>
      </c>
      <c r="Z66" s="8" t="str">
        <f>VLOOKUP($B66,'[1]Plant data'!$A$1:$AB$315,24,0)</f>
        <v>NA</v>
      </c>
      <c r="AA66" s="8" t="str">
        <f>VLOOKUP($B66,'[1]Plant data'!$A$1:$AB$315,25,0)</f>
        <v>NA</v>
      </c>
      <c r="AB66" s="8" t="s">
        <v>19</v>
      </c>
    </row>
    <row r="67" spans="1:28">
      <c r="A67" s="5" t="s">
        <v>17</v>
      </c>
      <c r="B67" s="15" t="s">
        <v>279</v>
      </c>
      <c r="C67" s="53">
        <v>4</v>
      </c>
      <c r="D67" s="58">
        <v>28</v>
      </c>
      <c r="E67" s="8">
        <v>0.1429</v>
      </c>
      <c r="F67" s="54">
        <v>11</v>
      </c>
      <c r="G67" s="9">
        <f t="shared" si="5"/>
        <v>2.75</v>
      </c>
      <c r="H67" s="23">
        <f t="shared" ref="H67:H72" si="6">E67*G67</f>
        <v>0.39297500000000002</v>
      </c>
      <c r="I67" t="s">
        <v>23</v>
      </c>
      <c r="J67" s="11">
        <v>14.4</v>
      </c>
      <c r="K67" s="11">
        <v>7.69</v>
      </c>
      <c r="L67" t="str">
        <f>VLOOKUP(B67,'[1]Plant data'!$A$1:$AB$315,2,0)</f>
        <v>Elaeocarpaceae</v>
      </c>
      <c r="M67" s="9">
        <f>VLOOKUP($B67,'[1]Plant data'!$A$1:$AB$315,6,0)</f>
        <v>7</v>
      </c>
      <c r="N67" s="9">
        <f>VLOOKUP($B67,'[1]Plant data'!$A$1:$AB$315,7,0)</f>
        <v>12</v>
      </c>
      <c r="O67" s="8">
        <f>VLOOKUP($B67,'[1]Plant data'!$A$1:$AB$315,10,0)</f>
        <v>0.3</v>
      </c>
      <c r="P67" s="8" t="str">
        <f>VLOOKUP($B67,'[1]Plant data'!$A$1:$AB$315,11,0)</f>
        <v>NA</v>
      </c>
      <c r="Q67" s="8">
        <f>VLOOKUP($B67,'[1]Plant data'!$A$1:$AB$315,12,0)</f>
        <v>0.2</v>
      </c>
      <c r="R67" s="8" t="str">
        <f>VLOOKUP($B67,'[1]Plant data'!$A$1:$AB$315,13,0)</f>
        <v>NA</v>
      </c>
      <c r="S67" s="8" t="str">
        <f>VLOOKUP($B67,'[1]Plant data'!$A$1:$AB$315,14,0)</f>
        <v>NA</v>
      </c>
      <c r="T67" s="11">
        <f>VLOOKUP($B67,'[1]Plant data'!$A$1:$AB$315,15,0)</f>
        <v>1</v>
      </c>
      <c r="U67" s="9">
        <f>VLOOKUP($B67,'[1]Plant data'!$A$1:$AB$315,19,0)</f>
        <v>0.90900000000000003</v>
      </c>
      <c r="V67" s="8">
        <f>VLOOKUP($B67,'[1]Plant data'!$A$1:$AB$315,20,0)</f>
        <v>2.5000000000000001E-2</v>
      </c>
      <c r="W67" s="8">
        <f>VLOOKUP($B67,'[1]Plant data'!$A$1:$AB$315,21,0)</f>
        <v>6.9000000000000006E-2</v>
      </c>
      <c r="X67" s="8" t="str">
        <f>VLOOKUP($B67,'[1]Plant data'!$A$1:$AB$315,22,0)</f>
        <v>NA</v>
      </c>
      <c r="Y67" s="8" t="str">
        <f>VLOOKUP($B67,'[1]Plant data'!$A$1:$AB$315,23,0)</f>
        <v>NA</v>
      </c>
      <c r="Z67" s="8" t="str">
        <f>VLOOKUP($B67,'[1]Plant data'!$A$1:$AB$315,24,0)</f>
        <v>NA</v>
      </c>
      <c r="AA67" s="8">
        <f>VLOOKUP($B67,'[1]Plant data'!$A$1:$AB$315,25,0)</f>
        <v>0.877</v>
      </c>
      <c r="AB67" s="8" t="s">
        <v>19</v>
      </c>
    </row>
    <row r="68" spans="1:28">
      <c r="A68" s="5" t="s">
        <v>105</v>
      </c>
      <c r="B68" s="14" t="s">
        <v>279</v>
      </c>
      <c r="C68" s="53">
        <v>7</v>
      </c>
      <c r="D68" s="58">
        <v>28</v>
      </c>
      <c r="E68" s="8">
        <v>0.25</v>
      </c>
      <c r="F68" s="54">
        <v>10</v>
      </c>
      <c r="G68" s="9">
        <f t="shared" si="5"/>
        <v>1.4285714285714286</v>
      </c>
      <c r="H68" s="23">
        <f t="shared" si="6"/>
        <v>0.35714285714285715</v>
      </c>
      <c r="I68" t="s">
        <v>94</v>
      </c>
      <c r="J68" s="11">
        <v>164</v>
      </c>
      <c r="K68" s="11">
        <v>25.039000000000001</v>
      </c>
      <c r="L68" t="str">
        <f>VLOOKUP(B68,'[1]Plant data'!$A$1:$AB$315,2,0)</f>
        <v>Elaeocarpaceae</v>
      </c>
      <c r="M68" s="9">
        <f>VLOOKUP($B68,'[1]Plant data'!$A$1:$AB$315,6,0)</f>
        <v>7</v>
      </c>
      <c r="N68" s="9">
        <f>VLOOKUP($B68,'[1]Plant data'!$A$1:$AB$315,7,0)</f>
        <v>12</v>
      </c>
      <c r="O68" s="8">
        <f>VLOOKUP($B68,'[1]Plant data'!$A$1:$AB$315,10,0)</f>
        <v>0.3</v>
      </c>
      <c r="P68" s="8" t="str">
        <f>VLOOKUP($B68,'[1]Plant data'!$A$1:$AB$315,11,0)</f>
        <v>NA</v>
      </c>
      <c r="Q68" s="8">
        <f>VLOOKUP($B68,'[1]Plant data'!$A$1:$AB$315,12,0)</f>
        <v>0.2</v>
      </c>
      <c r="R68" s="8" t="str">
        <f>VLOOKUP($B68,'[1]Plant data'!$A$1:$AB$315,13,0)</f>
        <v>NA</v>
      </c>
      <c r="S68" s="8" t="str">
        <f>VLOOKUP($B68,'[1]Plant data'!$A$1:$AB$315,14,0)</f>
        <v>NA</v>
      </c>
      <c r="T68" s="11">
        <f>VLOOKUP($B68,'[1]Plant data'!$A$1:$AB$315,15,0)</f>
        <v>1</v>
      </c>
      <c r="U68" s="9">
        <f>VLOOKUP($B68,'[1]Plant data'!$A$1:$AB$315,19,0)</f>
        <v>0.90900000000000003</v>
      </c>
      <c r="V68" s="8">
        <f>VLOOKUP($B68,'[1]Plant data'!$A$1:$AB$315,20,0)</f>
        <v>2.5000000000000001E-2</v>
      </c>
      <c r="W68" s="8">
        <f>VLOOKUP($B68,'[1]Plant data'!$A$1:$AB$315,21,0)</f>
        <v>6.9000000000000006E-2</v>
      </c>
      <c r="X68" s="8" t="str">
        <f>VLOOKUP($B68,'[1]Plant data'!$A$1:$AB$315,22,0)</f>
        <v>NA</v>
      </c>
      <c r="Y68" s="8" t="str">
        <f>VLOOKUP($B68,'[1]Plant data'!$A$1:$AB$315,23,0)</f>
        <v>NA</v>
      </c>
      <c r="Z68" s="8" t="str">
        <f>VLOOKUP($B68,'[1]Plant data'!$A$1:$AB$315,24,0)</f>
        <v>NA</v>
      </c>
      <c r="AA68" s="8">
        <f>VLOOKUP($B68,'[1]Plant data'!$A$1:$AB$315,25,0)</f>
        <v>0.877</v>
      </c>
      <c r="AB68" s="8" t="s">
        <v>19</v>
      </c>
    </row>
    <row r="69" spans="1:28">
      <c r="A69" s="5" t="s">
        <v>28</v>
      </c>
      <c r="B69" s="14" t="s">
        <v>279</v>
      </c>
      <c r="C69" s="53">
        <v>2</v>
      </c>
      <c r="D69" s="11">
        <v>28</v>
      </c>
      <c r="E69" s="8">
        <f>C69/D69</f>
        <v>7.1428571428571425E-2</v>
      </c>
      <c r="F69" s="54">
        <v>2</v>
      </c>
      <c r="G69" s="9">
        <f t="shared" si="5"/>
        <v>1</v>
      </c>
      <c r="H69" s="23">
        <f t="shared" si="6"/>
        <v>7.1428571428571425E-2</v>
      </c>
      <c r="I69" t="s">
        <v>30</v>
      </c>
      <c r="J69" s="11">
        <v>18</v>
      </c>
      <c r="K69" s="11">
        <v>7.4188405800000004</v>
      </c>
      <c r="L69" t="str">
        <f>VLOOKUP(B69,'[1]Plant data'!$A$1:$AB$315,2,0)</f>
        <v>Elaeocarpaceae</v>
      </c>
      <c r="M69" s="9">
        <f>VLOOKUP($B69,'[1]Plant data'!$A$1:$AB$315,6,0)</f>
        <v>7</v>
      </c>
      <c r="N69" s="9">
        <f>VLOOKUP($B69,'[1]Plant data'!$A$1:$AB$315,7,0)</f>
        <v>12</v>
      </c>
      <c r="O69" s="8">
        <f>VLOOKUP($B69,'[1]Plant data'!$A$1:$AB$315,10,0)</f>
        <v>0.3</v>
      </c>
      <c r="P69" s="8" t="str">
        <f>VLOOKUP($B69,'[1]Plant data'!$A$1:$AB$315,11,0)</f>
        <v>NA</v>
      </c>
      <c r="Q69" s="8">
        <f>VLOOKUP($B69,'[1]Plant data'!$A$1:$AB$315,12,0)</f>
        <v>0.2</v>
      </c>
      <c r="R69" s="8" t="str">
        <f>VLOOKUP($B69,'[1]Plant data'!$A$1:$AB$315,13,0)</f>
        <v>NA</v>
      </c>
      <c r="S69" s="8" t="str">
        <f>VLOOKUP($B69,'[1]Plant data'!$A$1:$AB$315,14,0)</f>
        <v>NA</v>
      </c>
      <c r="T69" s="11">
        <f>VLOOKUP($B69,'[1]Plant data'!$A$1:$AB$315,15,0)</f>
        <v>1</v>
      </c>
      <c r="U69" s="9">
        <f>VLOOKUP($B69,'[1]Plant data'!$A$1:$AB$315,19,0)</f>
        <v>0.90900000000000003</v>
      </c>
      <c r="V69" s="8">
        <f>VLOOKUP($B69,'[1]Plant data'!$A$1:$AB$315,20,0)</f>
        <v>2.5000000000000001E-2</v>
      </c>
      <c r="W69" s="8">
        <f>VLOOKUP($B69,'[1]Plant data'!$A$1:$AB$315,21,0)</f>
        <v>6.9000000000000006E-2</v>
      </c>
      <c r="X69" s="8" t="str">
        <f>VLOOKUP($B69,'[1]Plant data'!$A$1:$AB$315,22,0)</f>
        <v>NA</v>
      </c>
      <c r="Y69" s="8" t="str">
        <f>VLOOKUP($B69,'[1]Plant data'!$A$1:$AB$315,23,0)</f>
        <v>NA</v>
      </c>
      <c r="Z69" s="8" t="str">
        <f>VLOOKUP($B69,'[1]Plant data'!$A$1:$AB$315,24,0)</f>
        <v>NA</v>
      </c>
      <c r="AA69" s="8">
        <f>VLOOKUP($B69,'[1]Plant data'!$A$1:$AB$315,25,0)</f>
        <v>0.877</v>
      </c>
      <c r="AB69" s="8" t="s">
        <v>19</v>
      </c>
    </row>
    <row r="70" spans="1:28">
      <c r="A70" s="5" t="s">
        <v>32</v>
      </c>
      <c r="B70" s="14" t="s">
        <v>279</v>
      </c>
      <c r="C70" s="53">
        <v>2</v>
      </c>
      <c r="D70" s="11">
        <v>28</v>
      </c>
      <c r="E70" s="8">
        <f>C70/D70</f>
        <v>7.1428571428571425E-2</v>
      </c>
      <c r="F70" s="54">
        <v>8</v>
      </c>
      <c r="G70" s="9">
        <f t="shared" si="5"/>
        <v>4</v>
      </c>
      <c r="H70" s="23">
        <f t="shared" si="6"/>
        <v>0.2857142857142857</v>
      </c>
      <c r="I70" t="s">
        <v>30</v>
      </c>
      <c r="J70" s="11">
        <v>18</v>
      </c>
      <c r="K70" s="11">
        <v>5.1684999999999999</v>
      </c>
      <c r="L70" t="str">
        <f>VLOOKUP(B70,'[1]Plant data'!$A$1:$AB$315,2,0)</f>
        <v>Elaeocarpaceae</v>
      </c>
      <c r="M70" s="9">
        <f>VLOOKUP($B70,'[1]Plant data'!$A$1:$AB$315,6,0)</f>
        <v>7</v>
      </c>
      <c r="N70" s="9">
        <f>VLOOKUP($B70,'[1]Plant data'!$A$1:$AB$315,7,0)</f>
        <v>12</v>
      </c>
      <c r="O70" s="8">
        <f>VLOOKUP($B70,'[1]Plant data'!$A$1:$AB$315,10,0)</f>
        <v>0.3</v>
      </c>
      <c r="P70" s="8" t="str">
        <f>VLOOKUP($B70,'[1]Plant data'!$A$1:$AB$315,11,0)</f>
        <v>NA</v>
      </c>
      <c r="Q70" s="8">
        <f>VLOOKUP($B70,'[1]Plant data'!$A$1:$AB$315,12,0)</f>
        <v>0.2</v>
      </c>
      <c r="R70" s="8" t="str">
        <f>VLOOKUP($B70,'[1]Plant data'!$A$1:$AB$315,13,0)</f>
        <v>NA</v>
      </c>
      <c r="S70" s="8" t="str">
        <f>VLOOKUP($B70,'[1]Plant data'!$A$1:$AB$315,14,0)</f>
        <v>NA</v>
      </c>
      <c r="T70" s="11">
        <f>VLOOKUP($B70,'[1]Plant data'!$A$1:$AB$315,15,0)</f>
        <v>1</v>
      </c>
      <c r="U70" s="9">
        <f>VLOOKUP($B70,'[1]Plant data'!$A$1:$AB$315,19,0)</f>
        <v>0.90900000000000003</v>
      </c>
      <c r="V70" s="8">
        <f>VLOOKUP($B70,'[1]Plant data'!$A$1:$AB$315,20,0)</f>
        <v>2.5000000000000001E-2</v>
      </c>
      <c r="W70" s="8">
        <f>VLOOKUP($B70,'[1]Plant data'!$A$1:$AB$315,21,0)</f>
        <v>6.9000000000000006E-2</v>
      </c>
      <c r="X70" s="8" t="str">
        <f>VLOOKUP($B70,'[1]Plant data'!$A$1:$AB$315,22,0)</f>
        <v>NA</v>
      </c>
      <c r="Y70" s="8" t="str">
        <f>VLOOKUP($B70,'[1]Plant data'!$A$1:$AB$315,23,0)</f>
        <v>NA</v>
      </c>
      <c r="Z70" s="8" t="str">
        <f>VLOOKUP($B70,'[1]Plant data'!$A$1:$AB$315,24,0)</f>
        <v>NA</v>
      </c>
      <c r="AA70" s="8">
        <f>VLOOKUP($B70,'[1]Plant data'!$A$1:$AB$315,25,0)</f>
        <v>0.877</v>
      </c>
      <c r="AB70" s="8" t="s">
        <v>19</v>
      </c>
    </row>
    <row r="71" spans="1:28">
      <c r="A71" s="5" t="s">
        <v>62</v>
      </c>
      <c r="B71" s="6" t="s">
        <v>279</v>
      </c>
      <c r="C71" s="53">
        <v>3</v>
      </c>
      <c r="D71" s="58">
        <v>28</v>
      </c>
      <c r="E71" s="8">
        <v>0.1071</v>
      </c>
      <c r="F71" s="54">
        <v>7</v>
      </c>
      <c r="G71" s="9">
        <f t="shared" si="5"/>
        <v>2.3333333333333335</v>
      </c>
      <c r="H71" s="23">
        <f t="shared" si="6"/>
        <v>0.24990000000000001</v>
      </c>
      <c r="I71" t="s">
        <v>30</v>
      </c>
      <c r="J71" s="11">
        <v>18.7</v>
      </c>
      <c r="K71" s="11">
        <v>6.1185714290000002</v>
      </c>
      <c r="L71" t="str">
        <f>VLOOKUP(B71,'[1]Plant data'!$A$1:$AB$315,2,0)</f>
        <v>Elaeocarpaceae</v>
      </c>
      <c r="M71" s="9">
        <f>VLOOKUP($B71,'[1]Plant data'!$A$1:$AB$315,6,0)</f>
        <v>7</v>
      </c>
      <c r="N71" s="9">
        <f>VLOOKUP($B71,'[1]Plant data'!$A$1:$AB$315,7,0)</f>
        <v>12</v>
      </c>
      <c r="O71" s="8">
        <f>VLOOKUP($B71,'[1]Plant data'!$A$1:$AB$315,10,0)</f>
        <v>0.3</v>
      </c>
      <c r="P71" s="8" t="str">
        <f>VLOOKUP($B71,'[1]Plant data'!$A$1:$AB$315,11,0)</f>
        <v>NA</v>
      </c>
      <c r="Q71" s="8">
        <f>VLOOKUP($B71,'[1]Plant data'!$A$1:$AB$315,12,0)</f>
        <v>0.2</v>
      </c>
      <c r="R71" s="8" t="str">
        <f>VLOOKUP($B71,'[1]Plant data'!$A$1:$AB$315,13,0)</f>
        <v>NA</v>
      </c>
      <c r="S71" s="8" t="str">
        <f>VLOOKUP($B71,'[1]Plant data'!$A$1:$AB$315,14,0)</f>
        <v>NA</v>
      </c>
      <c r="T71" s="11">
        <f>VLOOKUP($B71,'[1]Plant data'!$A$1:$AB$315,15,0)</f>
        <v>1</v>
      </c>
      <c r="U71" s="9">
        <f>VLOOKUP($B71,'[1]Plant data'!$A$1:$AB$315,19,0)</f>
        <v>0.90900000000000003</v>
      </c>
      <c r="V71" s="8">
        <f>VLOOKUP($B71,'[1]Plant data'!$A$1:$AB$315,20,0)</f>
        <v>2.5000000000000001E-2</v>
      </c>
      <c r="W71" s="8">
        <f>VLOOKUP($B71,'[1]Plant data'!$A$1:$AB$315,21,0)</f>
        <v>6.9000000000000006E-2</v>
      </c>
      <c r="X71" s="8" t="str">
        <f>VLOOKUP($B71,'[1]Plant data'!$A$1:$AB$315,22,0)</f>
        <v>NA</v>
      </c>
      <c r="Y71" s="8" t="str">
        <f>VLOOKUP($B71,'[1]Plant data'!$A$1:$AB$315,23,0)</f>
        <v>NA</v>
      </c>
      <c r="Z71" s="8" t="str">
        <f>VLOOKUP($B71,'[1]Plant data'!$A$1:$AB$315,24,0)</f>
        <v>NA</v>
      </c>
      <c r="AA71" s="8">
        <f>VLOOKUP($B71,'[1]Plant data'!$A$1:$AB$315,25,0)</f>
        <v>0.877</v>
      </c>
      <c r="AB71" s="8" t="s">
        <v>19</v>
      </c>
    </row>
    <row r="72" spans="1:28">
      <c r="A72" s="5" t="s">
        <v>106</v>
      </c>
      <c r="B72" s="14" t="s">
        <v>279</v>
      </c>
      <c r="C72" s="53">
        <v>1</v>
      </c>
      <c r="D72" s="58">
        <v>28</v>
      </c>
      <c r="E72" s="8">
        <v>3.5700000000000003E-2</v>
      </c>
      <c r="F72" s="54">
        <v>2</v>
      </c>
      <c r="G72" s="9">
        <f t="shared" si="5"/>
        <v>2</v>
      </c>
      <c r="H72" s="23">
        <f t="shared" si="6"/>
        <v>7.1400000000000005E-2</v>
      </c>
      <c r="I72" t="s">
        <v>75</v>
      </c>
      <c r="J72" s="11">
        <v>68.099999999999994</v>
      </c>
      <c r="K72" s="11">
        <v>16.570370369999999</v>
      </c>
      <c r="L72" t="str">
        <f>VLOOKUP(B72,'[1]Plant data'!$A$1:$AB$315,2,0)</f>
        <v>Elaeocarpaceae</v>
      </c>
      <c r="M72" s="9">
        <f>VLOOKUP($B72,'[1]Plant data'!$A$1:$AB$315,6,0)</f>
        <v>7</v>
      </c>
      <c r="N72" s="9">
        <f>VLOOKUP($B72,'[1]Plant data'!$A$1:$AB$315,7,0)</f>
        <v>12</v>
      </c>
      <c r="O72" s="8">
        <f>VLOOKUP($B72,'[1]Plant data'!$A$1:$AB$315,10,0)</f>
        <v>0.3</v>
      </c>
      <c r="P72" s="8" t="str">
        <f>VLOOKUP($B72,'[1]Plant data'!$A$1:$AB$315,11,0)</f>
        <v>NA</v>
      </c>
      <c r="Q72" s="8">
        <f>VLOOKUP($B72,'[1]Plant data'!$A$1:$AB$315,12,0)</f>
        <v>0.2</v>
      </c>
      <c r="R72" s="8" t="str">
        <f>VLOOKUP($B72,'[1]Plant data'!$A$1:$AB$315,13,0)</f>
        <v>NA</v>
      </c>
      <c r="S72" s="8" t="str">
        <f>VLOOKUP($B72,'[1]Plant data'!$A$1:$AB$315,14,0)</f>
        <v>NA</v>
      </c>
      <c r="T72" s="11">
        <f>VLOOKUP($B72,'[1]Plant data'!$A$1:$AB$315,15,0)</f>
        <v>1</v>
      </c>
      <c r="U72" s="9">
        <f>VLOOKUP($B72,'[1]Plant data'!$A$1:$AB$315,19,0)</f>
        <v>0.90900000000000003</v>
      </c>
      <c r="V72" s="8">
        <f>VLOOKUP($B72,'[1]Plant data'!$A$1:$AB$315,20,0)</f>
        <v>2.5000000000000001E-2</v>
      </c>
      <c r="W72" s="8">
        <f>VLOOKUP($B72,'[1]Plant data'!$A$1:$AB$315,21,0)</f>
        <v>6.9000000000000006E-2</v>
      </c>
      <c r="X72" s="8" t="str">
        <f>VLOOKUP($B72,'[1]Plant data'!$A$1:$AB$315,22,0)</f>
        <v>NA</v>
      </c>
      <c r="Y72" s="8" t="str">
        <f>VLOOKUP($B72,'[1]Plant data'!$A$1:$AB$315,23,0)</f>
        <v>NA</v>
      </c>
      <c r="Z72" s="8" t="str">
        <f>VLOOKUP($B72,'[1]Plant data'!$A$1:$AB$315,24,0)</f>
        <v>NA</v>
      </c>
      <c r="AA72" s="8">
        <f>VLOOKUP($B72,'[1]Plant data'!$A$1:$AB$315,25,0)</f>
        <v>0.877</v>
      </c>
      <c r="AB72" s="8" t="s">
        <v>19</v>
      </c>
    </row>
    <row r="73" spans="1:28">
      <c r="A73" s="5" t="s">
        <v>43</v>
      </c>
      <c r="B73" s="14" t="s">
        <v>149</v>
      </c>
      <c r="C73" s="53">
        <v>2</v>
      </c>
      <c r="D73" s="58">
        <v>250</v>
      </c>
      <c r="E73" s="8">
        <f>C73/250</f>
        <v>8.0000000000000002E-3</v>
      </c>
      <c r="F73" s="54" t="s">
        <v>19</v>
      </c>
      <c r="G73" s="9" t="s">
        <v>19</v>
      </c>
      <c r="H73" s="23" t="s">
        <v>19</v>
      </c>
      <c r="I73" t="s">
        <v>30</v>
      </c>
      <c r="J73" s="11">
        <v>32.5</v>
      </c>
      <c r="K73" s="11">
        <v>8.9205555560000001</v>
      </c>
      <c r="L73" t="str">
        <f>VLOOKUP(B73,'[1]Plant data'!$A$1:$AB$315,2,0)</f>
        <v>Fabaceae</v>
      </c>
      <c r="M73" s="9" t="str">
        <f>VLOOKUP($B73,'[1]Plant data'!$A$1:$AB$315,6,0)</f>
        <v>NA</v>
      </c>
      <c r="N73" s="9" t="str">
        <f>VLOOKUP($B73,'[1]Plant data'!$A$1:$AB$315,7,0)</f>
        <v>NA</v>
      </c>
      <c r="O73" s="8" t="str">
        <f>VLOOKUP($B73,'[1]Plant data'!$A$1:$AB$315,10,0)</f>
        <v>NA</v>
      </c>
      <c r="P73" s="8" t="str">
        <f>VLOOKUP($B73,'[1]Plant data'!$A$1:$AB$315,11,0)</f>
        <v>NA</v>
      </c>
      <c r="Q73" s="8" t="str">
        <f>VLOOKUP($B73,'[1]Plant data'!$A$1:$AB$315,12,0)</f>
        <v>NA</v>
      </c>
      <c r="R73" s="8" t="str">
        <f>VLOOKUP($B73,'[1]Plant data'!$A$1:$AB$315,13,0)</f>
        <v>NA</v>
      </c>
      <c r="S73" s="8" t="str">
        <f>VLOOKUP($B73,'[1]Plant data'!$A$1:$AB$315,14,0)</f>
        <v>NA</v>
      </c>
      <c r="T73" s="11" t="str">
        <f>VLOOKUP($B73,'[1]Plant data'!$A$1:$AB$315,15,0)</f>
        <v>NA</v>
      </c>
      <c r="U73" s="9" t="str">
        <f>VLOOKUP($B73,'[1]Plant data'!$A$1:$AB$315,19,0)</f>
        <v>NA</v>
      </c>
      <c r="V73" s="8" t="str">
        <f>VLOOKUP($B73,'[1]Plant data'!$A$1:$AB$315,20,0)</f>
        <v>NA</v>
      </c>
      <c r="W73" s="8" t="str">
        <f>VLOOKUP($B73,'[1]Plant data'!$A$1:$AB$315,21,0)</f>
        <v>NA</v>
      </c>
      <c r="X73" s="8" t="str">
        <f>VLOOKUP($B73,'[1]Plant data'!$A$1:$AB$315,22,0)</f>
        <v>NA</v>
      </c>
      <c r="Y73" s="8" t="str">
        <f>VLOOKUP($B73,'[1]Plant data'!$A$1:$AB$315,23,0)</f>
        <v>NA</v>
      </c>
      <c r="Z73" s="8" t="str">
        <f>VLOOKUP($B73,'[1]Plant data'!$A$1:$AB$315,24,0)</f>
        <v>NA</v>
      </c>
      <c r="AA73" s="8" t="str">
        <f>VLOOKUP($B73,'[1]Plant data'!$A$1:$AB$315,25,0)</f>
        <v>NA</v>
      </c>
      <c r="AB73" s="8" t="s">
        <v>19</v>
      </c>
    </row>
    <row r="74" spans="1:28">
      <c r="A74" s="5" t="s">
        <v>70</v>
      </c>
      <c r="B74" s="6" t="s">
        <v>40</v>
      </c>
      <c r="C74" s="53">
        <v>1</v>
      </c>
      <c r="D74" s="58">
        <v>17.399999999999999</v>
      </c>
      <c r="E74" s="8">
        <f>(C74/17.4)/2</f>
        <v>2.8735632183908049E-2</v>
      </c>
      <c r="F74" s="54" t="s">
        <v>19</v>
      </c>
      <c r="G74" s="9" t="s">
        <v>19</v>
      </c>
      <c r="H74" s="23" t="s">
        <v>19</v>
      </c>
      <c r="I74" t="s">
        <v>23</v>
      </c>
      <c r="J74" s="11">
        <v>15</v>
      </c>
      <c r="K74" s="11">
        <v>6.9235714289999999</v>
      </c>
      <c r="L74" t="str">
        <f>VLOOKUP(B74,'[1]Plant data'!$A$1:$AB$315,2,0)</f>
        <v>Anacardiaceae</v>
      </c>
      <c r="M74" s="9">
        <f>VLOOKUP($B74,'[1]Plant data'!$A$1:$AB$315,6,0)</f>
        <v>5.1733333333333329</v>
      </c>
      <c r="N74" s="9">
        <f>VLOOKUP($B74,'[1]Plant data'!$A$1:$AB$315,7,0)</f>
        <v>5.0959999999999992</v>
      </c>
      <c r="O74" s="8">
        <f>VLOOKUP($B74,'[1]Plant data'!$A$1:$AB$315,10,0)</f>
        <v>2.82256E-2</v>
      </c>
      <c r="P74" s="8">
        <f>VLOOKUP($B74,'[1]Plant data'!$A$1:$AB$315,11,0)</f>
        <v>0.01</v>
      </c>
      <c r="Q74" s="8">
        <f>VLOOKUP($B74,'[1]Plant data'!$A$1:$AB$315,12,0)</f>
        <v>1.3157999999999998E-2</v>
      </c>
      <c r="R74" s="8">
        <f>VLOOKUP($B74,'[1]Plant data'!$A$1:$AB$315,13,0)</f>
        <v>7.4514000000000004E-3</v>
      </c>
      <c r="S74" s="8">
        <f>VLOOKUP($B74,'[1]Plant data'!$A$1:$AB$315,14,0)</f>
        <v>1.1774E-2</v>
      </c>
      <c r="T74" s="11">
        <f>VLOOKUP($B74,'[1]Plant data'!$A$1:$AB$315,15,0)</f>
        <v>1</v>
      </c>
      <c r="U74" s="9">
        <f>VLOOKUP($B74,'[1]Plant data'!$A$1:$AB$315,19,0)</f>
        <v>0.65910000000000002</v>
      </c>
      <c r="V74" s="8">
        <f>VLOOKUP($B74,'[1]Plant data'!$A$1:$AB$315,20,0)</f>
        <v>5.4699999999999999E-2</v>
      </c>
      <c r="W74" s="8">
        <f>VLOOKUP($B74,'[1]Plant data'!$A$1:$AB$315,21,0)</f>
        <v>6.8600000000000008E-2</v>
      </c>
      <c r="X74" s="8">
        <f>VLOOKUP($B74,'[1]Plant data'!$A$1:$AB$315,22,0)</f>
        <v>8.6999999999999994E-3</v>
      </c>
      <c r="Y74" s="8" t="str">
        <f>VLOOKUP($B74,'[1]Plant data'!$A$1:$AB$315,23,0)</f>
        <v>NA</v>
      </c>
      <c r="Z74" s="8" t="str">
        <f>VLOOKUP($B74,'[1]Plant data'!$A$1:$AB$315,24,0)</f>
        <v>NA</v>
      </c>
      <c r="AA74" s="8" t="str">
        <f>VLOOKUP($B74,'[1]Plant data'!$A$1:$AB$315,25,0)</f>
        <v>NA</v>
      </c>
      <c r="AB74" s="8">
        <f t="shared" ref="AB74:AB87" si="7">SUMIF(X74:Y74,"&gt;0.00001")</f>
        <v>8.6999999999999994E-3</v>
      </c>
    </row>
    <row r="75" spans="1:28">
      <c r="A75" s="18" t="s">
        <v>28</v>
      </c>
      <c r="B75" s="6" t="s">
        <v>40</v>
      </c>
      <c r="C75" s="56">
        <v>6</v>
      </c>
      <c r="D75" s="59">
        <v>5</v>
      </c>
      <c r="E75" s="26">
        <f>C75/D75</f>
        <v>1.2</v>
      </c>
      <c r="F75" s="56" t="s">
        <v>19</v>
      </c>
      <c r="G75" s="19">
        <f>(4+5)/2</f>
        <v>4.5</v>
      </c>
      <c r="H75" s="23">
        <f t="shared" ref="H75:H95" si="8">E75*G75</f>
        <v>5.3999999999999995</v>
      </c>
      <c r="I75" t="s">
        <v>30</v>
      </c>
      <c r="J75" s="11">
        <v>18</v>
      </c>
      <c r="K75" s="11">
        <v>7.4188405800000004</v>
      </c>
      <c r="L75" t="str">
        <f>VLOOKUP(B75,'[1]Plant data'!$A$1:$AB$315,2,0)</f>
        <v>Anacardiaceae</v>
      </c>
      <c r="M75" s="9">
        <f>VLOOKUP($B75,'[1]Plant data'!$A$1:$AB$315,6,0)</f>
        <v>5.1733333333333329</v>
      </c>
      <c r="N75" s="9">
        <f>VLOOKUP($B75,'[1]Plant data'!$A$1:$AB$315,7,0)</f>
        <v>5.0959999999999992</v>
      </c>
      <c r="O75" s="8">
        <f>VLOOKUP($B75,'[1]Plant data'!$A$1:$AB$315,10,0)</f>
        <v>2.82256E-2</v>
      </c>
      <c r="P75" s="8">
        <f>VLOOKUP($B75,'[1]Plant data'!$A$1:$AB$315,11,0)</f>
        <v>0.01</v>
      </c>
      <c r="Q75" s="8">
        <f>VLOOKUP($B75,'[1]Plant data'!$A$1:$AB$315,12,0)</f>
        <v>1.3157999999999998E-2</v>
      </c>
      <c r="R75" s="8">
        <f>VLOOKUP($B75,'[1]Plant data'!$A$1:$AB$315,13,0)</f>
        <v>7.4514000000000004E-3</v>
      </c>
      <c r="S75" s="8">
        <f>VLOOKUP($B75,'[1]Plant data'!$A$1:$AB$315,14,0)</f>
        <v>1.1774E-2</v>
      </c>
      <c r="T75" s="11">
        <f>VLOOKUP($B75,'[1]Plant data'!$A$1:$AB$315,15,0)</f>
        <v>1</v>
      </c>
      <c r="U75" s="9">
        <f>VLOOKUP($B75,'[1]Plant data'!$A$1:$AB$315,19,0)</f>
        <v>0.65910000000000002</v>
      </c>
      <c r="V75" s="8">
        <f>VLOOKUP($B75,'[1]Plant data'!$A$1:$AB$315,20,0)</f>
        <v>5.4699999999999999E-2</v>
      </c>
      <c r="W75" s="8">
        <f>VLOOKUP($B75,'[1]Plant data'!$A$1:$AB$315,21,0)</f>
        <v>6.8600000000000008E-2</v>
      </c>
      <c r="X75" s="8">
        <f>VLOOKUP($B75,'[1]Plant data'!$A$1:$AB$315,22,0)</f>
        <v>8.6999999999999994E-3</v>
      </c>
      <c r="Y75" s="8" t="str">
        <f>VLOOKUP($B75,'[1]Plant data'!$A$1:$AB$315,23,0)</f>
        <v>NA</v>
      </c>
      <c r="Z75" s="8" t="str">
        <f>VLOOKUP($B75,'[1]Plant data'!$A$1:$AB$315,24,0)</f>
        <v>NA</v>
      </c>
      <c r="AA75" s="8" t="str">
        <f>VLOOKUP($B75,'[1]Plant data'!$A$1:$AB$315,25,0)</f>
        <v>NA</v>
      </c>
      <c r="AB75" s="8">
        <f t="shared" si="7"/>
        <v>8.6999999999999994E-3</v>
      </c>
    </row>
    <row r="76" spans="1:28">
      <c r="A76" s="5" t="s">
        <v>28</v>
      </c>
      <c r="B76" s="15" t="s">
        <v>40</v>
      </c>
      <c r="C76" s="53">
        <v>1</v>
      </c>
      <c r="D76" s="58">
        <v>20</v>
      </c>
      <c r="E76" s="8">
        <f>C76/D76</f>
        <v>0.05</v>
      </c>
      <c r="F76" s="54">
        <v>2</v>
      </c>
      <c r="G76" s="9">
        <f>F76/C76</f>
        <v>2</v>
      </c>
      <c r="H76" s="23">
        <f t="shared" si="8"/>
        <v>0.1</v>
      </c>
      <c r="I76" t="s">
        <v>30</v>
      </c>
      <c r="J76" s="11">
        <v>18</v>
      </c>
      <c r="K76" s="11">
        <v>7.4188405800000004</v>
      </c>
      <c r="L76" t="str">
        <f>VLOOKUP(B76,'[1]Plant data'!$A$1:$AB$315,2,0)</f>
        <v>Anacardiaceae</v>
      </c>
      <c r="M76" s="9">
        <f>VLOOKUP($B76,'[1]Plant data'!$A$1:$AB$315,6,0)</f>
        <v>5.1733333333333329</v>
      </c>
      <c r="N76" s="9">
        <f>VLOOKUP($B76,'[1]Plant data'!$A$1:$AB$315,7,0)</f>
        <v>5.0959999999999992</v>
      </c>
      <c r="O76" s="8">
        <f>VLOOKUP($B76,'[1]Plant data'!$A$1:$AB$315,10,0)</f>
        <v>2.82256E-2</v>
      </c>
      <c r="P76" s="8">
        <f>VLOOKUP($B76,'[1]Plant data'!$A$1:$AB$315,11,0)</f>
        <v>0.01</v>
      </c>
      <c r="Q76" s="8">
        <f>VLOOKUP($B76,'[1]Plant data'!$A$1:$AB$315,12,0)</f>
        <v>1.3157999999999998E-2</v>
      </c>
      <c r="R76" s="8">
        <f>VLOOKUP($B76,'[1]Plant data'!$A$1:$AB$315,13,0)</f>
        <v>7.4514000000000004E-3</v>
      </c>
      <c r="S76" s="8">
        <f>VLOOKUP($B76,'[1]Plant data'!$A$1:$AB$315,14,0)</f>
        <v>1.1774E-2</v>
      </c>
      <c r="T76" s="11">
        <f>VLOOKUP($B76,'[1]Plant data'!$A$1:$AB$315,15,0)</f>
        <v>1</v>
      </c>
      <c r="U76" s="9">
        <f>VLOOKUP($B76,'[1]Plant data'!$A$1:$AB$315,19,0)</f>
        <v>0.65910000000000002</v>
      </c>
      <c r="V76" s="8">
        <f>VLOOKUP($B76,'[1]Plant data'!$A$1:$AB$315,20,0)</f>
        <v>5.4699999999999999E-2</v>
      </c>
      <c r="W76" s="8">
        <f>VLOOKUP($B76,'[1]Plant data'!$A$1:$AB$315,21,0)</f>
        <v>6.8600000000000008E-2</v>
      </c>
      <c r="X76" s="8">
        <f>VLOOKUP($B76,'[1]Plant data'!$A$1:$AB$315,22,0)</f>
        <v>8.6999999999999994E-3</v>
      </c>
      <c r="Y76" s="8" t="str">
        <f>VLOOKUP($B76,'[1]Plant data'!$A$1:$AB$315,23,0)</f>
        <v>NA</v>
      </c>
      <c r="Z76" s="8" t="str">
        <f>VLOOKUP($B76,'[1]Plant data'!$A$1:$AB$315,24,0)</f>
        <v>NA</v>
      </c>
      <c r="AA76" s="8" t="str">
        <f>VLOOKUP($B76,'[1]Plant data'!$A$1:$AB$315,25,0)</f>
        <v>NA</v>
      </c>
      <c r="AB76" s="8">
        <f t="shared" si="7"/>
        <v>8.6999999999999994E-3</v>
      </c>
    </row>
    <row r="77" spans="1:28">
      <c r="A77" s="5" t="s">
        <v>32</v>
      </c>
      <c r="B77" s="6" t="s">
        <v>40</v>
      </c>
      <c r="C77" s="53">
        <v>1</v>
      </c>
      <c r="D77" s="58">
        <v>10</v>
      </c>
      <c r="E77" s="8">
        <f>C77/D77</f>
        <v>0.1</v>
      </c>
      <c r="F77" s="54" t="s">
        <v>19</v>
      </c>
      <c r="G77" s="41">
        <v>2.75</v>
      </c>
      <c r="H77" s="23">
        <f t="shared" si="8"/>
        <v>0.27500000000000002</v>
      </c>
      <c r="I77" t="s">
        <v>30</v>
      </c>
      <c r="J77" s="11">
        <v>18</v>
      </c>
      <c r="K77" s="11">
        <v>5.1684999999999999</v>
      </c>
      <c r="L77" t="str">
        <f>VLOOKUP(B77,'[1]Plant data'!$A$1:$AB$315,2,0)</f>
        <v>Anacardiaceae</v>
      </c>
      <c r="M77" s="9">
        <f>VLOOKUP($B77,'[1]Plant data'!$A$1:$AB$315,6,0)</f>
        <v>5.1733333333333329</v>
      </c>
      <c r="N77" s="9">
        <f>VLOOKUP($B77,'[1]Plant data'!$A$1:$AB$315,7,0)</f>
        <v>5.0959999999999992</v>
      </c>
      <c r="O77" s="8">
        <f>VLOOKUP($B77,'[1]Plant data'!$A$1:$AB$315,10,0)</f>
        <v>2.82256E-2</v>
      </c>
      <c r="P77" s="8">
        <f>VLOOKUP($B77,'[1]Plant data'!$A$1:$AB$315,11,0)</f>
        <v>0.01</v>
      </c>
      <c r="Q77" s="8">
        <f>VLOOKUP($B77,'[1]Plant data'!$A$1:$AB$315,12,0)</f>
        <v>1.3157999999999998E-2</v>
      </c>
      <c r="R77" s="8">
        <f>VLOOKUP($B77,'[1]Plant data'!$A$1:$AB$315,13,0)</f>
        <v>7.4514000000000004E-3</v>
      </c>
      <c r="S77" s="8">
        <f>VLOOKUP($B77,'[1]Plant data'!$A$1:$AB$315,14,0)</f>
        <v>1.1774E-2</v>
      </c>
      <c r="T77" s="11">
        <f>VLOOKUP($B77,'[1]Plant data'!$A$1:$AB$315,15,0)</f>
        <v>1</v>
      </c>
      <c r="U77" s="9">
        <f>VLOOKUP($B77,'[1]Plant data'!$A$1:$AB$315,19,0)</f>
        <v>0.65910000000000002</v>
      </c>
      <c r="V77" s="8">
        <f>VLOOKUP($B77,'[1]Plant data'!$A$1:$AB$315,20,0)</f>
        <v>5.4699999999999999E-2</v>
      </c>
      <c r="W77" s="8">
        <f>VLOOKUP($B77,'[1]Plant data'!$A$1:$AB$315,21,0)</f>
        <v>6.8600000000000008E-2</v>
      </c>
      <c r="X77" s="8">
        <f>VLOOKUP($B77,'[1]Plant data'!$A$1:$AB$315,22,0)</f>
        <v>8.6999999999999994E-3</v>
      </c>
      <c r="Y77" s="8" t="str">
        <f>VLOOKUP($B77,'[1]Plant data'!$A$1:$AB$315,23,0)</f>
        <v>NA</v>
      </c>
      <c r="Z77" s="8" t="str">
        <f>VLOOKUP($B77,'[1]Plant data'!$A$1:$AB$315,24,0)</f>
        <v>NA</v>
      </c>
      <c r="AA77" s="8" t="str">
        <f>VLOOKUP($B77,'[1]Plant data'!$A$1:$AB$315,25,0)</f>
        <v>NA</v>
      </c>
      <c r="AB77" s="8">
        <f t="shared" si="7"/>
        <v>8.6999999999999994E-3</v>
      </c>
    </row>
    <row r="78" spans="1:28">
      <c r="A78" s="5" t="s">
        <v>41</v>
      </c>
      <c r="B78" s="6" t="s">
        <v>40</v>
      </c>
      <c r="C78" s="53">
        <v>3</v>
      </c>
      <c r="D78" s="58">
        <v>10</v>
      </c>
      <c r="E78" s="8">
        <f>C78/D78</f>
        <v>0.3</v>
      </c>
      <c r="F78" s="54" t="s">
        <v>19</v>
      </c>
      <c r="G78" s="41">
        <v>7.2855555555555549</v>
      </c>
      <c r="H78" s="23">
        <f t="shared" si="8"/>
        <v>2.1856666666666662</v>
      </c>
      <c r="I78" t="s">
        <v>30</v>
      </c>
      <c r="J78" s="11">
        <v>39</v>
      </c>
      <c r="K78" s="11">
        <v>8.2839869279999991</v>
      </c>
      <c r="L78" t="str">
        <f>VLOOKUP(B78,'[1]Plant data'!$A$1:$AB$315,2,0)</f>
        <v>Anacardiaceae</v>
      </c>
      <c r="M78" s="9">
        <f>VLOOKUP($B78,'[1]Plant data'!$A$1:$AB$315,6,0)</f>
        <v>5.1733333333333329</v>
      </c>
      <c r="N78" s="9">
        <f>VLOOKUP($B78,'[1]Plant data'!$A$1:$AB$315,7,0)</f>
        <v>5.0959999999999992</v>
      </c>
      <c r="O78" s="8">
        <f>VLOOKUP($B78,'[1]Plant data'!$A$1:$AB$315,10,0)</f>
        <v>2.82256E-2</v>
      </c>
      <c r="P78" s="8">
        <f>VLOOKUP($B78,'[1]Plant data'!$A$1:$AB$315,11,0)</f>
        <v>0.01</v>
      </c>
      <c r="Q78" s="8">
        <f>VLOOKUP($B78,'[1]Plant data'!$A$1:$AB$315,12,0)</f>
        <v>1.3157999999999998E-2</v>
      </c>
      <c r="R78" s="8">
        <f>VLOOKUP($B78,'[1]Plant data'!$A$1:$AB$315,13,0)</f>
        <v>7.4514000000000004E-3</v>
      </c>
      <c r="S78" s="8">
        <f>VLOOKUP($B78,'[1]Plant data'!$A$1:$AB$315,14,0)</f>
        <v>1.1774E-2</v>
      </c>
      <c r="T78" s="11">
        <f>VLOOKUP($B78,'[1]Plant data'!$A$1:$AB$315,15,0)</f>
        <v>1</v>
      </c>
      <c r="U78" s="9">
        <f>VLOOKUP($B78,'[1]Plant data'!$A$1:$AB$315,19,0)</f>
        <v>0.65910000000000002</v>
      </c>
      <c r="V78" s="8">
        <f>VLOOKUP($B78,'[1]Plant data'!$A$1:$AB$315,20,0)</f>
        <v>5.4699999999999999E-2</v>
      </c>
      <c r="W78" s="8">
        <f>VLOOKUP($B78,'[1]Plant data'!$A$1:$AB$315,21,0)</f>
        <v>6.8600000000000008E-2</v>
      </c>
      <c r="X78" s="8">
        <f>VLOOKUP($B78,'[1]Plant data'!$A$1:$AB$315,22,0)</f>
        <v>8.6999999999999994E-3</v>
      </c>
      <c r="Y78" s="8" t="str">
        <f>VLOOKUP($B78,'[1]Plant data'!$A$1:$AB$315,23,0)</f>
        <v>NA</v>
      </c>
      <c r="Z78" s="8" t="str">
        <f>VLOOKUP($B78,'[1]Plant data'!$A$1:$AB$315,24,0)</f>
        <v>NA</v>
      </c>
      <c r="AA78" s="8" t="str">
        <f>VLOOKUP($B78,'[1]Plant data'!$A$1:$AB$315,25,0)</f>
        <v>NA</v>
      </c>
      <c r="AB78" s="8">
        <f t="shared" si="7"/>
        <v>8.6999999999999994E-3</v>
      </c>
    </row>
    <row r="79" spans="1:28">
      <c r="A79" s="5" t="s">
        <v>43</v>
      </c>
      <c r="B79" s="14" t="s">
        <v>40</v>
      </c>
      <c r="C79" s="53">
        <v>21</v>
      </c>
      <c r="D79" s="58">
        <v>5</v>
      </c>
      <c r="E79" s="8">
        <f>C79/5</f>
        <v>4.2</v>
      </c>
      <c r="F79" s="54" t="s">
        <v>19</v>
      </c>
      <c r="G79" s="19">
        <v>4.5</v>
      </c>
      <c r="H79" s="23">
        <f t="shared" si="8"/>
        <v>18.900000000000002</v>
      </c>
      <c r="I79" t="s">
        <v>30</v>
      </c>
      <c r="J79" s="11">
        <v>32.5</v>
      </c>
      <c r="K79" s="11">
        <v>8.9205555560000001</v>
      </c>
      <c r="L79" t="str">
        <f>VLOOKUP(B79,'[1]Plant data'!$A$1:$AB$315,2,0)</f>
        <v>Anacardiaceae</v>
      </c>
      <c r="M79" s="9">
        <f>VLOOKUP($B79,'[1]Plant data'!$A$1:$AB$315,6,0)</f>
        <v>5.1733333333333329</v>
      </c>
      <c r="N79" s="9">
        <f>VLOOKUP($B79,'[1]Plant data'!$A$1:$AB$315,7,0)</f>
        <v>5.0959999999999992</v>
      </c>
      <c r="O79" s="8">
        <f>VLOOKUP($B79,'[1]Plant data'!$A$1:$AB$315,10,0)</f>
        <v>2.82256E-2</v>
      </c>
      <c r="P79" s="8">
        <f>VLOOKUP($B79,'[1]Plant data'!$A$1:$AB$315,11,0)</f>
        <v>0.01</v>
      </c>
      <c r="Q79" s="8">
        <f>VLOOKUP($B79,'[1]Plant data'!$A$1:$AB$315,12,0)</f>
        <v>1.3157999999999998E-2</v>
      </c>
      <c r="R79" s="8">
        <f>VLOOKUP($B79,'[1]Plant data'!$A$1:$AB$315,13,0)</f>
        <v>7.4514000000000004E-3</v>
      </c>
      <c r="S79" s="8">
        <f>VLOOKUP($B79,'[1]Plant data'!$A$1:$AB$315,14,0)</f>
        <v>1.1774E-2</v>
      </c>
      <c r="T79" s="11">
        <f>VLOOKUP($B79,'[1]Plant data'!$A$1:$AB$315,15,0)</f>
        <v>1</v>
      </c>
      <c r="U79" s="9">
        <f>VLOOKUP($B79,'[1]Plant data'!$A$1:$AB$315,19,0)</f>
        <v>0.65910000000000002</v>
      </c>
      <c r="V79" s="8">
        <f>VLOOKUP($B79,'[1]Plant data'!$A$1:$AB$315,20,0)</f>
        <v>5.4699999999999999E-2</v>
      </c>
      <c r="W79" s="8">
        <f>VLOOKUP($B79,'[1]Plant data'!$A$1:$AB$315,21,0)</f>
        <v>6.8600000000000008E-2</v>
      </c>
      <c r="X79" s="8">
        <f>VLOOKUP($B79,'[1]Plant data'!$A$1:$AB$315,22,0)</f>
        <v>8.6999999999999994E-3</v>
      </c>
      <c r="Y79" s="8" t="str">
        <f>VLOOKUP($B79,'[1]Plant data'!$A$1:$AB$315,23,0)</f>
        <v>NA</v>
      </c>
      <c r="Z79" s="8" t="str">
        <f>VLOOKUP($B79,'[1]Plant data'!$A$1:$AB$315,24,0)</f>
        <v>NA</v>
      </c>
      <c r="AA79" s="8" t="str">
        <f>VLOOKUP($B79,'[1]Plant data'!$A$1:$AB$315,25,0)</f>
        <v>NA</v>
      </c>
      <c r="AB79" s="8">
        <f t="shared" si="7"/>
        <v>8.6999999999999994E-3</v>
      </c>
    </row>
    <row r="80" spans="1:28">
      <c r="A80" s="5" t="s">
        <v>43</v>
      </c>
      <c r="B80" s="14" t="s">
        <v>40</v>
      </c>
      <c r="C80" s="53">
        <v>71</v>
      </c>
      <c r="D80" s="11">
        <v>102</v>
      </c>
      <c r="E80" s="8">
        <f>C80/102</f>
        <v>0.69607843137254899</v>
      </c>
      <c r="F80" s="54" t="s">
        <v>19</v>
      </c>
      <c r="G80" s="19">
        <v>13.69</v>
      </c>
      <c r="H80" s="23">
        <f t="shared" si="8"/>
        <v>9.5293137254901961</v>
      </c>
      <c r="I80" t="s">
        <v>30</v>
      </c>
      <c r="J80" s="11">
        <v>32.5</v>
      </c>
      <c r="K80" s="11">
        <v>8.9205555560000001</v>
      </c>
      <c r="L80" t="str">
        <f>VLOOKUP(B80,'[1]Plant data'!$A$1:$AB$315,2,0)</f>
        <v>Anacardiaceae</v>
      </c>
      <c r="M80" s="9">
        <f>VLOOKUP($B80,'[1]Plant data'!$A$1:$AB$315,6,0)</f>
        <v>5.1733333333333329</v>
      </c>
      <c r="N80" s="9">
        <f>VLOOKUP($B80,'[1]Plant data'!$A$1:$AB$315,7,0)</f>
        <v>5.0959999999999992</v>
      </c>
      <c r="O80" s="8">
        <f>VLOOKUP($B80,'[1]Plant data'!$A$1:$AB$315,10,0)</f>
        <v>2.82256E-2</v>
      </c>
      <c r="P80" s="8">
        <f>VLOOKUP($B80,'[1]Plant data'!$A$1:$AB$315,11,0)</f>
        <v>0.01</v>
      </c>
      <c r="Q80" s="8">
        <f>VLOOKUP($B80,'[1]Plant data'!$A$1:$AB$315,12,0)</f>
        <v>1.3157999999999998E-2</v>
      </c>
      <c r="R80" s="8">
        <f>VLOOKUP($B80,'[1]Plant data'!$A$1:$AB$315,13,0)</f>
        <v>7.4514000000000004E-3</v>
      </c>
      <c r="S80" s="8">
        <f>VLOOKUP($B80,'[1]Plant data'!$A$1:$AB$315,14,0)</f>
        <v>1.1774E-2</v>
      </c>
      <c r="T80" s="11">
        <f>VLOOKUP($B80,'[1]Plant data'!$A$1:$AB$315,15,0)</f>
        <v>1</v>
      </c>
      <c r="U80" s="9">
        <f>VLOOKUP($B80,'[1]Plant data'!$A$1:$AB$315,19,0)</f>
        <v>0.65910000000000002</v>
      </c>
      <c r="V80" s="8">
        <f>VLOOKUP($B80,'[1]Plant data'!$A$1:$AB$315,20,0)</f>
        <v>5.4699999999999999E-2</v>
      </c>
      <c r="W80" s="8">
        <f>VLOOKUP($B80,'[1]Plant data'!$A$1:$AB$315,21,0)</f>
        <v>6.8600000000000008E-2</v>
      </c>
      <c r="X80" s="8">
        <f>VLOOKUP($B80,'[1]Plant data'!$A$1:$AB$315,22,0)</f>
        <v>8.6999999999999994E-3</v>
      </c>
      <c r="Y80" s="8" t="str">
        <f>VLOOKUP($B80,'[1]Plant data'!$A$1:$AB$315,23,0)</f>
        <v>NA</v>
      </c>
      <c r="Z80" s="8" t="str">
        <f>VLOOKUP($B80,'[1]Plant data'!$A$1:$AB$315,24,0)</f>
        <v>NA</v>
      </c>
      <c r="AA80" s="8" t="str">
        <f>VLOOKUP($B80,'[1]Plant data'!$A$1:$AB$315,25,0)</f>
        <v>NA</v>
      </c>
      <c r="AB80" s="8">
        <f t="shared" si="7"/>
        <v>8.6999999999999994E-3</v>
      </c>
    </row>
    <row r="81" spans="1:28">
      <c r="A81" s="5" t="s">
        <v>43</v>
      </c>
      <c r="B81" s="6" t="s">
        <v>40</v>
      </c>
      <c r="C81" s="53">
        <v>5</v>
      </c>
      <c r="D81" s="58">
        <v>10</v>
      </c>
      <c r="E81" s="8">
        <f>C81/D81</f>
        <v>0.5</v>
      </c>
      <c r="F81" s="54" t="s">
        <v>19</v>
      </c>
      <c r="G81" s="41">
        <v>7.2855555555555549</v>
      </c>
      <c r="H81" s="23">
        <f t="shared" si="8"/>
        <v>3.6427777777777774</v>
      </c>
      <c r="I81" t="s">
        <v>30</v>
      </c>
      <c r="J81" s="11">
        <v>32.5</v>
      </c>
      <c r="K81" s="11">
        <v>8.9205555560000001</v>
      </c>
      <c r="L81" t="str">
        <f>VLOOKUP(B81,'[1]Plant data'!$A$1:$AB$315,2,0)</f>
        <v>Anacardiaceae</v>
      </c>
      <c r="M81" s="9">
        <f>VLOOKUP($B81,'[1]Plant data'!$A$1:$AB$315,6,0)</f>
        <v>5.1733333333333329</v>
      </c>
      <c r="N81" s="9">
        <f>VLOOKUP($B81,'[1]Plant data'!$A$1:$AB$315,7,0)</f>
        <v>5.0959999999999992</v>
      </c>
      <c r="O81" s="8">
        <f>VLOOKUP($B81,'[1]Plant data'!$A$1:$AB$315,10,0)</f>
        <v>2.82256E-2</v>
      </c>
      <c r="P81" s="8">
        <f>VLOOKUP($B81,'[1]Plant data'!$A$1:$AB$315,11,0)</f>
        <v>0.01</v>
      </c>
      <c r="Q81" s="8">
        <f>VLOOKUP($B81,'[1]Plant data'!$A$1:$AB$315,12,0)</f>
        <v>1.3157999999999998E-2</v>
      </c>
      <c r="R81" s="8">
        <f>VLOOKUP($B81,'[1]Plant data'!$A$1:$AB$315,13,0)</f>
        <v>7.4514000000000004E-3</v>
      </c>
      <c r="S81" s="8">
        <f>VLOOKUP($B81,'[1]Plant data'!$A$1:$AB$315,14,0)</f>
        <v>1.1774E-2</v>
      </c>
      <c r="T81" s="11">
        <f>VLOOKUP($B81,'[1]Plant data'!$A$1:$AB$315,15,0)</f>
        <v>1</v>
      </c>
      <c r="U81" s="9">
        <f>VLOOKUP($B81,'[1]Plant data'!$A$1:$AB$315,19,0)</f>
        <v>0.65910000000000002</v>
      </c>
      <c r="V81" s="8">
        <f>VLOOKUP($B81,'[1]Plant data'!$A$1:$AB$315,20,0)</f>
        <v>5.4699999999999999E-2</v>
      </c>
      <c r="W81" s="8">
        <f>VLOOKUP($B81,'[1]Plant data'!$A$1:$AB$315,21,0)</f>
        <v>6.8600000000000008E-2</v>
      </c>
      <c r="X81" s="8">
        <f>VLOOKUP($B81,'[1]Plant data'!$A$1:$AB$315,22,0)</f>
        <v>8.6999999999999994E-3</v>
      </c>
      <c r="Y81" s="8" t="str">
        <f>VLOOKUP($B81,'[1]Plant data'!$A$1:$AB$315,23,0)</f>
        <v>NA</v>
      </c>
      <c r="Z81" s="8" t="str">
        <f>VLOOKUP($B81,'[1]Plant data'!$A$1:$AB$315,24,0)</f>
        <v>NA</v>
      </c>
      <c r="AA81" s="8" t="str">
        <f>VLOOKUP($B81,'[1]Plant data'!$A$1:$AB$315,25,0)</f>
        <v>NA</v>
      </c>
      <c r="AB81" s="8">
        <f t="shared" si="7"/>
        <v>8.6999999999999994E-3</v>
      </c>
    </row>
    <row r="82" spans="1:28">
      <c r="A82" s="5" t="s">
        <v>43</v>
      </c>
      <c r="B82" s="14" t="s">
        <v>40</v>
      </c>
      <c r="C82" s="55">
        <v>6</v>
      </c>
      <c r="D82" s="17">
        <v>10</v>
      </c>
      <c r="E82" s="8">
        <f>C82/10</f>
        <v>0.6</v>
      </c>
      <c r="F82" s="54">
        <v>22</v>
      </c>
      <c r="G82" s="19">
        <f>F82/C82</f>
        <v>3.6666666666666665</v>
      </c>
      <c r="H82" s="23">
        <f t="shared" si="8"/>
        <v>2.1999999999999997</v>
      </c>
      <c r="I82" t="s">
        <v>30</v>
      </c>
      <c r="J82" s="11">
        <v>32.5</v>
      </c>
      <c r="K82" s="11">
        <v>8.9205555560000001</v>
      </c>
      <c r="L82" t="str">
        <f>VLOOKUP(B82,'[1]Plant data'!$A$1:$AB$315,2,0)</f>
        <v>Anacardiaceae</v>
      </c>
      <c r="M82" s="9">
        <f>VLOOKUP($B82,'[1]Plant data'!$A$1:$AB$315,6,0)</f>
        <v>5.1733333333333329</v>
      </c>
      <c r="N82" s="9">
        <f>VLOOKUP($B82,'[1]Plant data'!$A$1:$AB$315,7,0)</f>
        <v>5.0959999999999992</v>
      </c>
      <c r="O82" s="8">
        <f>VLOOKUP($B82,'[1]Plant data'!$A$1:$AB$315,10,0)</f>
        <v>2.82256E-2</v>
      </c>
      <c r="P82" s="8">
        <f>VLOOKUP($B82,'[1]Plant data'!$A$1:$AB$315,11,0)</f>
        <v>0.01</v>
      </c>
      <c r="Q82" s="8">
        <f>VLOOKUP($B82,'[1]Plant data'!$A$1:$AB$315,12,0)</f>
        <v>1.3157999999999998E-2</v>
      </c>
      <c r="R82" s="8">
        <f>VLOOKUP($B82,'[1]Plant data'!$A$1:$AB$315,13,0)</f>
        <v>7.4514000000000004E-3</v>
      </c>
      <c r="S82" s="8">
        <f>VLOOKUP($B82,'[1]Plant data'!$A$1:$AB$315,14,0)</f>
        <v>1.1774E-2</v>
      </c>
      <c r="T82" s="11">
        <f>VLOOKUP($B82,'[1]Plant data'!$A$1:$AB$315,15,0)</f>
        <v>1</v>
      </c>
      <c r="U82" s="9">
        <f>VLOOKUP($B82,'[1]Plant data'!$A$1:$AB$315,19,0)</f>
        <v>0.65910000000000002</v>
      </c>
      <c r="V82" s="8">
        <f>VLOOKUP($B82,'[1]Plant data'!$A$1:$AB$315,20,0)</f>
        <v>5.4699999999999999E-2</v>
      </c>
      <c r="W82" s="8">
        <f>VLOOKUP($B82,'[1]Plant data'!$A$1:$AB$315,21,0)</f>
        <v>6.8600000000000008E-2</v>
      </c>
      <c r="X82" s="8">
        <f>VLOOKUP($B82,'[1]Plant data'!$A$1:$AB$315,22,0)</f>
        <v>8.6999999999999994E-3</v>
      </c>
      <c r="Y82" s="8" t="str">
        <f>VLOOKUP($B82,'[1]Plant data'!$A$1:$AB$315,23,0)</f>
        <v>NA</v>
      </c>
      <c r="Z82" s="8" t="str">
        <f>VLOOKUP($B82,'[1]Plant data'!$A$1:$AB$315,24,0)</f>
        <v>NA</v>
      </c>
      <c r="AA82" s="8" t="str">
        <f>VLOOKUP($B82,'[1]Plant data'!$A$1:$AB$315,25,0)</f>
        <v>NA</v>
      </c>
      <c r="AB82" s="8">
        <f t="shared" si="7"/>
        <v>8.6999999999999994E-3</v>
      </c>
    </row>
    <row r="83" spans="1:28">
      <c r="A83" s="5" t="s">
        <v>46</v>
      </c>
      <c r="B83" s="6" t="s">
        <v>40</v>
      </c>
      <c r="C83" s="53">
        <v>3</v>
      </c>
      <c r="D83" s="58">
        <v>10</v>
      </c>
      <c r="E83" s="8">
        <f>C83/D83</f>
        <v>0.3</v>
      </c>
      <c r="F83" s="54" t="s">
        <v>19</v>
      </c>
      <c r="G83" s="41">
        <v>10.75</v>
      </c>
      <c r="H83" s="23">
        <f t="shared" si="8"/>
        <v>3.2250000000000001</v>
      </c>
      <c r="I83" t="s">
        <v>47</v>
      </c>
      <c r="J83" s="11">
        <v>54</v>
      </c>
      <c r="K83" s="11">
        <v>11.14875</v>
      </c>
      <c r="L83" t="str">
        <f>VLOOKUP(B83,'[1]Plant data'!$A$1:$AB$315,2,0)</f>
        <v>Anacardiaceae</v>
      </c>
      <c r="M83" s="9">
        <f>VLOOKUP($B83,'[1]Plant data'!$A$1:$AB$315,6,0)</f>
        <v>5.1733333333333329</v>
      </c>
      <c r="N83" s="9">
        <f>VLOOKUP($B83,'[1]Plant data'!$A$1:$AB$315,7,0)</f>
        <v>5.0959999999999992</v>
      </c>
      <c r="O83" s="8">
        <f>VLOOKUP($B83,'[1]Plant data'!$A$1:$AB$315,10,0)</f>
        <v>2.82256E-2</v>
      </c>
      <c r="P83" s="8">
        <f>VLOOKUP($B83,'[1]Plant data'!$A$1:$AB$315,11,0)</f>
        <v>0.01</v>
      </c>
      <c r="Q83" s="8">
        <f>VLOOKUP($B83,'[1]Plant data'!$A$1:$AB$315,12,0)</f>
        <v>1.3157999999999998E-2</v>
      </c>
      <c r="R83" s="8">
        <f>VLOOKUP($B83,'[1]Plant data'!$A$1:$AB$315,13,0)</f>
        <v>7.4514000000000004E-3</v>
      </c>
      <c r="S83" s="8">
        <f>VLOOKUP($B83,'[1]Plant data'!$A$1:$AB$315,14,0)</f>
        <v>1.1774E-2</v>
      </c>
      <c r="T83" s="11">
        <f>VLOOKUP($B83,'[1]Plant data'!$A$1:$AB$315,15,0)</f>
        <v>1</v>
      </c>
      <c r="U83" s="9">
        <f>VLOOKUP($B83,'[1]Plant data'!$A$1:$AB$315,19,0)</f>
        <v>0.65910000000000002</v>
      </c>
      <c r="V83" s="8">
        <f>VLOOKUP($B83,'[1]Plant data'!$A$1:$AB$315,20,0)</f>
        <v>5.4699999999999999E-2</v>
      </c>
      <c r="W83" s="8">
        <f>VLOOKUP($B83,'[1]Plant data'!$A$1:$AB$315,21,0)</f>
        <v>6.8600000000000008E-2</v>
      </c>
      <c r="X83" s="8">
        <f>VLOOKUP($B83,'[1]Plant data'!$A$1:$AB$315,22,0)</f>
        <v>8.6999999999999994E-3</v>
      </c>
      <c r="Y83" s="8" t="str">
        <f>VLOOKUP($B83,'[1]Plant data'!$A$1:$AB$315,23,0)</f>
        <v>NA</v>
      </c>
      <c r="Z83" s="8" t="str">
        <f>VLOOKUP($B83,'[1]Plant data'!$A$1:$AB$315,24,0)</f>
        <v>NA</v>
      </c>
      <c r="AA83" s="8" t="str">
        <f>VLOOKUP($B83,'[1]Plant data'!$A$1:$AB$315,25,0)</f>
        <v>NA</v>
      </c>
      <c r="AB83" s="8">
        <f t="shared" si="7"/>
        <v>8.6999999999999994E-3</v>
      </c>
    </row>
    <row r="84" spans="1:28">
      <c r="A84" s="5" t="s">
        <v>50</v>
      </c>
      <c r="B84" s="14" t="s">
        <v>40</v>
      </c>
      <c r="C84" s="53">
        <v>21</v>
      </c>
      <c r="D84" s="11">
        <v>102</v>
      </c>
      <c r="E84" s="8">
        <f>C84/102</f>
        <v>0.20588235294117646</v>
      </c>
      <c r="F84" s="54" t="s">
        <v>19</v>
      </c>
      <c r="G84" s="19">
        <v>16.5</v>
      </c>
      <c r="H84" s="23">
        <f t="shared" si="8"/>
        <v>3.3970588235294117</v>
      </c>
      <c r="I84" t="s">
        <v>47</v>
      </c>
      <c r="J84" s="11">
        <v>69.5</v>
      </c>
      <c r="K84" s="11">
        <v>13.253214290000001</v>
      </c>
      <c r="L84" t="str">
        <f>VLOOKUP(B84,'[1]Plant data'!$A$1:$AB$315,2,0)</f>
        <v>Anacardiaceae</v>
      </c>
      <c r="M84" s="9">
        <f>VLOOKUP($B84,'[1]Plant data'!$A$1:$AB$315,6,0)</f>
        <v>5.1733333333333329</v>
      </c>
      <c r="N84" s="9">
        <f>VLOOKUP($B84,'[1]Plant data'!$A$1:$AB$315,7,0)</f>
        <v>5.0959999999999992</v>
      </c>
      <c r="O84" s="8">
        <f>VLOOKUP($B84,'[1]Plant data'!$A$1:$AB$315,10,0)</f>
        <v>2.82256E-2</v>
      </c>
      <c r="P84" s="8">
        <f>VLOOKUP($B84,'[1]Plant data'!$A$1:$AB$315,11,0)</f>
        <v>0.01</v>
      </c>
      <c r="Q84" s="8">
        <f>VLOOKUP($B84,'[1]Plant data'!$A$1:$AB$315,12,0)</f>
        <v>1.3157999999999998E-2</v>
      </c>
      <c r="R84" s="8">
        <f>VLOOKUP($B84,'[1]Plant data'!$A$1:$AB$315,13,0)</f>
        <v>7.4514000000000004E-3</v>
      </c>
      <c r="S84" s="8">
        <f>VLOOKUP($B84,'[1]Plant data'!$A$1:$AB$315,14,0)</f>
        <v>1.1774E-2</v>
      </c>
      <c r="T84" s="11">
        <f>VLOOKUP($B84,'[1]Plant data'!$A$1:$AB$315,15,0)</f>
        <v>1</v>
      </c>
      <c r="U84" s="9">
        <f>VLOOKUP($B84,'[1]Plant data'!$A$1:$AB$315,19,0)</f>
        <v>0.65910000000000002</v>
      </c>
      <c r="V84" s="8">
        <f>VLOOKUP($B84,'[1]Plant data'!$A$1:$AB$315,20,0)</f>
        <v>5.4699999999999999E-2</v>
      </c>
      <c r="W84" s="8">
        <f>VLOOKUP($B84,'[1]Plant data'!$A$1:$AB$315,21,0)</f>
        <v>6.8600000000000008E-2</v>
      </c>
      <c r="X84" s="8">
        <f>VLOOKUP($B84,'[1]Plant data'!$A$1:$AB$315,22,0)</f>
        <v>8.6999999999999994E-3</v>
      </c>
      <c r="Y84" s="8" t="str">
        <f>VLOOKUP($B84,'[1]Plant data'!$A$1:$AB$315,23,0)</f>
        <v>NA</v>
      </c>
      <c r="Z84" s="8" t="str">
        <f>VLOOKUP($B84,'[1]Plant data'!$A$1:$AB$315,24,0)</f>
        <v>NA</v>
      </c>
      <c r="AA84" s="8" t="str">
        <f>VLOOKUP($B84,'[1]Plant data'!$A$1:$AB$315,25,0)</f>
        <v>NA</v>
      </c>
      <c r="AB84" s="8">
        <f t="shared" si="7"/>
        <v>8.6999999999999994E-3</v>
      </c>
    </row>
    <row r="85" spans="1:28">
      <c r="A85" s="5" t="s">
        <v>50</v>
      </c>
      <c r="B85" s="6" t="s">
        <v>40</v>
      </c>
      <c r="C85" s="53">
        <v>2</v>
      </c>
      <c r="D85" s="58">
        <v>10</v>
      </c>
      <c r="E85" s="8">
        <f>C85/D85</f>
        <v>0.2</v>
      </c>
      <c r="F85" s="54" t="s">
        <v>19</v>
      </c>
      <c r="G85" s="41">
        <v>10.75</v>
      </c>
      <c r="H85" s="23">
        <f t="shared" si="8"/>
        <v>2.15</v>
      </c>
      <c r="I85" t="s">
        <v>47</v>
      </c>
      <c r="J85" s="11">
        <v>69.5</v>
      </c>
      <c r="K85" s="11">
        <v>13.253214290000001</v>
      </c>
      <c r="L85" t="str">
        <f>VLOOKUP(B85,'[1]Plant data'!$A$1:$AB$315,2,0)</f>
        <v>Anacardiaceae</v>
      </c>
      <c r="M85" s="9">
        <f>VLOOKUP($B85,'[1]Plant data'!$A$1:$AB$315,6,0)</f>
        <v>5.1733333333333329</v>
      </c>
      <c r="N85" s="9">
        <f>VLOOKUP($B85,'[1]Plant data'!$A$1:$AB$315,7,0)</f>
        <v>5.0959999999999992</v>
      </c>
      <c r="O85" s="8">
        <f>VLOOKUP($B85,'[1]Plant data'!$A$1:$AB$315,10,0)</f>
        <v>2.82256E-2</v>
      </c>
      <c r="P85" s="8">
        <f>VLOOKUP($B85,'[1]Plant data'!$A$1:$AB$315,11,0)</f>
        <v>0.01</v>
      </c>
      <c r="Q85" s="8">
        <f>VLOOKUP($B85,'[1]Plant data'!$A$1:$AB$315,12,0)</f>
        <v>1.3157999999999998E-2</v>
      </c>
      <c r="R85" s="8">
        <f>VLOOKUP($B85,'[1]Plant data'!$A$1:$AB$315,13,0)</f>
        <v>7.4514000000000004E-3</v>
      </c>
      <c r="S85" s="8">
        <f>VLOOKUP($B85,'[1]Plant data'!$A$1:$AB$315,14,0)</f>
        <v>1.1774E-2</v>
      </c>
      <c r="T85" s="11">
        <f>VLOOKUP($B85,'[1]Plant data'!$A$1:$AB$315,15,0)</f>
        <v>1</v>
      </c>
      <c r="U85" s="9">
        <f>VLOOKUP($B85,'[1]Plant data'!$A$1:$AB$315,19,0)</f>
        <v>0.65910000000000002</v>
      </c>
      <c r="V85" s="8">
        <f>VLOOKUP($B85,'[1]Plant data'!$A$1:$AB$315,20,0)</f>
        <v>5.4699999999999999E-2</v>
      </c>
      <c r="W85" s="8">
        <f>VLOOKUP($B85,'[1]Plant data'!$A$1:$AB$315,21,0)</f>
        <v>6.8600000000000008E-2</v>
      </c>
      <c r="X85" s="8">
        <f>VLOOKUP($B85,'[1]Plant data'!$A$1:$AB$315,22,0)</f>
        <v>8.6999999999999994E-3</v>
      </c>
      <c r="Y85" s="8" t="str">
        <f>VLOOKUP($B85,'[1]Plant data'!$A$1:$AB$315,23,0)</f>
        <v>NA</v>
      </c>
      <c r="Z85" s="8" t="str">
        <f>VLOOKUP($B85,'[1]Plant data'!$A$1:$AB$315,24,0)</f>
        <v>NA</v>
      </c>
      <c r="AA85" s="8" t="str">
        <f>VLOOKUP($B85,'[1]Plant data'!$A$1:$AB$315,25,0)</f>
        <v>NA</v>
      </c>
      <c r="AB85" s="8">
        <f t="shared" si="7"/>
        <v>8.6999999999999994E-3</v>
      </c>
    </row>
    <row r="86" spans="1:28">
      <c r="A86" s="5" t="s">
        <v>50</v>
      </c>
      <c r="B86" s="14" t="s">
        <v>40</v>
      </c>
      <c r="C86" s="53">
        <v>1</v>
      </c>
      <c r="D86" s="58">
        <v>5</v>
      </c>
      <c r="E86" s="8">
        <f>C86/5</f>
        <v>0.2</v>
      </c>
      <c r="F86" s="54" t="s">
        <v>19</v>
      </c>
      <c r="G86" s="41">
        <v>10.75</v>
      </c>
      <c r="H86" s="23">
        <f t="shared" si="8"/>
        <v>2.15</v>
      </c>
      <c r="I86" t="s">
        <v>47</v>
      </c>
      <c r="J86" s="11">
        <v>69.5</v>
      </c>
      <c r="K86" s="11">
        <v>13.253214290000001</v>
      </c>
      <c r="L86" t="str">
        <f>VLOOKUP(B86,'[1]Plant data'!$A$1:$AB$315,2,0)</f>
        <v>Anacardiaceae</v>
      </c>
      <c r="M86" s="9">
        <f>VLOOKUP($B86,'[1]Plant data'!$A$1:$AB$315,6,0)</f>
        <v>5.1733333333333329</v>
      </c>
      <c r="N86" s="9">
        <f>VLOOKUP($B86,'[1]Plant data'!$A$1:$AB$315,7,0)</f>
        <v>5.0959999999999992</v>
      </c>
      <c r="O86" s="8">
        <f>VLOOKUP($B86,'[1]Plant data'!$A$1:$AB$315,10,0)</f>
        <v>2.82256E-2</v>
      </c>
      <c r="P86" s="8">
        <f>VLOOKUP($B86,'[1]Plant data'!$A$1:$AB$315,11,0)</f>
        <v>0.01</v>
      </c>
      <c r="Q86" s="8">
        <f>VLOOKUP($B86,'[1]Plant data'!$A$1:$AB$315,12,0)</f>
        <v>1.3157999999999998E-2</v>
      </c>
      <c r="R86" s="8">
        <f>VLOOKUP($B86,'[1]Plant data'!$A$1:$AB$315,13,0)</f>
        <v>7.4514000000000004E-3</v>
      </c>
      <c r="S86" s="8">
        <f>VLOOKUP($B86,'[1]Plant data'!$A$1:$AB$315,14,0)</f>
        <v>1.1774E-2</v>
      </c>
      <c r="T86" s="11">
        <f>VLOOKUP($B86,'[1]Plant data'!$A$1:$AB$315,15,0)</f>
        <v>1</v>
      </c>
      <c r="U86" s="9">
        <f>VLOOKUP($B86,'[1]Plant data'!$A$1:$AB$315,19,0)</f>
        <v>0.65910000000000002</v>
      </c>
      <c r="V86" s="8">
        <f>VLOOKUP($B86,'[1]Plant data'!$A$1:$AB$315,20,0)</f>
        <v>5.4699999999999999E-2</v>
      </c>
      <c r="W86" s="8">
        <f>VLOOKUP($B86,'[1]Plant data'!$A$1:$AB$315,21,0)</f>
        <v>6.8600000000000008E-2</v>
      </c>
      <c r="X86" s="8">
        <f>VLOOKUP($B86,'[1]Plant data'!$A$1:$AB$315,22,0)</f>
        <v>8.6999999999999994E-3</v>
      </c>
      <c r="Y86" s="8" t="str">
        <f>VLOOKUP($B86,'[1]Plant data'!$A$1:$AB$315,23,0)</f>
        <v>NA</v>
      </c>
      <c r="Z86" s="8" t="str">
        <f>VLOOKUP($B86,'[1]Plant data'!$A$1:$AB$315,24,0)</f>
        <v>NA</v>
      </c>
      <c r="AA86" s="8" t="str">
        <f>VLOOKUP($B86,'[1]Plant data'!$A$1:$AB$315,25,0)</f>
        <v>NA</v>
      </c>
      <c r="AB86" s="8">
        <f t="shared" si="7"/>
        <v>8.6999999999999994E-3</v>
      </c>
    </row>
    <row r="87" spans="1:28">
      <c r="A87" s="5" t="s">
        <v>50</v>
      </c>
      <c r="B87" s="14" t="s">
        <v>40</v>
      </c>
      <c r="C87" s="53">
        <v>1</v>
      </c>
      <c r="D87" s="17">
        <v>10</v>
      </c>
      <c r="E87" s="8">
        <f>C87/10</f>
        <v>0.1</v>
      </c>
      <c r="F87" s="54">
        <v>5</v>
      </c>
      <c r="G87" s="9">
        <v>5</v>
      </c>
      <c r="H87" s="23">
        <f t="shared" si="8"/>
        <v>0.5</v>
      </c>
      <c r="I87" t="s">
        <v>47</v>
      </c>
      <c r="J87" s="11">
        <v>69.5</v>
      </c>
      <c r="K87" s="11">
        <v>13.253214290000001</v>
      </c>
      <c r="L87" t="str">
        <f>VLOOKUP(B87,'[1]Plant data'!$A$1:$AB$315,2,0)</f>
        <v>Anacardiaceae</v>
      </c>
      <c r="M87" s="9">
        <f>VLOOKUP($B87,'[1]Plant data'!$A$1:$AB$315,6,0)</f>
        <v>5.1733333333333329</v>
      </c>
      <c r="N87" s="9">
        <f>VLOOKUP($B87,'[1]Plant data'!$A$1:$AB$315,7,0)</f>
        <v>5.0959999999999992</v>
      </c>
      <c r="O87" s="8">
        <f>VLOOKUP($B87,'[1]Plant data'!$A$1:$AB$315,10,0)</f>
        <v>2.82256E-2</v>
      </c>
      <c r="P87" s="8">
        <f>VLOOKUP($B87,'[1]Plant data'!$A$1:$AB$315,11,0)</f>
        <v>0.01</v>
      </c>
      <c r="Q87" s="8">
        <f>VLOOKUP($B87,'[1]Plant data'!$A$1:$AB$315,12,0)</f>
        <v>1.3157999999999998E-2</v>
      </c>
      <c r="R87" s="8">
        <f>VLOOKUP($B87,'[1]Plant data'!$A$1:$AB$315,13,0)</f>
        <v>7.4514000000000004E-3</v>
      </c>
      <c r="S87" s="8">
        <f>VLOOKUP($B87,'[1]Plant data'!$A$1:$AB$315,14,0)</f>
        <v>1.1774E-2</v>
      </c>
      <c r="T87" s="11">
        <f>VLOOKUP($B87,'[1]Plant data'!$A$1:$AB$315,15,0)</f>
        <v>1</v>
      </c>
      <c r="U87" s="9">
        <f>VLOOKUP($B87,'[1]Plant data'!$A$1:$AB$315,19,0)</f>
        <v>0.65910000000000002</v>
      </c>
      <c r="V87" s="8">
        <f>VLOOKUP($B87,'[1]Plant data'!$A$1:$AB$315,20,0)</f>
        <v>5.4699999999999999E-2</v>
      </c>
      <c r="W87" s="8">
        <f>VLOOKUP($B87,'[1]Plant data'!$A$1:$AB$315,21,0)</f>
        <v>6.8600000000000008E-2</v>
      </c>
      <c r="X87" s="8">
        <f>VLOOKUP($B87,'[1]Plant data'!$A$1:$AB$315,22,0)</f>
        <v>8.6999999999999994E-3</v>
      </c>
      <c r="Y87" s="8" t="str">
        <f>VLOOKUP($B87,'[1]Plant data'!$A$1:$AB$315,23,0)</f>
        <v>NA</v>
      </c>
      <c r="Z87" s="8" t="str">
        <f>VLOOKUP($B87,'[1]Plant data'!$A$1:$AB$315,24,0)</f>
        <v>NA</v>
      </c>
      <c r="AA87" s="8" t="str">
        <f>VLOOKUP($B87,'[1]Plant data'!$A$1:$AB$315,25,0)</f>
        <v>NA</v>
      </c>
      <c r="AB87" s="8">
        <f t="shared" si="7"/>
        <v>8.6999999999999994E-3</v>
      </c>
    </row>
    <row r="88" spans="1:28">
      <c r="A88" s="21" t="s">
        <v>104</v>
      </c>
      <c r="B88" s="22" t="s">
        <v>64</v>
      </c>
      <c r="C88" s="55">
        <v>1</v>
      </c>
      <c r="D88" s="17">
        <v>32</v>
      </c>
      <c r="E88" s="23">
        <f>C88/32</f>
        <v>3.125E-2</v>
      </c>
      <c r="F88" s="55">
        <v>15</v>
      </c>
      <c r="G88" s="19">
        <v>15</v>
      </c>
      <c r="H88" s="23">
        <f t="shared" si="8"/>
        <v>0.46875</v>
      </c>
      <c r="I88" s="16" t="s">
        <v>94</v>
      </c>
      <c r="J88" s="17">
        <v>343.5</v>
      </c>
      <c r="K88" s="17">
        <v>30.107272729999998</v>
      </c>
      <c r="L88" t="str">
        <f>VLOOKUP(B88,'[1]Plant data'!$A$1:$AB$315,2,0)</f>
        <v>Araliaceae</v>
      </c>
      <c r="M88" s="9">
        <f>VLOOKUP($B88,'[1]Plant data'!$A$1:$AB$315,6,0)</f>
        <v>6.8999999999999995</v>
      </c>
      <c r="N88" s="9">
        <f>VLOOKUP($B88,'[1]Plant data'!$A$1:$AB$315,7,0)</f>
        <v>7.8999999999999995</v>
      </c>
      <c r="O88" s="8">
        <f>VLOOKUP($B88,'[1]Plant data'!$A$1:$AB$315,10,0)</f>
        <v>0.505</v>
      </c>
      <c r="P88" s="8" t="str">
        <f>VLOOKUP($B88,'[1]Plant data'!$A$1:$AB$315,11,0)</f>
        <v>NA</v>
      </c>
      <c r="Q88" s="8">
        <f>VLOOKUP($B88,'[1]Plant data'!$A$1:$AB$315,12,0)</f>
        <v>4.4999999999999998E-2</v>
      </c>
      <c r="R88" s="8">
        <f>VLOOKUP($B88,'[1]Plant data'!$A$1:$AB$315,13,0)</f>
        <v>0.11600000000000001</v>
      </c>
      <c r="S88" s="8">
        <f>VLOOKUP($B88,'[1]Plant data'!$A$1:$AB$315,14,0)</f>
        <v>1.4E-2</v>
      </c>
      <c r="T88" s="11">
        <f>VLOOKUP($B88,'[1]Plant data'!$A$1:$AB$315,15,0)</f>
        <v>1.6</v>
      </c>
      <c r="U88" s="9">
        <f>VLOOKUP($B88,'[1]Plant data'!$A$1:$AB$315,19,0)</f>
        <v>0.78</v>
      </c>
      <c r="V88" s="8">
        <f>VLOOKUP($B88,'[1]Plant data'!$A$1:$AB$315,20,0)</f>
        <v>0.17900000000000002</v>
      </c>
      <c r="W88" s="8">
        <f>VLOOKUP($B88,'[1]Plant data'!$A$1:$AB$315,21,0)</f>
        <v>0.11899999999999999</v>
      </c>
      <c r="X88" s="8" t="str">
        <f>VLOOKUP($B88,'[1]Plant data'!$A$1:$AB$315,22,0)</f>
        <v>NA</v>
      </c>
      <c r="Y88" s="8" t="str">
        <f>VLOOKUP($B88,'[1]Plant data'!$A$1:$AB$315,23,0)</f>
        <v>NA</v>
      </c>
      <c r="Z88" s="8">
        <f>VLOOKUP($B88,'[1]Plant data'!$A$1:$AB$315,24,0)</f>
        <v>0.54600000000000004</v>
      </c>
      <c r="AA88" s="8" t="str">
        <f>VLOOKUP($B88,'[1]Plant data'!$A$1:$AB$315,25,0)</f>
        <v>NA</v>
      </c>
      <c r="AB88" s="8" t="s">
        <v>19</v>
      </c>
    </row>
    <row r="89" spans="1:28">
      <c r="A89" s="21" t="s">
        <v>41</v>
      </c>
      <c r="B89" s="22" t="s">
        <v>64</v>
      </c>
      <c r="C89" s="55">
        <v>9</v>
      </c>
      <c r="D89" s="17">
        <v>32</v>
      </c>
      <c r="E89" s="23">
        <f>C89/32</f>
        <v>0.28125</v>
      </c>
      <c r="F89" s="55">
        <v>16</v>
      </c>
      <c r="G89" s="19">
        <v>2.2999999999999998</v>
      </c>
      <c r="H89" s="23">
        <f t="shared" si="8"/>
        <v>0.64687499999999998</v>
      </c>
      <c r="I89" s="16" t="s">
        <v>30</v>
      </c>
      <c r="J89" s="17">
        <v>39</v>
      </c>
      <c r="K89" s="17">
        <v>8.2839869279999991</v>
      </c>
      <c r="L89" t="str">
        <f>VLOOKUP(B89,'[1]Plant data'!$A$1:$AB$315,2,0)</f>
        <v>Araliaceae</v>
      </c>
      <c r="M89" s="9">
        <f>VLOOKUP($B89,'[1]Plant data'!$A$1:$AB$315,6,0)</f>
        <v>6.8999999999999995</v>
      </c>
      <c r="N89" s="9">
        <f>VLOOKUP($B89,'[1]Plant data'!$A$1:$AB$315,7,0)</f>
        <v>7.8999999999999995</v>
      </c>
      <c r="O89" s="8">
        <f>VLOOKUP($B89,'[1]Plant data'!$A$1:$AB$315,10,0)</f>
        <v>0.505</v>
      </c>
      <c r="P89" s="8" t="str">
        <f>VLOOKUP($B89,'[1]Plant data'!$A$1:$AB$315,11,0)</f>
        <v>NA</v>
      </c>
      <c r="Q89" s="8">
        <f>VLOOKUP($B89,'[1]Plant data'!$A$1:$AB$315,12,0)</f>
        <v>4.4999999999999998E-2</v>
      </c>
      <c r="R89" s="8">
        <f>VLOOKUP($B89,'[1]Plant data'!$A$1:$AB$315,13,0)</f>
        <v>0.11600000000000001</v>
      </c>
      <c r="S89" s="8">
        <f>VLOOKUP($B89,'[1]Plant data'!$A$1:$AB$315,14,0)</f>
        <v>1.4E-2</v>
      </c>
      <c r="T89" s="11">
        <f>VLOOKUP($B89,'[1]Plant data'!$A$1:$AB$315,15,0)</f>
        <v>1.6</v>
      </c>
      <c r="U89" s="9">
        <f>VLOOKUP($B89,'[1]Plant data'!$A$1:$AB$315,19,0)</f>
        <v>0.78</v>
      </c>
      <c r="V89" s="8">
        <f>VLOOKUP($B89,'[1]Plant data'!$A$1:$AB$315,20,0)</f>
        <v>0.17900000000000002</v>
      </c>
      <c r="W89" s="8">
        <f>VLOOKUP($B89,'[1]Plant data'!$A$1:$AB$315,21,0)</f>
        <v>0.11899999999999999</v>
      </c>
      <c r="X89" s="8" t="str">
        <f>VLOOKUP($B89,'[1]Plant data'!$A$1:$AB$315,22,0)</f>
        <v>NA</v>
      </c>
      <c r="Y89" s="8" t="str">
        <f>VLOOKUP($B89,'[1]Plant data'!$A$1:$AB$315,23,0)</f>
        <v>NA</v>
      </c>
      <c r="Z89" s="8">
        <f>VLOOKUP($B89,'[1]Plant data'!$A$1:$AB$315,24,0)</f>
        <v>0.54600000000000004</v>
      </c>
      <c r="AA89" s="8" t="str">
        <f>VLOOKUP($B89,'[1]Plant data'!$A$1:$AB$315,25,0)</f>
        <v>NA</v>
      </c>
      <c r="AB89" s="8" t="s">
        <v>19</v>
      </c>
    </row>
    <row r="90" spans="1:28">
      <c r="A90" s="21" t="s">
        <v>41</v>
      </c>
      <c r="B90" s="22" t="s">
        <v>64</v>
      </c>
      <c r="C90" s="55">
        <v>66</v>
      </c>
      <c r="D90" s="17">
        <v>254</v>
      </c>
      <c r="E90" s="23">
        <f>C90/D90</f>
        <v>0.25984251968503935</v>
      </c>
      <c r="F90" s="55" t="s">
        <v>19</v>
      </c>
      <c r="G90" s="41">
        <v>2.2000000000000002</v>
      </c>
      <c r="H90" s="23">
        <f t="shared" si="8"/>
        <v>0.57165354330708662</v>
      </c>
      <c r="I90" s="16" t="s">
        <v>30</v>
      </c>
      <c r="J90" s="17">
        <v>39</v>
      </c>
      <c r="K90" s="17">
        <v>8.2839869279999991</v>
      </c>
      <c r="L90" t="str">
        <f>VLOOKUP(B90,'[1]Plant data'!$A$1:$AB$315,2,0)</f>
        <v>Araliaceae</v>
      </c>
      <c r="M90" s="9">
        <f>VLOOKUP($B90,'[1]Plant data'!$A$1:$AB$315,6,0)</f>
        <v>6.8999999999999995</v>
      </c>
      <c r="N90" s="9">
        <f>VLOOKUP($B90,'[1]Plant data'!$A$1:$AB$315,7,0)</f>
        <v>7.8999999999999995</v>
      </c>
      <c r="O90" s="8">
        <f>VLOOKUP($B90,'[1]Plant data'!$A$1:$AB$315,10,0)</f>
        <v>0.505</v>
      </c>
      <c r="P90" s="8" t="str">
        <f>VLOOKUP($B90,'[1]Plant data'!$A$1:$AB$315,11,0)</f>
        <v>NA</v>
      </c>
      <c r="Q90" s="8">
        <f>VLOOKUP($B90,'[1]Plant data'!$A$1:$AB$315,12,0)</f>
        <v>4.4999999999999998E-2</v>
      </c>
      <c r="R90" s="8">
        <f>VLOOKUP($B90,'[1]Plant data'!$A$1:$AB$315,13,0)</f>
        <v>0.11600000000000001</v>
      </c>
      <c r="S90" s="8">
        <f>VLOOKUP($B90,'[1]Plant data'!$A$1:$AB$315,14,0)</f>
        <v>1.4E-2</v>
      </c>
      <c r="T90" s="11">
        <f>VLOOKUP($B90,'[1]Plant data'!$A$1:$AB$315,15,0)</f>
        <v>1.6</v>
      </c>
      <c r="U90" s="9">
        <f>VLOOKUP($B90,'[1]Plant data'!$A$1:$AB$315,19,0)</f>
        <v>0.78</v>
      </c>
      <c r="V90" s="8">
        <f>VLOOKUP($B90,'[1]Plant data'!$A$1:$AB$315,20,0)</f>
        <v>0.17900000000000002</v>
      </c>
      <c r="W90" s="8">
        <f>VLOOKUP($B90,'[1]Plant data'!$A$1:$AB$315,21,0)</f>
        <v>0.11899999999999999</v>
      </c>
      <c r="X90" s="8" t="str">
        <f>VLOOKUP($B90,'[1]Plant data'!$A$1:$AB$315,22,0)</f>
        <v>NA</v>
      </c>
      <c r="Y90" s="8" t="str">
        <f>VLOOKUP($B90,'[1]Plant data'!$A$1:$AB$315,23,0)</f>
        <v>NA</v>
      </c>
      <c r="Z90" s="8">
        <f>VLOOKUP($B90,'[1]Plant data'!$A$1:$AB$315,24,0)</f>
        <v>0.54600000000000004</v>
      </c>
      <c r="AA90" s="8" t="str">
        <f>VLOOKUP($B90,'[1]Plant data'!$A$1:$AB$315,25,0)</f>
        <v>NA</v>
      </c>
      <c r="AB90" s="8" t="s">
        <v>19</v>
      </c>
    </row>
    <row r="91" spans="1:28">
      <c r="A91" s="21" t="s">
        <v>43</v>
      </c>
      <c r="B91" s="22" t="s">
        <v>64</v>
      </c>
      <c r="C91" s="55">
        <v>12</v>
      </c>
      <c r="D91" s="17">
        <v>32</v>
      </c>
      <c r="E91" s="23">
        <f>C91/32</f>
        <v>0.375</v>
      </c>
      <c r="F91" s="55">
        <v>21</v>
      </c>
      <c r="G91" s="19">
        <v>2.1</v>
      </c>
      <c r="H91" s="23">
        <f t="shared" si="8"/>
        <v>0.78750000000000009</v>
      </c>
      <c r="I91" s="16" t="s">
        <v>30</v>
      </c>
      <c r="J91" s="17">
        <v>32.5</v>
      </c>
      <c r="K91" s="17">
        <v>8.9205555560000001</v>
      </c>
      <c r="L91" t="str">
        <f>VLOOKUP(B91,'[1]Plant data'!$A$1:$AB$315,2,0)</f>
        <v>Araliaceae</v>
      </c>
      <c r="M91" s="9">
        <f>VLOOKUP($B91,'[1]Plant data'!$A$1:$AB$315,6,0)</f>
        <v>6.8999999999999995</v>
      </c>
      <c r="N91" s="9">
        <f>VLOOKUP($B91,'[1]Plant data'!$A$1:$AB$315,7,0)</f>
        <v>7.8999999999999995</v>
      </c>
      <c r="O91" s="8">
        <f>VLOOKUP($B91,'[1]Plant data'!$A$1:$AB$315,10,0)</f>
        <v>0.505</v>
      </c>
      <c r="P91" s="8" t="str">
        <f>VLOOKUP($B91,'[1]Plant data'!$A$1:$AB$315,11,0)</f>
        <v>NA</v>
      </c>
      <c r="Q91" s="8">
        <f>VLOOKUP($B91,'[1]Plant data'!$A$1:$AB$315,12,0)</f>
        <v>4.4999999999999998E-2</v>
      </c>
      <c r="R91" s="8">
        <f>VLOOKUP($B91,'[1]Plant data'!$A$1:$AB$315,13,0)</f>
        <v>0.11600000000000001</v>
      </c>
      <c r="S91" s="8">
        <f>VLOOKUP($B91,'[1]Plant data'!$A$1:$AB$315,14,0)</f>
        <v>1.4E-2</v>
      </c>
      <c r="T91" s="11">
        <f>VLOOKUP($B91,'[1]Plant data'!$A$1:$AB$315,15,0)</f>
        <v>1.6</v>
      </c>
      <c r="U91" s="9">
        <f>VLOOKUP($B91,'[1]Plant data'!$A$1:$AB$315,19,0)</f>
        <v>0.78</v>
      </c>
      <c r="V91" s="8">
        <f>VLOOKUP($B91,'[1]Plant data'!$A$1:$AB$315,20,0)</f>
        <v>0.17900000000000002</v>
      </c>
      <c r="W91" s="8">
        <f>VLOOKUP($B91,'[1]Plant data'!$A$1:$AB$315,21,0)</f>
        <v>0.11899999999999999</v>
      </c>
      <c r="X91" s="8" t="str">
        <f>VLOOKUP($B91,'[1]Plant data'!$A$1:$AB$315,22,0)</f>
        <v>NA</v>
      </c>
      <c r="Y91" s="8" t="str">
        <f>VLOOKUP($B91,'[1]Plant data'!$A$1:$AB$315,23,0)</f>
        <v>NA</v>
      </c>
      <c r="Z91" s="8">
        <f>VLOOKUP($B91,'[1]Plant data'!$A$1:$AB$315,24,0)</f>
        <v>0.54600000000000004</v>
      </c>
      <c r="AA91" s="8" t="str">
        <f>VLOOKUP($B91,'[1]Plant data'!$A$1:$AB$315,25,0)</f>
        <v>NA</v>
      </c>
      <c r="AB91" s="8" t="s">
        <v>19</v>
      </c>
    </row>
    <row r="92" spans="1:28">
      <c r="A92" s="21" t="s">
        <v>46</v>
      </c>
      <c r="B92" s="22" t="s">
        <v>64</v>
      </c>
      <c r="C92" s="55">
        <v>11</v>
      </c>
      <c r="D92" s="17">
        <v>32</v>
      </c>
      <c r="E92" s="23">
        <f>C92/32</f>
        <v>0.34375</v>
      </c>
      <c r="F92" s="55">
        <v>29</v>
      </c>
      <c r="G92" s="19">
        <v>2.6</v>
      </c>
      <c r="H92" s="23">
        <f t="shared" si="8"/>
        <v>0.89375000000000004</v>
      </c>
      <c r="I92" s="16" t="s">
        <v>47</v>
      </c>
      <c r="J92" s="17">
        <v>54</v>
      </c>
      <c r="K92" s="17">
        <v>11.14875</v>
      </c>
      <c r="L92" t="str">
        <f>VLOOKUP(B92,'[1]Plant data'!$A$1:$AB$315,2,0)</f>
        <v>Araliaceae</v>
      </c>
      <c r="M92" s="9">
        <f>VLOOKUP($B92,'[1]Plant data'!$A$1:$AB$315,6,0)</f>
        <v>6.8999999999999995</v>
      </c>
      <c r="N92" s="9">
        <f>VLOOKUP($B92,'[1]Plant data'!$A$1:$AB$315,7,0)</f>
        <v>7.8999999999999995</v>
      </c>
      <c r="O92" s="8">
        <f>VLOOKUP($B92,'[1]Plant data'!$A$1:$AB$315,10,0)</f>
        <v>0.505</v>
      </c>
      <c r="P92" s="8" t="str">
        <f>VLOOKUP($B92,'[1]Plant data'!$A$1:$AB$315,11,0)</f>
        <v>NA</v>
      </c>
      <c r="Q92" s="8">
        <f>VLOOKUP($B92,'[1]Plant data'!$A$1:$AB$315,12,0)</f>
        <v>4.4999999999999998E-2</v>
      </c>
      <c r="R92" s="8">
        <f>VLOOKUP($B92,'[1]Plant data'!$A$1:$AB$315,13,0)</f>
        <v>0.11600000000000001</v>
      </c>
      <c r="S92" s="8">
        <f>VLOOKUP($B92,'[1]Plant data'!$A$1:$AB$315,14,0)</f>
        <v>1.4E-2</v>
      </c>
      <c r="T92" s="11">
        <f>VLOOKUP($B92,'[1]Plant data'!$A$1:$AB$315,15,0)</f>
        <v>1.6</v>
      </c>
      <c r="U92" s="9">
        <f>VLOOKUP($B92,'[1]Plant data'!$A$1:$AB$315,19,0)</f>
        <v>0.78</v>
      </c>
      <c r="V92" s="8">
        <f>VLOOKUP($B92,'[1]Plant data'!$A$1:$AB$315,20,0)</f>
        <v>0.17900000000000002</v>
      </c>
      <c r="W92" s="8">
        <f>VLOOKUP($B92,'[1]Plant data'!$A$1:$AB$315,21,0)</f>
        <v>0.11899999999999999</v>
      </c>
      <c r="X92" s="8" t="str">
        <f>VLOOKUP($B92,'[1]Plant data'!$A$1:$AB$315,22,0)</f>
        <v>NA</v>
      </c>
      <c r="Y92" s="8" t="str">
        <f>VLOOKUP($B92,'[1]Plant data'!$A$1:$AB$315,23,0)</f>
        <v>NA</v>
      </c>
      <c r="Z92" s="8">
        <f>VLOOKUP($B92,'[1]Plant data'!$A$1:$AB$315,24,0)</f>
        <v>0.54600000000000004</v>
      </c>
      <c r="AA92" s="8" t="str">
        <f>VLOOKUP($B92,'[1]Plant data'!$A$1:$AB$315,25,0)</f>
        <v>NA</v>
      </c>
      <c r="AB92" s="8" t="s">
        <v>19</v>
      </c>
    </row>
    <row r="93" spans="1:28">
      <c r="A93" s="21" t="s">
        <v>50</v>
      </c>
      <c r="B93" s="22" t="s">
        <v>64</v>
      </c>
      <c r="C93" s="55">
        <v>2</v>
      </c>
      <c r="D93" s="17">
        <v>32</v>
      </c>
      <c r="E93" s="23">
        <f>C93/32</f>
        <v>6.25E-2</v>
      </c>
      <c r="F93" s="55">
        <v>1</v>
      </c>
      <c r="G93" s="19">
        <v>1</v>
      </c>
      <c r="H93" s="23">
        <f t="shared" si="8"/>
        <v>6.25E-2</v>
      </c>
      <c r="I93" s="16" t="s">
        <v>47</v>
      </c>
      <c r="J93" s="17">
        <v>69.5</v>
      </c>
      <c r="K93" s="17">
        <v>13.253214290000001</v>
      </c>
      <c r="L93" t="str">
        <f>VLOOKUP(B93,'[1]Plant data'!$A$1:$AB$315,2,0)</f>
        <v>Araliaceae</v>
      </c>
      <c r="M93" s="9">
        <f>VLOOKUP($B93,'[1]Plant data'!$A$1:$AB$315,6,0)</f>
        <v>6.8999999999999995</v>
      </c>
      <c r="N93" s="9">
        <f>VLOOKUP($B93,'[1]Plant data'!$A$1:$AB$315,7,0)</f>
        <v>7.8999999999999995</v>
      </c>
      <c r="O93" s="8">
        <f>VLOOKUP($B93,'[1]Plant data'!$A$1:$AB$315,10,0)</f>
        <v>0.505</v>
      </c>
      <c r="P93" s="8" t="str">
        <f>VLOOKUP($B93,'[1]Plant data'!$A$1:$AB$315,11,0)</f>
        <v>NA</v>
      </c>
      <c r="Q93" s="8">
        <f>VLOOKUP($B93,'[1]Plant data'!$A$1:$AB$315,12,0)</f>
        <v>4.4999999999999998E-2</v>
      </c>
      <c r="R93" s="8">
        <f>VLOOKUP($B93,'[1]Plant data'!$A$1:$AB$315,13,0)</f>
        <v>0.11600000000000001</v>
      </c>
      <c r="S93" s="8">
        <f>VLOOKUP($B93,'[1]Plant data'!$A$1:$AB$315,14,0)</f>
        <v>1.4E-2</v>
      </c>
      <c r="T93" s="11">
        <f>VLOOKUP($B93,'[1]Plant data'!$A$1:$AB$315,15,0)</f>
        <v>1.6</v>
      </c>
      <c r="U93" s="9">
        <f>VLOOKUP($B93,'[1]Plant data'!$A$1:$AB$315,19,0)</f>
        <v>0.78</v>
      </c>
      <c r="V93" s="8">
        <f>VLOOKUP($B93,'[1]Plant data'!$A$1:$AB$315,20,0)</f>
        <v>0.17900000000000002</v>
      </c>
      <c r="W93" s="8">
        <f>VLOOKUP($B93,'[1]Plant data'!$A$1:$AB$315,21,0)</f>
        <v>0.11899999999999999</v>
      </c>
      <c r="X93" s="8" t="str">
        <f>VLOOKUP($B93,'[1]Plant data'!$A$1:$AB$315,22,0)</f>
        <v>NA</v>
      </c>
      <c r="Y93" s="8" t="str">
        <f>VLOOKUP($B93,'[1]Plant data'!$A$1:$AB$315,23,0)</f>
        <v>NA</v>
      </c>
      <c r="Z93" s="8">
        <f>VLOOKUP($B93,'[1]Plant data'!$A$1:$AB$315,24,0)</f>
        <v>0.54600000000000004</v>
      </c>
      <c r="AA93" s="8" t="str">
        <f>VLOOKUP($B93,'[1]Plant data'!$A$1:$AB$315,25,0)</f>
        <v>NA</v>
      </c>
      <c r="AB93" s="8" t="s">
        <v>19</v>
      </c>
    </row>
    <row r="94" spans="1:28">
      <c r="A94" s="21" t="s">
        <v>50</v>
      </c>
      <c r="B94" s="22" t="s">
        <v>64</v>
      </c>
      <c r="C94" s="55">
        <v>1</v>
      </c>
      <c r="D94" s="17">
        <v>254</v>
      </c>
      <c r="E94" s="23">
        <f>C94/D94</f>
        <v>3.937007874015748E-3</v>
      </c>
      <c r="F94" s="55" t="s">
        <v>19</v>
      </c>
      <c r="G94" s="41">
        <v>1.8</v>
      </c>
      <c r="H94" s="23">
        <f t="shared" si="8"/>
        <v>7.0866141732283464E-3</v>
      </c>
      <c r="I94" s="16" t="s">
        <v>47</v>
      </c>
      <c r="J94" s="17">
        <v>69.5</v>
      </c>
      <c r="K94" s="17">
        <v>13.253214290000001</v>
      </c>
      <c r="L94" t="str">
        <f>VLOOKUP(B94,'[1]Plant data'!$A$1:$AB$315,2,0)</f>
        <v>Araliaceae</v>
      </c>
      <c r="M94" s="9">
        <f>VLOOKUP($B94,'[1]Plant data'!$A$1:$AB$315,6,0)</f>
        <v>6.8999999999999995</v>
      </c>
      <c r="N94" s="9">
        <f>VLOOKUP($B94,'[1]Plant data'!$A$1:$AB$315,7,0)</f>
        <v>7.8999999999999995</v>
      </c>
      <c r="O94" s="8">
        <f>VLOOKUP($B94,'[1]Plant data'!$A$1:$AB$315,10,0)</f>
        <v>0.505</v>
      </c>
      <c r="P94" s="8" t="str">
        <f>VLOOKUP($B94,'[1]Plant data'!$A$1:$AB$315,11,0)</f>
        <v>NA</v>
      </c>
      <c r="Q94" s="8">
        <f>VLOOKUP($B94,'[1]Plant data'!$A$1:$AB$315,12,0)</f>
        <v>4.4999999999999998E-2</v>
      </c>
      <c r="R94" s="8">
        <f>VLOOKUP($B94,'[1]Plant data'!$A$1:$AB$315,13,0)</f>
        <v>0.11600000000000001</v>
      </c>
      <c r="S94" s="8">
        <f>VLOOKUP($B94,'[1]Plant data'!$A$1:$AB$315,14,0)</f>
        <v>1.4E-2</v>
      </c>
      <c r="T94" s="11">
        <f>VLOOKUP($B94,'[1]Plant data'!$A$1:$AB$315,15,0)</f>
        <v>1.6</v>
      </c>
      <c r="U94" s="9">
        <f>VLOOKUP($B94,'[1]Plant data'!$A$1:$AB$315,19,0)</f>
        <v>0.78</v>
      </c>
      <c r="V94" s="8">
        <f>VLOOKUP($B94,'[1]Plant data'!$A$1:$AB$315,20,0)</f>
        <v>0.17900000000000002</v>
      </c>
      <c r="W94" s="8">
        <f>VLOOKUP($B94,'[1]Plant data'!$A$1:$AB$315,21,0)</f>
        <v>0.11899999999999999</v>
      </c>
      <c r="X94" s="8" t="str">
        <f>VLOOKUP($B94,'[1]Plant data'!$A$1:$AB$315,22,0)</f>
        <v>NA</v>
      </c>
      <c r="Y94" s="8" t="str">
        <f>VLOOKUP($B94,'[1]Plant data'!$A$1:$AB$315,23,0)</f>
        <v>NA</v>
      </c>
      <c r="Z94" s="8">
        <f>VLOOKUP($B94,'[1]Plant data'!$A$1:$AB$315,24,0)</f>
        <v>0.54600000000000004</v>
      </c>
      <c r="AA94" s="8" t="str">
        <f>VLOOKUP($B94,'[1]Plant data'!$A$1:$AB$315,25,0)</f>
        <v>NA</v>
      </c>
      <c r="AB94" s="8" t="s">
        <v>19</v>
      </c>
    </row>
    <row r="95" spans="1:28">
      <c r="A95" s="21" t="s">
        <v>43</v>
      </c>
      <c r="B95" s="22" t="s">
        <v>230</v>
      </c>
      <c r="C95" s="55">
        <v>11</v>
      </c>
      <c r="D95" s="17">
        <v>32</v>
      </c>
      <c r="E95" s="23">
        <f>C95/15</f>
        <v>0.73333333333333328</v>
      </c>
      <c r="F95" s="55">
        <v>79</v>
      </c>
      <c r="G95" s="19">
        <v>7.2</v>
      </c>
      <c r="H95" s="23">
        <f t="shared" si="8"/>
        <v>5.2799999999999994</v>
      </c>
      <c r="I95" s="16" t="s">
        <v>30</v>
      </c>
      <c r="J95" s="17">
        <v>32.5</v>
      </c>
      <c r="K95" s="17">
        <v>8.9205555560000001</v>
      </c>
      <c r="L95" t="str">
        <f>VLOOKUP(B95,'[1]Plant data'!$A$1:$AB$315,2,0)</f>
        <v>Phyllanthaceae</v>
      </c>
      <c r="M95" s="9">
        <f>VLOOKUP($B95,'[1]Plant data'!$A$1:$AB$315,6,0)</f>
        <v>7.3</v>
      </c>
      <c r="N95" s="9">
        <f>VLOOKUP($B95,'[1]Plant data'!$A$1:$AB$315,7,0)</f>
        <v>11.3</v>
      </c>
      <c r="O95" s="8">
        <f>VLOOKUP($B95,'[1]Plant data'!$A$1:$AB$315,10,0)</f>
        <v>0.27</v>
      </c>
      <c r="P95" s="8" t="str">
        <f>VLOOKUP($B95,'[1]Plant data'!$A$1:$AB$315,11,0)</f>
        <v>NA</v>
      </c>
      <c r="Q95" s="8" t="str">
        <f>VLOOKUP($B95,'[1]Plant data'!$A$1:$AB$315,12,0)</f>
        <v>NA</v>
      </c>
      <c r="R95" s="8" t="str">
        <f>VLOOKUP($B95,'[1]Plant data'!$A$1:$AB$315,13,0)</f>
        <v>NA</v>
      </c>
      <c r="S95" s="8" t="str">
        <f>VLOOKUP($B95,'[1]Plant data'!$A$1:$AB$315,14,0)</f>
        <v>NA</v>
      </c>
      <c r="T95" s="11">
        <f>VLOOKUP($B95,'[1]Plant data'!$A$1:$AB$315,15,0)</f>
        <v>1.1000000000000001</v>
      </c>
      <c r="U95" s="9">
        <f>VLOOKUP($B95,'[1]Plant data'!$A$1:$AB$315,19,0)</f>
        <v>0.73</v>
      </c>
      <c r="V95" s="8">
        <f>VLOOKUP($B95,'[1]Plant data'!$A$1:$AB$315,20,0)</f>
        <v>0.27</v>
      </c>
      <c r="W95" s="8">
        <f>VLOOKUP($B95,'[1]Plant data'!$A$1:$AB$315,21,0)</f>
        <v>2.1999999999999999E-2</v>
      </c>
      <c r="X95" s="8" t="str">
        <f>VLOOKUP($B95,'[1]Plant data'!$A$1:$AB$315,22,0)</f>
        <v>NA</v>
      </c>
      <c r="Y95" s="8" t="str">
        <f>VLOOKUP($B95,'[1]Plant data'!$A$1:$AB$315,23,0)</f>
        <v>NA</v>
      </c>
      <c r="Z95" s="8" t="str">
        <f>VLOOKUP($B95,'[1]Plant data'!$A$1:$AB$315,24,0)</f>
        <v>NA</v>
      </c>
      <c r="AA95" s="8" t="str">
        <f>VLOOKUP($B95,'[1]Plant data'!$A$1:$AB$315,25,0)</f>
        <v>NA</v>
      </c>
      <c r="AB95" s="8" t="s">
        <v>19</v>
      </c>
    </row>
    <row r="96" spans="1:28">
      <c r="A96" s="5" t="s">
        <v>110</v>
      </c>
      <c r="B96" s="15" t="s">
        <v>116</v>
      </c>
      <c r="C96" s="53">
        <v>1</v>
      </c>
      <c r="D96" s="11" t="s">
        <v>19</v>
      </c>
      <c r="E96" s="8" t="s">
        <v>19</v>
      </c>
      <c r="F96" s="54" t="s">
        <v>19</v>
      </c>
      <c r="G96" s="9" t="s">
        <v>19</v>
      </c>
      <c r="H96" s="23" t="s">
        <v>19</v>
      </c>
      <c r="I96" t="s">
        <v>101</v>
      </c>
      <c r="J96" s="11">
        <v>1250</v>
      </c>
      <c r="K96" s="11">
        <v>19.114999999999998</v>
      </c>
      <c r="L96" t="str">
        <f>VLOOKUP(B96,'[1]Plant data'!$A$1:$AB$315,2,0)</f>
        <v>Quiinaceae</v>
      </c>
      <c r="M96" s="9">
        <f>VLOOKUP($B96,'[1]Plant data'!$A$1:$AB$315,6,0)</f>
        <v>15.955</v>
      </c>
      <c r="N96" s="9">
        <f>VLOOKUP($B96,'[1]Plant data'!$A$1:$AB$315,7,0)</f>
        <v>20.855</v>
      </c>
      <c r="O96" s="8">
        <f>VLOOKUP($B96,'[1]Plant data'!$A$1:$AB$315,10,0)</f>
        <v>3.1950000000000003</v>
      </c>
      <c r="P96" s="8">
        <f>VLOOKUP($B96,'[1]Plant data'!$A$1:$AB$315,11,0)</f>
        <v>1.45</v>
      </c>
      <c r="Q96" s="8">
        <f>VLOOKUP($B96,'[1]Plant data'!$A$1:$AB$315,12,0)</f>
        <v>1.9</v>
      </c>
      <c r="R96" s="8">
        <f>VLOOKUP($B96,'[1]Plant data'!$A$1:$AB$315,13,0)</f>
        <v>0.23</v>
      </c>
      <c r="S96" s="8">
        <f>VLOOKUP($B96,'[1]Plant data'!$A$1:$AB$315,14,0)</f>
        <v>1.53</v>
      </c>
      <c r="T96" s="11">
        <f>VLOOKUP($B96,'[1]Plant data'!$A$1:$AB$315,15,0)</f>
        <v>1.5</v>
      </c>
      <c r="U96" s="9">
        <f>VLOOKUP($B96,'[1]Plant data'!$A$1:$AB$315,19,0)</f>
        <v>0.8569</v>
      </c>
      <c r="V96" s="8">
        <f>VLOOKUP($B96,'[1]Plant data'!$A$1:$AB$315,20,0)</f>
        <v>9.9000000000000005E-2</v>
      </c>
      <c r="W96" s="8">
        <f>VLOOKUP($B96,'[1]Plant data'!$A$1:$AB$315,21,0)</f>
        <v>6.2399999999999997E-2</v>
      </c>
      <c r="X96" s="8">
        <f>VLOOKUP($B96,'[1]Plant data'!$A$1:$AB$315,22,0)</f>
        <v>4.0000000000000002E-4</v>
      </c>
      <c r="Y96" s="8" t="str">
        <f>VLOOKUP($B96,'[1]Plant data'!$A$1:$AB$315,23,0)</f>
        <v>NA</v>
      </c>
      <c r="Z96" s="8" t="str">
        <f>VLOOKUP($B96,'[1]Plant data'!$A$1:$AB$315,24,0)</f>
        <v>NA</v>
      </c>
      <c r="AA96" s="8">
        <f>VLOOKUP($B96,'[1]Plant data'!$A$1:$AB$315,25,0)</f>
        <v>0.69499999999999995</v>
      </c>
      <c r="AB96" s="8">
        <f>SUMIF(X96:Y96,"&gt;0.00001")</f>
        <v>4.0000000000000002E-4</v>
      </c>
    </row>
    <row r="97" spans="1:28">
      <c r="A97" s="5" t="s">
        <v>96</v>
      </c>
      <c r="B97" s="15" t="s">
        <v>116</v>
      </c>
      <c r="C97" s="53">
        <v>1</v>
      </c>
      <c r="D97" s="58" t="s">
        <v>19</v>
      </c>
      <c r="E97" s="8" t="s">
        <v>19</v>
      </c>
      <c r="F97" s="54" t="s">
        <v>19</v>
      </c>
      <c r="G97" s="8" t="s">
        <v>19</v>
      </c>
      <c r="H97" s="23" t="s">
        <v>19</v>
      </c>
      <c r="I97" t="s">
        <v>101</v>
      </c>
      <c r="J97" s="11">
        <v>1770</v>
      </c>
      <c r="K97" s="11">
        <v>22.349</v>
      </c>
      <c r="L97" t="str">
        <f>VLOOKUP(B97,'[1]Plant data'!$A$1:$AB$315,2,0)</f>
        <v>Quiinaceae</v>
      </c>
      <c r="M97" s="9">
        <f>VLOOKUP($B97,'[1]Plant data'!$A$1:$AB$315,6,0)</f>
        <v>15.955</v>
      </c>
      <c r="N97" s="9">
        <f>VLOOKUP($B97,'[1]Plant data'!$A$1:$AB$315,7,0)</f>
        <v>20.855</v>
      </c>
      <c r="O97" s="8">
        <f>VLOOKUP($B97,'[1]Plant data'!$A$1:$AB$315,10,0)</f>
        <v>3.1950000000000003</v>
      </c>
      <c r="P97" s="8">
        <f>VLOOKUP($B97,'[1]Plant data'!$A$1:$AB$315,11,0)</f>
        <v>1.45</v>
      </c>
      <c r="Q97" s="8">
        <f>VLOOKUP($B97,'[1]Plant data'!$A$1:$AB$315,12,0)</f>
        <v>1.9</v>
      </c>
      <c r="R97" s="8">
        <f>VLOOKUP($B97,'[1]Plant data'!$A$1:$AB$315,13,0)</f>
        <v>0.23</v>
      </c>
      <c r="S97" s="8">
        <f>VLOOKUP($B97,'[1]Plant data'!$A$1:$AB$315,14,0)</f>
        <v>1.53</v>
      </c>
      <c r="T97" s="11">
        <f>VLOOKUP($B97,'[1]Plant data'!$A$1:$AB$315,15,0)</f>
        <v>1.5</v>
      </c>
      <c r="U97" s="9">
        <f>VLOOKUP($B97,'[1]Plant data'!$A$1:$AB$315,19,0)</f>
        <v>0.8569</v>
      </c>
      <c r="V97" s="8">
        <f>VLOOKUP($B97,'[1]Plant data'!$A$1:$AB$315,20,0)</f>
        <v>9.9000000000000005E-2</v>
      </c>
      <c r="W97" s="8">
        <f>VLOOKUP($B97,'[1]Plant data'!$A$1:$AB$315,21,0)</f>
        <v>6.2399999999999997E-2</v>
      </c>
      <c r="X97" s="8">
        <f>VLOOKUP($B97,'[1]Plant data'!$A$1:$AB$315,22,0)</f>
        <v>4.0000000000000002E-4</v>
      </c>
      <c r="Y97" s="8" t="str">
        <f>VLOOKUP($B97,'[1]Plant data'!$A$1:$AB$315,23,0)</f>
        <v>NA</v>
      </c>
      <c r="Z97" s="8" t="str">
        <f>VLOOKUP($B97,'[1]Plant data'!$A$1:$AB$315,24,0)</f>
        <v>NA</v>
      </c>
      <c r="AA97" s="8">
        <f>VLOOKUP($B97,'[1]Plant data'!$A$1:$AB$315,25,0)</f>
        <v>0.69499999999999995</v>
      </c>
      <c r="AB97" s="8">
        <f>SUMIF(X97:Y97,"&gt;0.00001")</f>
        <v>4.0000000000000002E-4</v>
      </c>
    </row>
    <row r="98" spans="1:28">
      <c r="A98" s="18" t="s">
        <v>65</v>
      </c>
      <c r="B98" s="6" t="s">
        <v>280</v>
      </c>
      <c r="C98" s="53">
        <v>3</v>
      </c>
      <c r="D98" s="58">
        <v>47</v>
      </c>
      <c r="E98" s="8">
        <f>C98/D98</f>
        <v>6.3829787234042548E-2</v>
      </c>
      <c r="F98" s="54" t="s">
        <v>19</v>
      </c>
      <c r="G98" t="s">
        <v>19</v>
      </c>
      <c r="H98" s="23" t="s">
        <v>19</v>
      </c>
      <c r="I98" t="s">
        <v>23</v>
      </c>
      <c r="J98" s="11">
        <v>11</v>
      </c>
      <c r="K98" s="11">
        <v>6.1466666669999999</v>
      </c>
      <c r="L98" t="str">
        <f>VLOOKUP(B98,'[1]Plant data'!$A$1:$AB$315,2,0)</f>
        <v>Myrtaceae</v>
      </c>
      <c r="M98" s="9">
        <f>VLOOKUP($B98,'[1]Plant data'!$A$1:$AB$315,6,0)</f>
        <v>58.672222222222224</v>
      </c>
      <c r="N98" s="9">
        <f>VLOOKUP($B98,'[1]Plant data'!$A$1:$AB$315,7,0)</f>
        <v>67.12777777777778</v>
      </c>
      <c r="O98" s="8">
        <f>VLOOKUP($B98,'[1]Plant data'!$A$1:$AB$315,10,0)</f>
        <v>60.098416666666672</v>
      </c>
      <c r="P98" s="8" t="str">
        <f>VLOOKUP($B98,'[1]Plant data'!$A$1:$AB$315,11,0)</f>
        <v>NA</v>
      </c>
      <c r="Q98" s="8">
        <f>VLOOKUP($B98,'[1]Plant data'!$A$1:$AB$315,12,0)</f>
        <v>0.20866666666666667</v>
      </c>
      <c r="R98" s="8">
        <f>VLOOKUP($B98,'[1]Plant data'!$A$1:$AB$315,13,0)</f>
        <v>94.884500000000003</v>
      </c>
      <c r="S98" s="8">
        <f>VLOOKUP($B98,'[1]Plant data'!$A$1:$AB$315,14,0)</f>
        <v>31.156166666666667</v>
      </c>
      <c r="T98" s="11">
        <f>VLOOKUP($B98,'[1]Plant data'!$A$1:$AB$315,15,0)</f>
        <v>170.16666666666666</v>
      </c>
      <c r="U98" s="9">
        <f>VLOOKUP($B98,'[1]Plant data'!$A$1:$AB$315,19,0)</f>
        <v>0.84</v>
      </c>
      <c r="V98" s="8">
        <f>VLOOKUP($B98,'[1]Plant data'!$A$1:$AB$315,20,0)</f>
        <v>1.9101368782054286E-2</v>
      </c>
      <c r="W98" s="8">
        <f>VLOOKUP($B98,'[1]Plant data'!$A$1:$AB$315,21,0)</f>
        <v>3.9645666666666669E-2</v>
      </c>
      <c r="X98" s="8">
        <f>VLOOKUP($B98,'[1]Plant data'!$A$1:$AB$315,22,0)</f>
        <v>0.1821710064166274</v>
      </c>
      <c r="Y98" s="8">
        <f>VLOOKUP($B98,'[1]Plant data'!$A$1:$AB$315,23,0)</f>
        <v>0.20872847843683651</v>
      </c>
      <c r="Z98" s="8">
        <f>VLOOKUP($B98,'[1]Plant data'!$A$1:$AB$315,24,0)</f>
        <v>0.622</v>
      </c>
      <c r="AA98" s="8" t="str">
        <f>VLOOKUP($B98,'[1]Plant data'!$A$1:$AB$315,25,0)</f>
        <v>NA</v>
      </c>
      <c r="AB98" s="8">
        <f>SUMIF(X98:Y98,"&gt;0.00001")</f>
        <v>0.39089948485346393</v>
      </c>
    </row>
    <row r="99" spans="1:28">
      <c r="A99" s="5" t="s">
        <v>41</v>
      </c>
      <c r="B99" s="14" t="s">
        <v>280</v>
      </c>
      <c r="C99" s="53">
        <v>3</v>
      </c>
      <c r="D99" s="11">
        <v>47</v>
      </c>
      <c r="E99" s="8">
        <f>C99/D99</f>
        <v>6.3829787234042548E-2</v>
      </c>
      <c r="F99" s="54" t="s">
        <v>19</v>
      </c>
      <c r="G99" t="s">
        <v>19</v>
      </c>
      <c r="H99" s="23" t="s">
        <v>19</v>
      </c>
      <c r="I99" t="s">
        <v>30</v>
      </c>
      <c r="J99" s="11">
        <v>39</v>
      </c>
      <c r="K99" s="11">
        <v>8.2839869279999991</v>
      </c>
      <c r="L99" t="str">
        <f>VLOOKUP(B99,'[1]Plant data'!$A$1:$AB$315,2,0)</f>
        <v>Myrtaceae</v>
      </c>
      <c r="M99" s="9">
        <f>VLOOKUP($B99,'[1]Plant data'!$A$1:$AB$315,6,0)</f>
        <v>58.672222222222224</v>
      </c>
      <c r="N99" s="9">
        <f>VLOOKUP($B99,'[1]Plant data'!$A$1:$AB$315,7,0)</f>
        <v>67.12777777777778</v>
      </c>
      <c r="O99" s="8">
        <f>VLOOKUP($B99,'[1]Plant data'!$A$1:$AB$315,10,0)</f>
        <v>60.098416666666672</v>
      </c>
      <c r="P99" s="8" t="str">
        <f>VLOOKUP($B99,'[1]Plant data'!$A$1:$AB$315,11,0)</f>
        <v>NA</v>
      </c>
      <c r="Q99" s="8">
        <f>VLOOKUP($B99,'[1]Plant data'!$A$1:$AB$315,12,0)</f>
        <v>0.20866666666666667</v>
      </c>
      <c r="R99" s="8">
        <f>VLOOKUP($B99,'[1]Plant data'!$A$1:$AB$315,13,0)</f>
        <v>94.884500000000003</v>
      </c>
      <c r="S99" s="8">
        <f>VLOOKUP($B99,'[1]Plant data'!$A$1:$AB$315,14,0)</f>
        <v>31.156166666666667</v>
      </c>
      <c r="T99" s="11">
        <f>VLOOKUP($B99,'[1]Plant data'!$A$1:$AB$315,15,0)</f>
        <v>170.16666666666666</v>
      </c>
      <c r="U99" s="9">
        <f>VLOOKUP($B99,'[1]Plant data'!$A$1:$AB$315,19,0)</f>
        <v>0.84</v>
      </c>
      <c r="V99" s="8">
        <f>VLOOKUP($B99,'[1]Plant data'!$A$1:$AB$315,20,0)</f>
        <v>1.9101368782054286E-2</v>
      </c>
      <c r="W99" s="8">
        <f>VLOOKUP($B99,'[1]Plant data'!$A$1:$AB$315,21,0)</f>
        <v>3.9645666666666669E-2</v>
      </c>
      <c r="X99" s="8">
        <f>VLOOKUP($B99,'[1]Plant data'!$A$1:$AB$315,22,0)</f>
        <v>0.1821710064166274</v>
      </c>
      <c r="Y99" s="8">
        <f>VLOOKUP($B99,'[1]Plant data'!$A$1:$AB$315,23,0)</f>
        <v>0.20872847843683651</v>
      </c>
      <c r="Z99" s="8">
        <f>VLOOKUP($B99,'[1]Plant data'!$A$1:$AB$315,24,0)</f>
        <v>0.622</v>
      </c>
      <c r="AA99" s="8" t="str">
        <f>VLOOKUP($B99,'[1]Plant data'!$A$1:$AB$315,25,0)</f>
        <v>NA</v>
      </c>
      <c r="AB99" s="8">
        <f>SUMIF(X99:Y99,"&gt;0.00001")</f>
        <v>0.39089948485346393</v>
      </c>
    </row>
    <row r="100" spans="1:28">
      <c r="A100" s="5" t="s">
        <v>43</v>
      </c>
      <c r="B100" s="14" t="s">
        <v>280</v>
      </c>
      <c r="C100" s="53">
        <v>35</v>
      </c>
      <c r="D100" s="11">
        <v>47</v>
      </c>
      <c r="E100" s="8">
        <f>C100/D100</f>
        <v>0.74468085106382975</v>
      </c>
      <c r="F100" s="54" t="s">
        <v>19</v>
      </c>
      <c r="G100" t="s">
        <v>19</v>
      </c>
      <c r="H100" s="23" t="s">
        <v>19</v>
      </c>
      <c r="I100" t="s">
        <v>30</v>
      </c>
      <c r="J100" s="11">
        <v>32.5</v>
      </c>
      <c r="K100" s="11">
        <v>8.9205555560000001</v>
      </c>
      <c r="L100" t="str">
        <f>VLOOKUP(B100,'[1]Plant data'!$A$1:$AB$315,2,0)</f>
        <v>Myrtaceae</v>
      </c>
      <c r="M100" s="9">
        <f>VLOOKUP($B100,'[1]Plant data'!$A$1:$AB$315,6,0)</f>
        <v>58.672222222222224</v>
      </c>
      <c r="N100" s="9">
        <f>VLOOKUP($B100,'[1]Plant data'!$A$1:$AB$315,7,0)</f>
        <v>67.12777777777778</v>
      </c>
      <c r="O100" s="8">
        <f>VLOOKUP($B100,'[1]Plant data'!$A$1:$AB$315,10,0)</f>
        <v>60.098416666666672</v>
      </c>
      <c r="P100" s="8" t="str">
        <f>VLOOKUP($B100,'[1]Plant data'!$A$1:$AB$315,11,0)</f>
        <v>NA</v>
      </c>
      <c r="Q100" s="8">
        <f>VLOOKUP($B100,'[1]Plant data'!$A$1:$AB$315,12,0)</f>
        <v>0.20866666666666667</v>
      </c>
      <c r="R100" s="8">
        <f>VLOOKUP($B100,'[1]Plant data'!$A$1:$AB$315,13,0)</f>
        <v>94.884500000000003</v>
      </c>
      <c r="S100" s="8">
        <f>VLOOKUP($B100,'[1]Plant data'!$A$1:$AB$315,14,0)</f>
        <v>31.156166666666667</v>
      </c>
      <c r="T100" s="11">
        <f>VLOOKUP($B100,'[1]Plant data'!$A$1:$AB$315,15,0)</f>
        <v>170.16666666666666</v>
      </c>
      <c r="U100" s="9">
        <f>VLOOKUP($B100,'[1]Plant data'!$A$1:$AB$315,19,0)</f>
        <v>0.84</v>
      </c>
      <c r="V100" s="8">
        <f>VLOOKUP($B100,'[1]Plant data'!$A$1:$AB$315,20,0)</f>
        <v>1.9101368782054286E-2</v>
      </c>
      <c r="W100" s="8">
        <f>VLOOKUP($B100,'[1]Plant data'!$A$1:$AB$315,21,0)</f>
        <v>3.9645666666666669E-2</v>
      </c>
      <c r="X100" s="8">
        <f>VLOOKUP($B100,'[1]Plant data'!$A$1:$AB$315,22,0)</f>
        <v>0.1821710064166274</v>
      </c>
      <c r="Y100" s="8">
        <f>VLOOKUP($B100,'[1]Plant data'!$A$1:$AB$315,23,0)</f>
        <v>0.20872847843683651</v>
      </c>
      <c r="Z100" s="8">
        <f>VLOOKUP($B100,'[1]Plant data'!$A$1:$AB$315,24,0)</f>
        <v>0.622</v>
      </c>
      <c r="AA100" s="8" t="str">
        <f>VLOOKUP($B100,'[1]Plant data'!$A$1:$AB$315,25,0)</f>
        <v>NA</v>
      </c>
      <c r="AB100" s="8">
        <f>SUMIF(X100:Y100,"&gt;0.00001")</f>
        <v>0.39089948485346393</v>
      </c>
    </row>
    <row r="101" spans="1:28">
      <c r="A101" s="5" t="s">
        <v>50</v>
      </c>
      <c r="B101" s="14" t="s">
        <v>196</v>
      </c>
      <c r="C101" s="53">
        <v>14</v>
      </c>
      <c r="D101" s="11">
        <v>2</v>
      </c>
      <c r="E101" s="8">
        <f>C101/2</f>
        <v>7</v>
      </c>
      <c r="F101" s="54" t="s">
        <v>19</v>
      </c>
      <c r="G101" s="19">
        <f>(2+10)/2</f>
        <v>6</v>
      </c>
      <c r="H101" s="23">
        <f>E101*G101</f>
        <v>42</v>
      </c>
      <c r="I101" t="s">
        <v>47</v>
      </c>
      <c r="J101" s="11">
        <v>69.5</v>
      </c>
      <c r="K101" s="11">
        <v>13.253214290000001</v>
      </c>
      <c r="L101" t="str">
        <f>VLOOKUP(B101,'[1]Plant data'!$A$1:$AB$315,2,0)</f>
        <v>Rosaceae</v>
      </c>
      <c r="M101" s="9" t="str">
        <f>VLOOKUP($B101,'[1]Plant data'!$A$1:$AB$315,6,0)</f>
        <v>NA</v>
      </c>
      <c r="N101" s="9" t="str">
        <f>VLOOKUP($B101,'[1]Plant data'!$A$1:$AB$315,7,0)</f>
        <v>NA</v>
      </c>
      <c r="O101" s="8" t="str">
        <f>VLOOKUP($B101,'[1]Plant data'!$A$1:$AB$315,10,0)</f>
        <v>NA</v>
      </c>
      <c r="P101" s="8" t="str">
        <f>VLOOKUP($B101,'[1]Plant data'!$A$1:$AB$315,11,0)</f>
        <v>NA</v>
      </c>
      <c r="Q101" s="8" t="str">
        <f>VLOOKUP($B101,'[1]Plant data'!$A$1:$AB$315,12,0)</f>
        <v>NA</v>
      </c>
      <c r="R101" s="8" t="str">
        <f>VLOOKUP($B101,'[1]Plant data'!$A$1:$AB$315,13,0)</f>
        <v>NA</v>
      </c>
      <c r="S101" s="8" t="str">
        <f>VLOOKUP($B101,'[1]Plant data'!$A$1:$AB$315,14,0)</f>
        <v>NA</v>
      </c>
      <c r="T101" s="11" t="str">
        <f>VLOOKUP($B101,'[1]Plant data'!$A$1:$AB$315,15,0)</f>
        <v>NA</v>
      </c>
      <c r="U101" s="9" t="str">
        <f>VLOOKUP($B101,'[1]Plant data'!$A$1:$AB$315,19,0)</f>
        <v>NA</v>
      </c>
      <c r="V101" s="8" t="str">
        <f>VLOOKUP($B101,'[1]Plant data'!$A$1:$AB$315,20,0)</f>
        <v>NA</v>
      </c>
      <c r="W101" s="8" t="str">
        <f>VLOOKUP($B101,'[1]Plant data'!$A$1:$AB$315,21,0)</f>
        <v>NA</v>
      </c>
      <c r="X101" s="8" t="str">
        <f>VLOOKUP($B101,'[1]Plant data'!$A$1:$AB$315,22,0)</f>
        <v>NA</v>
      </c>
      <c r="Y101" s="8" t="str">
        <f>VLOOKUP($B101,'[1]Plant data'!$A$1:$AB$315,23,0)</f>
        <v>NA</v>
      </c>
      <c r="Z101" s="8" t="str">
        <f>VLOOKUP($B101,'[1]Plant data'!$A$1:$AB$315,24,0)</f>
        <v>NA</v>
      </c>
      <c r="AA101" s="8" t="str">
        <f>VLOOKUP($B101,'[1]Plant data'!$A$1:$AB$315,25,0)</f>
        <v>NA</v>
      </c>
      <c r="AB101" s="8" t="s">
        <v>19</v>
      </c>
    </row>
    <row r="102" spans="1:28">
      <c r="A102" s="21" t="s">
        <v>65</v>
      </c>
      <c r="B102" s="22" t="s">
        <v>69</v>
      </c>
      <c r="C102" s="16">
        <v>38</v>
      </c>
      <c r="D102" s="16">
        <v>32</v>
      </c>
      <c r="E102" s="23">
        <f>C102/32</f>
        <v>1.1875</v>
      </c>
      <c r="F102" s="16">
        <v>70</v>
      </c>
      <c r="G102" s="19">
        <v>2.5</v>
      </c>
      <c r="H102" s="8">
        <f>E102*G102</f>
        <v>2.96875</v>
      </c>
      <c r="I102" t="s">
        <v>23</v>
      </c>
      <c r="J102" s="11">
        <v>11</v>
      </c>
      <c r="K102" s="11">
        <v>6.1466666669999999</v>
      </c>
      <c r="L102" t="str">
        <f>VLOOKUP(B102,'[1]Plant data'!$A$1:$AB$315,2,0)</f>
        <v>Burseraceae</v>
      </c>
      <c r="M102" s="9">
        <f>VLOOKUP($B102,'[1]Plant data'!$A$1:$AB$315,6,0)</f>
        <v>12.697500000000002</v>
      </c>
      <c r="N102" s="9">
        <f>VLOOKUP($B102,'[1]Plant data'!$A$1:$AB$315,7,0)</f>
        <v>20.348000000000003</v>
      </c>
      <c r="O102" s="8">
        <f>VLOOKUP($B102,'[1]Plant data'!$A$1:$AB$315,10,0)</f>
        <v>1.9566000000000001</v>
      </c>
      <c r="P102" s="8">
        <f>VLOOKUP($B102,'[1]Plant data'!$A$1:$AB$315,11,0)</f>
        <v>2.74</v>
      </c>
      <c r="Q102" s="8">
        <f>VLOOKUP($B102,'[1]Plant data'!$A$1:$AB$315,12,0)</f>
        <v>0.26463333333333333</v>
      </c>
      <c r="R102" s="8">
        <f>VLOOKUP($B102,'[1]Plant data'!$A$1:$AB$315,13,0)</f>
        <v>0.91759999999999997</v>
      </c>
      <c r="S102" s="8">
        <f>VLOOKUP($B102,'[1]Plant data'!$A$1:$AB$315,14,0)</f>
        <v>0.31730000000000003</v>
      </c>
      <c r="T102" s="11">
        <f>VLOOKUP($B102,'[1]Plant data'!$A$1:$AB$315,15,0)</f>
        <v>1.1324999999999998</v>
      </c>
      <c r="U102" s="9">
        <f>VLOOKUP($B102,'[1]Plant data'!$A$1:$AB$315,19,0)</f>
        <v>0.80159999999999998</v>
      </c>
      <c r="V102" s="8">
        <f>VLOOKUP($B102,'[1]Plant data'!$A$1:$AB$315,20,0)</f>
        <v>9.849999999999999E-2</v>
      </c>
      <c r="W102" s="8">
        <f>VLOOKUP($B102,'[1]Plant data'!$A$1:$AB$315,21,0)</f>
        <v>6.3503000000000004E-2</v>
      </c>
      <c r="X102" s="8">
        <f>VLOOKUP($B102,'[1]Plant data'!$A$1:$AB$315,22,0)</f>
        <v>1.41E-2</v>
      </c>
      <c r="Y102" s="8" t="str">
        <f>VLOOKUP($B102,'[1]Plant data'!$A$1:$AB$315,23,0)</f>
        <v>NA</v>
      </c>
      <c r="Z102" s="8" t="str">
        <f>VLOOKUP($B102,'[1]Plant data'!$A$1:$AB$315,24,0)</f>
        <v>NA</v>
      </c>
      <c r="AA102" s="8" t="str">
        <f>VLOOKUP($B102,'[1]Plant data'!$A$1:$AB$315,25,0)</f>
        <v>NA</v>
      </c>
      <c r="AB102" s="8">
        <f t="shared" ref="AB102:AB114" si="9">SUMIF(X102:Y102,"&gt;0.00001")</f>
        <v>1.41E-2</v>
      </c>
    </row>
    <row r="103" spans="1:28">
      <c r="A103" s="5" t="s">
        <v>65</v>
      </c>
      <c r="B103" s="14" t="s">
        <v>69</v>
      </c>
      <c r="C103" s="53">
        <v>2</v>
      </c>
      <c r="D103" s="11">
        <v>19.899999999999999</v>
      </c>
      <c r="E103" s="8">
        <f>C103/D103</f>
        <v>0.10050251256281408</v>
      </c>
      <c r="F103" s="54" t="s">
        <v>19</v>
      </c>
      <c r="G103" s="41">
        <v>2.5</v>
      </c>
      <c r="H103" s="23">
        <f>E103*G103</f>
        <v>0.25125628140703521</v>
      </c>
      <c r="I103" t="s">
        <v>23</v>
      </c>
      <c r="J103" s="11">
        <v>11</v>
      </c>
      <c r="K103" s="11">
        <v>6.1466666669999999</v>
      </c>
      <c r="L103" t="str">
        <f>VLOOKUP(B103,'[1]Plant data'!$A$1:$AB$315,2,0)</f>
        <v>Burseraceae</v>
      </c>
      <c r="M103" s="9">
        <f>VLOOKUP($B103,'[1]Plant data'!$A$1:$AB$315,6,0)</f>
        <v>12.697500000000002</v>
      </c>
      <c r="N103" s="9">
        <f>VLOOKUP($B103,'[1]Plant data'!$A$1:$AB$315,7,0)</f>
        <v>20.348000000000003</v>
      </c>
      <c r="O103" s="8">
        <f>VLOOKUP($B103,'[1]Plant data'!$A$1:$AB$315,10,0)</f>
        <v>1.9566000000000001</v>
      </c>
      <c r="P103" s="8">
        <f>VLOOKUP($B103,'[1]Plant data'!$A$1:$AB$315,11,0)</f>
        <v>2.74</v>
      </c>
      <c r="Q103" s="8">
        <f>VLOOKUP($B103,'[1]Plant data'!$A$1:$AB$315,12,0)</f>
        <v>0.26463333333333333</v>
      </c>
      <c r="R103" s="8">
        <f>VLOOKUP($B103,'[1]Plant data'!$A$1:$AB$315,13,0)</f>
        <v>0.91759999999999997</v>
      </c>
      <c r="S103" s="8">
        <f>VLOOKUP($B103,'[1]Plant data'!$A$1:$AB$315,14,0)</f>
        <v>0.31730000000000003</v>
      </c>
      <c r="T103" s="11">
        <f>VLOOKUP($B103,'[1]Plant data'!$A$1:$AB$315,15,0)</f>
        <v>1.1324999999999998</v>
      </c>
      <c r="U103" s="9">
        <f>VLOOKUP($B103,'[1]Plant data'!$A$1:$AB$315,19,0)</f>
        <v>0.80159999999999998</v>
      </c>
      <c r="V103" s="8">
        <f>VLOOKUP($B103,'[1]Plant data'!$A$1:$AB$315,20,0)</f>
        <v>9.849999999999999E-2</v>
      </c>
      <c r="W103" s="8">
        <f>VLOOKUP($B103,'[1]Plant data'!$A$1:$AB$315,21,0)</f>
        <v>6.3503000000000004E-2</v>
      </c>
      <c r="X103" s="8">
        <f>VLOOKUP($B103,'[1]Plant data'!$A$1:$AB$315,22,0)</f>
        <v>1.41E-2</v>
      </c>
      <c r="Y103" s="8" t="str">
        <f>VLOOKUP($B103,'[1]Plant data'!$A$1:$AB$315,23,0)</f>
        <v>NA</v>
      </c>
      <c r="Z103" s="8" t="str">
        <f>VLOOKUP($B103,'[1]Plant data'!$A$1:$AB$315,24,0)</f>
        <v>NA</v>
      </c>
      <c r="AA103" s="8" t="str">
        <f>VLOOKUP($B103,'[1]Plant data'!$A$1:$AB$315,25,0)</f>
        <v>NA</v>
      </c>
      <c r="AB103" s="8">
        <f t="shared" si="9"/>
        <v>1.41E-2</v>
      </c>
    </row>
    <row r="104" spans="1:28">
      <c r="A104" s="5" t="s">
        <v>70</v>
      </c>
      <c r="B104" s="6" t="s">
        <v>69</v>
      </c>
      <c r="C104" s="53">
        <v>33</v>
      </c>
      <c r="D104" s="58">
        <v>19.899999999999999</v>
      </c>
      <c r="E104" s="8">
        <f>(C104/19.9)/2</f>
        <v>0.82914572864321612</v>
      </c>
      <c r="F104" s="54" t="s">
        <v>19</v>
      </c>
      <c r="G104" s="41">
        <v>2.5</v>
      </c>
      <c r="H104" s="23">
        <f>E104*G104</f>
        <v>2.0728643216080402</v>
      </c>
      <c r="I104" t="s">
        <v>23</v>
      </c>
      <c r="J104" s="11">
        <v>15</v>
      </c>
      <c r="K104" s="11">
        <v>6.9235714289999999</v>
      </c>
      <c r="L104" t="str">
        <f>VLOOKUP(B104,'[1]Plant data'!$A$1:$AB$315,2,0)</f>
        <v>Burseraceae</v>
      </c>
      <c r="M104" s="9">
        <f>VLOOKUP($B104,'[1]Plant data'!$A$1:$AB$315,6,0)</f>
        <v>12.697500000000002</v>
      </c>
      <c r="N104" s="9">
        <f>VLOOKUP($B104,'[1]Plant data'!$A$1:$AB$315,7,0)</f>
        <v>20.348000000000003</v>
      </c>
      <c r="O104" s="8">
        <f>VLOOKUP($B104,'[1]Plant data'!$A$1:$AB$315,10,0)</f>
        <v>1.9566000000000001</v>
      </c>
      <c r="P104" s="8">
        <f>VLOOKUP($B104,'[1]Plant data'!$A$1:$AB$315,11,0)</f>
        <v>2.74</v>
      </c>
      <c r="Q104" s="8">
        <f>VLOOKUP($B104,'[1]Plant data'!$A$1:$AB$315,12,0)</f>
        <v>0.26463333333333333</v>
      </c>
      <c r="R104" s="8">
        <f>VLOOKUP($B104,'[1]Plant data'!$A$1:$AB$315,13,0)</f>
        <v>0.91759999999999997</v>
      </c>
      <c r="S104" s="8">
        <f>VLOOKUP($B104,'[1]Plant data'!$A$1:$AB$315,14,0)</f>
        <v>0.31730000000000003</v>
      </c>
      <c r="T104" s="11">
        <f>VLOOKUP($B104,'[1]Plant data'!$A$1:$AB$315,15,0)</f>
        <v>1.1324999999999998</v>
      </c>
      <c r="U104" s="9">
        <f>VLOOKUP($B104,'[1]Plant data'!$A$1:$AB$315,19,0)</f>
        <v>0.80159999999999998</v>
      </c>
      <c r="V104" s="8">
        <f>VLOOKUP($B104,'[1]Plant data'!$A$1:$AB$315,20,0)</f>
        <v>9.849999999999999E-2</v>
      </c>
      <c r="W104" s="8">
        <f>VLOOKUP($B104,'[1]Plant data'!$A$1:$AB$315,21,0)</f>
        <v>6.3503000000000004E-2</v>
      </c>
      <c r="X104" s="8">
        <f>VLOOKUP($B104,'[1]Plant data'!$A$1:$AB$315,22,0)</f>
        <v>1.41E-2</v>
      </c>
      <c r="Y104" s="8" t="str">
        <f>VLOOKUP($B104,'[1]Plant data'!$A$1:$AB$315,23,0)</f>
        <v>NA</v>
      </c>
      <c r="Z104" s="8" t="str">
        <f>VLOOKUP($B104,'[1]Plant data'!$A$1:$AB$315,24,0)</f>
        <v>NA</v>
      </c>
      <c r="AA104" s="8" t="str">
        <f>VLOOKUP($B104,'[1]Plant data'!$A$1:$AB$315,25,0)</f>
        <v>NA</v>
      </c>
      <c r="AB104" s="8">
        <f t="shared" si="9"/>
        <v>1.41E-2</v>
      </c>
    </row>
    <row r="105" spans="1:28">
      <c r="A105" s="21" t="s">
        <v>70</v>
      </c>
      <c r="B105" s="22" t="s">
        <v>69</v>
      </c>
      <c r="C105" s="55">
        <v>8</v>
      </c>
      <c r="D105" s="17">
        <v>32</v>
      </c>
      <c r="E105" s="23">
        <f>C105/32</f>
        <v>0.25</v>
      </c>
      <c r="F105" s="55">
        <v>15</v>
      </c>
      <c r="G105" s="19">
        <v>2.5</v>
      </c>
      <c r="H105" s="23">
        <f>E105*G105</f>
        <v>0.625</v>
      </c>
      <c r="I105" s="16" t="s">
        <v>23</v>
      </c>
      <c r="J105" s="17">
        <v>15</v>
      </c>
      <c r="K105" s="17">
        <v>6.9235714289999999</v>
      </c>
      <c r="L105" t="str">
        <f>VLOOKUP(B105,'[1]Plant data'!$A$1:$AB$315,2,0)</f>
        <v>Burseraceae</v>
      </c>
      <c r="M105" s="9">
        <f>VLOOKUP($B105,'[1]Plant data'!$A$1:$AB$315,6,0)</f>
        <v>12.697500000000002</v>
      </c>
      <c r="N105" s="9">
        <f>VLOOKUP($B105,'[1]Plant data'!$A$1:$AB$315,7,0)</f>
        <v>20.348000000000003</v>
      </c>
      <c r="O105" s="8">
        <f>VLOOKUP($B105,'[1]Plant data'!$A$1:$AB$315,10,0)</f>
        <v>1.9566000000000001</v>
      </c>
      <c r="P105" s="8">
        <f>VLOOKUP($B105,'[1]Plant data'!$A$1:$AB$315,11,0)</f>
        <v>2.74</v>
      </c>
      <c r="Q105" s="8">
        <f>VLOOKUP($B105,'[1]Plant data'!$A$1:$AB$315,12,0)</f>
        <v>0.26463333333333333</v>
      </c>
      <c r="R105" s="8">
        <f>VLOOKUP($B105,'[1]Plant data'!$A$1:$AB$315,13,0)</f>
        <v>0.91759999999999997</v>
      </c>
      <c r="S105" s="8">
        <f>VLOOKUP($B105,'[1]Plant data'!$A$1:$AB$315,14,0)</f>
        <v>0.31730000000000003</v>
      </c>
      <c r="T105" s="11">
        <f>VLOOKUP($B105,'[1]Plant data'!$A$1:$AB$315,15,0)</f>
        <v>1.1324999999999998</v>
      </c>
      <c r="U105" s="9">
        <f>VLOOKUP($B105,'[1]Plant data'!$A$1:$AB$315,19,0)</f>
        <v>0.80159999999999998</v>
      </c>
      <c r="V105" s="8">
        <f>VLOOKUP($B105,'[1]Plant data'!$A$1:$AB$315,20,0)</f>
        <v>9.849999999999999E-2</v>
      </c>
      <c r="W105" s="8">
        <f>VLOOKUP($B105,'[1]Plant data'!$A$1:$AB$315,21,0)</f>
        <v>6.3503000000000004E-2</v>
      </c>
      <c r="X105" s="8">
        <f>VLOOKUP($B105,'[1]Plant data'!$A$1:$AB$315,22,0)</f>
        <v>1.41E-2</v>
      </c>
      <c r="Y105" s="8" t="str">
        <f>VLOOKUP($B105,'[1]Plant data'!$A$1:$AB$315,23,0)</f>
        <v>NA</v>
      </c>
      <c r="Z105" s="8" t="str">
        <f>VLOOKUP($B105,'[1]Plant data'!$A$1:$AB$315,24,0)</f>
        <v>NA</v>
      </c>
      <c r="AA105" s="8" t="str">
        <f>VLOOKUP($B105,'[1]Plant data'!$A$1:$AB$315,25,0)</f>
        <v>NA</v>
      </c>
      <c r="AB105" s="8">
        <f t="shared" si="9"/>
        <v>1.41E-2</v>
      </c>
    </row>
    <row r="106" spans="1:28">
      <c r="A106" s="5" t="s">
        <v>74</v>
      </c>
      <c r="B106" s="14" t="s">
        <v>69</v>
      </c>
      <c r="C106" s="53">
        <v>17</v>
      </c>
      <c r="D106" s="11">
        <v>19.899999999999999</v>
      </c>
      <c r="E106" s="8">
        <f>(C106/19.9)/2</f>
        <v>0.42713567839195982</v>
      </c>
      <c r="F106" s="54" t="s">
        <v>19</v>
      </c>
      <c r="G106" s="9" t="s">
        <v>19</v>
      </c>
      <c r="H106" s="23" t="s">
        <v>19</v>
      </c>
      <c r="I106" t="s">
        <v>75</v>
      </c>
      <c r="J106" s="11">
        <v>200</v>
      </c>
      <c r="K106" s="11">
        <v>23.614285710000001</v>
      </c>
      <c r="L106" t="str">
        <f>VLOOKUP(B106,'[1]Plant data'!$A$1:$AB$315,2,0)</f>
        <v>Burseraceae</v>
      </c>
      <c r="M106" s="9">
        <f>VLOOKUP($B106,'[1]Plant data'!$A$1:$AB$315,6,0)</f>
        <v>12.697500000000002</v>
      </c>
      <c r="N106" s="9">
        <f>VLOOKUP($B106,'[1]Plant data'!$A$1:$AB$315,7,0)</f>
        <v>20.348000000000003</v>
      </c>
      <c r="O106" s="8">
        <f>VLOOKUP($B106,'[1]Plant data'!$A$1:$AB$315,10,0)</f>
        <v>1.9566000000000001</v>
      </c>
      <c r="P106" s="8">
        <f>VLOOKUP($B106,'[1]Plant data'!$A$1:$AB$315,11,0)</f>
        <v>2.74</v>
      </c>
      <c r="Q106" s="8">
        <f>VLOOKUP($B106,'[1]Plant data'!$A$1:$AB$315,12,0)</f>
        <v>0.26463333333333333</v>
      </c>
      <c r="R106" s="8">
        <f>VLOOKUP($B106,'[1]Plant data'!$A$1:$AB$315,13,0)</f>
        <v>0.91759999999999997</v>
      </c>
      <c r="S106" s="8">
        <f>VLOOKUP($B106,'[1]Plant data'!$A$1:$AB$315,14,0)</f>
        <v>0.31730000000000003</v>
      </c>
      <c r="T106" s="11">
        <f>VLOOKUP($B106,'[1]Plant data'!$A$1:$AB$315,15,0)</f>
        <v>1.1324999999999998</v>
      </c>
      <c r="U106" s="9">
        <f>VLOOKUP($B106,'[1]Plant data'!$A$1:$AB$315,19,0)</f>
        <v>0.80159999999999998</v>
      </c>
      <c r="V106" s="8">
        <f>VLOOKUP($B106,'[1]Plant data'!$A$1:$AB$315,20,0)</f>
        <v>9.849999999999999E-2</v>
      </c>
      <c r="W106" s="8">
        <f>VLOOKUP($B106,'[1]Plant data'!$A$1:$AB$315,21,0)</f>
        <v>6.3503000000000004E-2</v>
      </c>
      <c r="X106" s="8">
        <f>VLOOKUP($B106,'[1]Plant data'!$A$1:$AB$315,22,0)</f>
        <v>1.41E-2</v>
      </c>
      <c r="Y106" s="8" t="str">
        <f>VLOOKUP($B106,'[1]Plant data'!$A$1:$AB$315,23,0)</f>
        <v>NA</v>
      </c>
      <c r="Z106" s="8" t="str">
        <f>VLOOKUP($B106,'[1]Plant data'!$A$1:$AB$315,24,0)</f>
        <v>NA</v>
      </c>
      <c r="AA106" s="8" t="str">
        <f>VLOOKUP($B106,'[1]Plant data'!$A$1:$AB$315,25,0)</f>
        <v>NA</v>
      </c>
      <c r="AB106" s="8">
        <f t="shared" si="9"/>
        <v>1.41E-2</v>
      </c>
    </row>
    <row r="107" spans="1:28">
      <c r="A107" s="21" t="s">
        <v>104</v>
      </c>
      <c r="B107" s="22" t="s">
        <v>69</v>
      </c>
      <c r="C107" s="55">
        <v>1</v>
      </c>
      <c r="D107" s="17">
        <v>32</v>
      </c>
      <c r="E107" s="23">
        <f>C107/32</f>
        <v>3.125E-2</v>
      </c>
      <c r="F107" s="55">
        <v>5</v>
      </c>
      <c r="G107" s="19">
        <v>5</v>
      </c>
      <c r="H107" s="23">
        <f t="shared" ref="H107:H119" si="10">E107*G107</f>
        <v>0.15625</v>
      </c>
      <c r="I107" s="16" t="s">
        <v>94</v>
      </c>
      <c r="J107" s="17">
        <v>343.5</v>
      </c>
      <c r="K107" s="17">
        <v>30.107272729999998</v>
      </c>
      <c r="L107" t="str">
        <f>VLOOKUP(B107,'[1]Plant data'!$A$1:$AB$315,2,0)</f>
        <v>Burseraceae</v>
      </c>
      <c r="M107" s="9">
        <f>VLOOKUP($B107,'[1]Plant data'!$A$1:$AB$315,6,0)</f>
        <v>12.697500000000002</v>
      </c>
      <c r="N107" s="9">
        <f>VLOOKUP($B107,'[1]Plant data'!$A$1:$AB$315,7,0)</f>
        <v>20.348000000000003</v>
      </c>
      <c r="O107" s="8">
        <f>VLOOKUP($B107,'[1]Plant data'!$A$1:$AB$315,10,0)</f>
        <v>1.9566000000000001</v>
      </c>
      <c r="P107" s="8">
        <f>VLOOKUP($B107,'[1]Plant data'!$A$1:$AB$315,11,0)</f>
        <v>2.74</v>
      </c>
      <c r="Q107" s="8">
        <f>VLOOKUP($B107,'[1]Plant data'!$A$1:$AB$315,12,0)</f>
        <v>0.26463333333333333</v>
      </c>
      <c r="R107" s="8">
        <f>VLOOKUP($B107,'[1]Plant data'!$A$1:$AB$315,13,0)</f>
        <v>0.91759999999999997</v>
      </c>
      <c r="S107" s="8">
        <f>VLOOKUP($B107,'[1]Plant data'!$A$1:$AB$315,14,0)</f>
        <v>0.31730000000000003</v>
      </c>
      <c r="T107" s="11">
        <f>VLOOKUP($B107,'[1]Plant data'!$A$1:$AB$315,15,0)</f>
        <v>1.1324999999999998</v>
      </c>
      <c r="U107" s="9">
        <f>VLOOKUP($B107,'[1]Plant data'!$A$1:$AB$315,19,0)</f>
        <v>0.80159999999999998</v>
      </c>
      <c r="V107" s="8">
        <f>VLOOKUP($B107,'[1]Plant data'!$A$1:$AB$315,20,0)</f>
        <v>9.849999999999999E-2</v>
      </c>
      <c r="W107" s="8">
        <f>VLOOKUP($B107,'[1]Plant data'!$A$1:$AB$315,21,0)</f>
        <v>6.3503000000000004E-2</v>
      </c>
      <c r="X107" s="8">
        <f>VLOOKUP($B107,'[1]Plant data'!$A$1:$AB$315,22,0)</f>
        <v>1.41E-2</v>
      </c>
      <c r="Y107" s="8" t="str">
        <f>VLOOKUP($B107,'[1]Plant data'!$A$1:$AB$315,23,0)</f>
        <v>NA</v>
      </c>
      <c r="Z107" s="8" t="str">
        <f>VLOOKUP($B107,'[1]Plant data'!$A$1:$AB$315,24,0)</f>
        <v>NA</v>
      </c>
      <c r="AA107" s="8" t="str">
        <f>VLOOKUP($B107,'[1]Plant data'!$A$1:$AB$315,25,0)</f>
        <v>NA</v>
      </c>
      <c r="AB107" s="8">
        <f t="shared" si="9"/>
        <v>1.41E-2</v>
      </c>
    </row>
    <row r="108" spans="1:28">
      <c r="A108" s="18" t="s">
        <v>28</v>
      </c>
      <c r="B108" s="14" t="s">
        <v>69</v>
      </c>
      <c r="C108" s="53">
        <v>1</v>
      </c>
      <c r="D108" s="11">
        <v>19.899999999999999</v>
      </c>
      <c r="E108" s="8">
        <f>C108/D108</f>
        <v>5.0251256281407038E-2</v>
      </c>
      <c r="F108" s="54" t="s">
        <v>19</v>
      </c>
      <c r="G108" s="41">
        <v>3.35</v>
      </c>
      <c r="H108" s="23">
        <f t="shared" si="10"/>
        <v>0.16834170854271358</v>
      </c>
      <c r="I108" t="s">
        <v>30</v>
      </c>
      <c r="J108" s="11">
        <v>18</v>
      </c>
      <c r="K108" s="11">
        <v>7.4188405800000004</v>
      </c>
      <c r="L108" t="str">
        <f>VLOOKUP(B108,'[1]Plant data'!$A$1:$AB$315,2,0)</f>
        <v>Burseraceae</v>
      </c>
      <c r="M108" s="9">
        <f>VLOOKUP($B108,'[1]Plant data'!$A$1:$AB$315,6,0)</f>
        <v>12.697500000000002</v>
      </c>
      <c r="N108" s="9">
        <f>VLOOKUP($B108,'[1]Plant data'!$A$1:$AB$315,7,0)</f>
        <v>20.348000000000003</v>
      </c>
      <c r="O108" s="8">
        <f>VLOOKUP($B108,'[1]Plant data'!$A$1:$AB$315,10,0)</f>
        <v>1.9566000000000001</v>
      </c>
      <c r="P108" s="8">
        <f>VLOOKUP($B108,'[1]Plant data'!$A$1:$AB$315,11,0)</f>
        <v>2.74</v>
      </c>
      <c r="Q108" s="8">
        <f>VLOOKUP($B108,'[1]Plant data'!$A$1:$AB$315,12,0)</f>
        <v>0.26463333333333333</v>
      </c>
      <c r="R108" s="8">
        <f>VLOOKUP($B108,'[1]Plant data'!$A$1:$AB$315,13,0)</f>
        <v>0.91759999999999997</v>
      </c>
      <c r="S108" s="8">
        <f>VLOOKUP($B108,'[1]Plant data'!$A$1:$AB$315,14,0)</f>
        <v>0.31730000000000003</v>
      </c>
      <c r="T108" s="11">
        <f>VLOOKUP($B108,'[1]Plant data'!$A$1:$AB$315,15,0)</f>
        <v>1.1324999999999998</v>
      </c>
      <c r="U108" s="9">
        <f>VLOOKUP($B108,'[1]Plant data'!$A$1:$AB$315,19,0)</f>
        <v>0.80159999999999998</v>
      </c>
      <c r="V108" s="8">
        <f>VLOOKUP($B108,'[1]Plant data'!$A$1:$AB$315,20,0)</f>
        <v>9.849999999999999E-2</v>
      </c>
      <c r="W108" s="8">
        <f>VLOOKUP($B108,'[1]Plant data'!$A$1:$AB$315,21,0)</f>
        <v>6.3503000000000004E-2</v>
      </c>
      <c r="X108" s="8">
        <f>VLOOKUP($B108,'[1]Plant data'!$A$1:$AB$315,22,0)</f>
        <v>1.41E-2</v>
      </c>
      <c r="Y108" s="8" t="str">
        <f>VLOOKUP($B108,'[1]Plant data'!$A$1:$AB$315,23,0)</f>
        <v>NA</v>
      </c>
      <c r="Z108" s="8" t="str">
        <f>VLOOKUP($B108,'[1]Plant data'!$A$1:$AB$315,24,0)</f>
        <v>NA</v>
      </c>
      <c r="AA108" s="8" t="str">
        <f>VLOOKUP($B108,'[1]Plant data'!$A$1:$AB$315,25,0)</f>
        <v>NA</v>
      </c>
      <c r="AB108" s="8">
        <f t="shared" si="9"/>
        <v>1.41E-2</v>
      </c>
    </row>
    <row r="109" spans="1:28">
      <c r="A109" s="5" t="s">
        <v>41</v>
      </c>
      <c r="B109" s="14" t="s">
        <v>69</v>
      </c>
      <c r="C109" s="53">
        <v>48</v>
      </c>
      <c r="D109" s="58">
        <v>19.899999999999999</v>
      </c>
      <c r="E109" s="8">
        <f>(C109/19.9)/2</f>
        <v>1.206030150753769</v>
      </c>
      <c r="F109" s="54" t="s">
        <v>19</v>
      </c>
      <c r="G109" s="41">
        <v>3.35</v>
      </c>
      <c r="H109" s="23">
        <f t="shared" si="10"/>
        <v>4.0402010050251258</v>
      </c>
      <c r="I109" t="s">
        <v>30</v>
      </c>
      <c r="J109" s="11">
        <v>39</v>
      </c>
      <c r="K109" s="11">
        <v>8.2839869279999991</v>
      </c>
      <c r="L109" t="str">
        <f>VLOOKUP(B109,'[1]Plant data'!$A$1:$AB$315,2,0)</f>
        <v>Burseraceae</v>
      </c>
      <c r="M109" s="9">
        <f>VLOOKUP($B109,'[1]Plant data'!$A$1:$AB$315,6,0)</f>
        <v>12.697500000000002</v>
      </c>
      <c r="N109" s="9">
        <f>VLOOKUP($B109,'[1]Plant data'!$A$1:$AB$315,7,0)</f>
        <v>20.348000000000003</v>
      </c>
      <c r="O109" s="8">
        <f>VLOOKUP($B109,'[1]Plant data'!$A$1:$AB$315,10,0)</f>
        <v>1.9566000000000001</v>
      </c>
      <c r="P109" s="8">
        <f>VLOOKUP($B109,'[1]Plant data'!$A$1:$AB$315,11,0)</f>
        <v>2.74</v>
      </c>
      <c r="Q109" s="8">
        <f>VLOOKUP($B109,'[1]Plant data'!$A$1:$AB$315,12,0)</f>
        <v>0.26463333333333333</v>
      </c>
      <c r="R109" s="8">
        <f>VLOOKUP($B109,'[1]Plant data'!$A$1:$AB$315,13,0)</f>
        <v>0.91759999999999997</v>
      </c>
      <c r="S109" s="8">
        <f>VLOOKUP($B109,'[1]Plant data'!$A$1:$AB$315,14,0)</f>
        <v>0.31730000000000003</v>
      </c>
      <c r="T109" s="11">
        <f>VLOOKUP($B109,'[1]Plant data'!$A$1:$AB$315,15,0)</f>
        <v>1.1324999999999998</v>
      </c>
      <c r="U109" s="9">
        <f>VLOOKUP($B109,'[1]Plant data'!$A$1:$AB$315,19,0)</f>
        <v>0.80159999999999998</v>
      </c>
      <c r="V109" s="8">
        <f>VLOOKUP($B109,'[1]Plant data'!$A$1:$AB$315,20,0)</f>
        <v>9.849999999999999E-2</v>
      </c>
      <c r="W109" s="8">
        <f>VLOOKUP($B109,'[1]Plant data'!$A$1:$AB$315,21,0)</f>
        <v>6.3503000000000004E-2</v>
      </c>
      <c r="X109" s="8">
        <f>VLOOKUP($B109,'[1]Plant data'!$A$1:$AB$315,22,0)</f>
        <v>1.41E-2</v>
      </c>
      <c r="Y109" s="8" t="str">
        <f>VLOOKUP($B109,'[1]Plant data'!$A$1:$AB$315,23,0)</f>
        <v>NA</v>
      </c>
      <c r="Z109" s="8" t="str">
        <f>VLOOKUP($B109,'[1]Plant data'!$A$1:$AB$315,24,0)</f>
        <v>NA</v>
      </c>
      <c r="AA109" s="8" t="str">
        <f>VLOOKUP($B109,'[1]Plant data'!$A$1:$AB$315,25,0)</f>
        <v>NA</v>
      </c>
      <c r="AB109" s="8">
        <f t="shared" si="9"/>
        <v>1.41E-2</v>
      </c>
    </row>
    <row r="110" spans="1:28">
      <c r="A110" s="21" t="s">
        <v>41</v>
      </c>
      <c r="B110" s="22" t="s">
        <v>69</v>
      </c>
      <c r="C110" s="55">
        <v>12</v>
      </c>
      <c r="D110" s="17">
        <v>32</v>
      </c>
      <c r="E110" s="23">
        <f>C110/32</f>
        <v>0.375</v>
      </c>
      <c r="F110" s="55">
        <v>30</v>
      </c>
      <c r="G110" s="19">
        <v>3</v>
      </c>
      <c r="H110" s="23">
        <f t="shared" si="10"/>
        <v>1.125</v>
      </c>
      <c r="I110" s="16" t="s">
        <v>30</v>
      </c>
      <c r="J110" s="17">
        <v>39</v>
      </c>
      <c r="K110" s="17">
        <v>8.2839869279999991</v>
      </c>
      <c r="L110" t="str">
        <f>VLOOKUP(B110,'[1]Plant data'!$A$1:$AB$315,2,0)</f>
        <v>Burseraceae</v>
      </c>
      <c r="M110" s="9">
        <f>VLOOKUP($B110,'[1]Plant data'!$A$1:$AB$315,6,0)</f>
        <v>12.697500000000002</v>
      </c>
      <c r="N110" s="9">
        <f>VLOOKUP($B110,'[1]Plant data'!$A$1:$AB$315,7,0)</f>
        <v>20.348000000000003</v>
      </c>
      <c r="O110" s="8">
        <f>VLOOKUP($B110,'[1]Plant data'!$A$1:$AB$315,10,0)</f>
        <v>1.9566000000000001</v>
      </c>
      <c r="P110" s="8">
        <f>VLOOKUP($B110,'[1]Plant data'!$A$1:$AB$315,11,0)</f>
        <v>2.74</v>
      </c>
      <c r="Q110" s="8">
        <f>VLOOKUP($B110,'[1]Plant data'!$A$1:$AB$315,12,0)</f>
        <v>0.26463333333333333</v>
      </c>
      <c r="R110" s="8">
        <f>VLOOKUP($B110,'[1]Plant data'!$A$1:$AB$315,13,0)</f>
        <v>0.91759999999999997</v>
      </c>
      <c r="S110" s="8">
        <f>VLOOKUP($B110,'[1]Plant data'!$A$1:$AB$315,14,0)</f>
        <v>0.31730000000000003</v>
      </c>
      <c r="T110" s="11">
        <f>VLOOKUP($B110,'[1]Plant data'!$A$1:$AB$315,15,0)</f>
        <v>1.1324999999999998</v>
      </c>
      <c r="U110" s="9">
        <f>VLOOKUP($B110,'[1]Plant data'!$A$1:$AB$315,19,0)</f>
        <v>0.80159999999999998</v>
      </c>
      <c r="V110" s="8">
        <f>VLOOKUP($B110,'[1]Plant data'!$A$1:$AB$315,20,0)</f>
        <v>9.849999999999999E-2</v>
      </c>
      <c r="W110" s="8">
        <f>VLOOKUP($B110,'[1]Plant data'!$A$1:$AB$315,21,0)</f>
        <v>6.3503000000000004E-2</v>
      </c>
      <c r="X110" s="8">
        <f>VLOOKUP($B110,'[1]Plant data'!$A$1:$AB$315,22,0)</f>
        <v>1.41E-2</v>
      </c>
      <c r="Y110" s="8" t="str">
        <f>VLOOKUP($B110,'[1]Plant data'!$A$1:$AB$315,23,0)</f>
        <v>NA</v>
      </c>
      <c r="Z110" s="8" t="str">
        <f>VLOOKUP($B110,'[1]Plant data'!$A$1:$AB$315,24,0)</f>
        <v>NA</v>
      </c>
      <c r="AA110" s="8" t="str">
        <f>VLOOKUP($B110,'[1]Plant data'!$A$1:$AB$315,25,0)</f>
        <v>NA</v>
      </c>
      <c r="AB110" s="8">
        <f t="shared" si="9"/>
        <v>1.41E-2</v>
      </c>
    </row>
    <row r="111" spans="1:28">
      <c r="A111" s="21" t="s">
        <v>43</v>
      </c>
      <c r="B111" s="22" t="s">
        <v>69</v>
      </c>
      <c r="C111" s="55">
        <v>14</v>
      </c>
      <c r="D111" s="17">
        <v>32</v>
      </c>
      <c r="E111" s="23">
        <f>C111/32</f>
        <v>0.4375</v>
      </c>
      <c r="F111" s="55">
        <v>44</v>
      </c>
      <c r="G111" s="19">
        <v>3.7</v>
      </c>
      <c r="H111" s="23">
        <f t="shared" si="10"/>
        <v>1.6187500000000001</v>
      </c>
      <c r="I111" s="16" t="s">
        <v>30</v>
      </c>
      <c r="J111" s="17">
        <v>32.5</v>
      </c>
      <c r="K111" s="17">
        <v>8.9205555560000001</v>
      </c>
      <c r="L111" t="str">
        <f>VLOOKUP(B111,'[1]Plant data'!$A$1:$AB$315,2,0)</f>
        <v>Burseraceae</v>
      </c>
      <c r="M111" s="9">
        <f>VLOOKUP($B111,'[1]Plant data'!$A$1:$AB$315,6,0)</f>
        <v>12.697500000000002</v>
      </c>
      <c r="N111" s="9">
        <f>VLOOKUP($B111,'[1]Plant data'!$A$1:$AB$315,7,0)</f>
        <v>20.348000000000003</v>
      </c>
      <c r="O111" s="8">
        <f>VLOOKUP($B111,'[1]Plant data'!$A$1:$AB$315,10,0)</f>
        <v>1.9566000000000001</v>
      </c>
      <c r="P111" s="8">
        <f>VLOOKUP($B111,'[1]Plant data'!$A$1:$AB$315,11,0)</f>
        <v>2.74</v>
      </c>
      <c r="Q111" s="8">
        <f>VLOOKUP($B111,'[1]Plant data'!$A$1:$AB$315,12,0)</f>
        <v>0.26463333333333333</v>
      </c>
      <c r="R111" s="8">
        <f>VLOOKUP($B111,'[1]Plant data'!$A$1:$AB$315,13,0)</f>
        <v>0.91759999999999997</v>
      </c>
      <c r="S111" s="8">
        <f>VLOOKUP($B111,'[1]Plant data'!$A$1:$AB$315,14,0)</f>
        <v>0.31730000000000003</v>
      </c>
      <c r="T111" s="11">
        <f>VLOOKUP($B111,'[1]Plant data'!$A$1:$AB$315,15,0)</f>
        <v>1.1324999999999998</v>
      </c>
      <c r="U111" s="9">
        <f>VLOOKUP($B111,'[1]Plant data'!$A$1:$AB$315,19,0)</f>
        <v>0.80159999999999998</v>
      </c>
      <c r="V111" s="8">
        <f>VLOOKUP($B111,'[1]Plant data'!$A$1:$AB$315,20,0)</f>
        <v>9.849999999999999E-2</v>
      </c>
      <c r="W111" s="8">
        <f>VLOOKUP($B111,'[1]Plant data'!$A$1:$AB$315,21,0)</f>
        <v>6.3503000000000004E-2</v>
      </c>
      <c r="X111" s="8">
        <f>VLOOKUP($B111,'[1]Plant data'!$A$1:$AB$315,22,0)</f>
        <v>1.41E-2</v>
      </c>
      <c r="Y111" s="8" t="str">
        <f>VLOOKUP($B111,'[1]Plant data'!$A$1:$AB$315,23,0)</f>
        <v>NA</v>
      </c>
      <c r="Z111" s="8" t="str">
        <f>VLOOKUP($B111,'[1]Plant data'!$A$1:$AB$315,24,0)</f>
        <v>NA</v>
      </c>
      <c r="AA111" s="8" t="str">
        <f>VLOOKUP($B111,'[1]Plant data'!$A$1:$AB$315,25,0)</f>
        <v>NA</v>
      </c>
      <c r="AB111" s="8">
        <f t="shared" si="9"/>
        <v>1.41E-2</v>
      </c>
    </row>
    <row r="112" spans="1:28">
      <c r="A112" s="5" t="s">
        <v>43</v>
      </c>
      <c r="B112" s="14" t="s">
        <v>69</v>
      </c>
      <c r="C112" s="53">
        <v>10</v>
      </c>
      <c r="D112" s="58">
        <v>19.899999999999999</v>
      </c>
      <c r="E112" s="8">
        <f>(C112/19.9)/2</f>
        <v>0.25125628140703521</v>
      </c>
      <c r="F112" s="54" t="s">
        <v>19</v>
      </c>
      <c r="G112" s="41">
        <v>3.35</v>
      </c>
      <c r="H112" s="23">
        <f t="shared" si="10"/>
        <v>0.84170854271356799</v>
      </c>
      <c r="I112" t="s">
        <v>30</v>
      </c>
      <c r="J112" s="11">
        <v>32.5</v>
      </c>
      <c r="K112" s="11">
        <v>8.9205555560000001</v>
      </c>
      <c r="L112" t="str">
        <f>VLOOKUP(B112,'[1]Plant data'!$A$1:$AB$315,2,0)</f>
        <v>Burseraceae</v>
      </c>
      <c r="M112" s="9">
        <f>VLOOKUP($B112,'[1]Plant data'!$A$1:$AB$315,6,0)</f>
        <v>12.697500000000002</v>
      </c>
      <c r="N112" s="9">
        <f>VLOOKUP($B112,'[1]Plant data'!$A$1:$AB$315,7,0)</f>
        <v>20.348000000000003</v>
      </c>
      <c r="O112" s="8">
        <f>VLOOKUP($B112,'[1]Plant data'!$A$1:$AB$315,10,0)</f>
        <v>1.9566000000000001</v>
      </c>
      <c r="P112" s="8">
        <f>VLOOKUP($B112,'[1]Plant data'!$A$1:$AB$315,11,0)</f>
        <v>2.74</v>
      </c>
      <c r="Q112" s="8">
        <f>VLOOKUP($B112,'[1]Plant data'!$A$1:$AB$315,12,0)</f>
        <v>0.26463333333333333</v>
      </c>
      <c r="R112" s="8">
        <f>VLOOKUP($B112,'[1]Plant data'!$A$1:$AB$315,13,0)</f>
        <v>0.91759999999999997</v>
      </c>
      <c r="S112" s="8">
        <f>VLOOKUP($B112,'[1]Plant data'!$A$1:$AB$315,14,0)</f>
        <v>0.31730000000000003</v>
      </c>
      <c r="T112" s="11">
        <f>VLOOKUP($B112,'[1]Plant data'!$A$1:$AB$315,15,0)</f>
        <v>1.1324999999999998</v>
      </c>
      <c r="U112" s="9">
        <f>VLOOKUP($B112,'[1]Plant data'!$A$1:$AB$315,19,0)</f>
        <v>0.80159999999999998</v>
      </c>
      <c r="V112" s="8">
        <f>VLOOKUP($B112,'[1]Plant data'!$A$1:$AB$315,20,0)</f>
        <v>9.849999999999999E-2</v>
      </c>
      <c r="W112" s="8">
        <f>VLOOKUP($B112,'[1]Plant data'!$A$1:$AB$315,21,0)</f>
        <v>6.3503000000000004E-2</v>
      </c>
      <c r="X112" s="8">
        <f>VLOOKUP($B112,'[1]Plant data'!$A$1:$AB$315,22,0)</f>
        <v>1.41E-2</v>
      </c>
      <c r="Y112" s="8" t="str">
        <f>VLOOKUP($B112,'[1]Plant data'!$A$1:$AB$315,23,0)</f>
        <v>NA</v>
      </c>
      <c r="Z112" s="8" t="str">
        <f>VLOOKUP($B112,'[1]Plant data'!$A$1:$AB$315,24,0)</f>
        <v>NA</v>
      </c>
      <c r="AA112" s="8" t="str">
        <f>VLOOKUP($B112,'[1]Plant data'!$A$1:$AB$315,25,0)</f>
        <v>NA</v>
      </c>
      <c r="AB112" s="8">
        <f t="shared" si="9"/>
        <v>1.41E-2</v>
      </c>
    </row>
    <row r="113" spans="1:28">
      <c r="A113" s="21" t="s">
        <v>46</v>
      </c>
      <c r="B113" s="22" t="s">
        <v>69</v>
      </c>
      <c r="C113" s="55">
        <v>1</v>
      </c>
      <c r="D113" s="17">
        <v>32</v>
      </c>
      <c r="E113" s="23">
        <f>C113/32</f>
        <v>3.125E-2</v>
      </c>
      <c r="F113" s="55">
        <v>1</v>
      </c>
      <c r="G113" s="19">
        <v>1</v>
      </c>
      <c r="H113" s="23">
        <f t="shared" si="10"/>
        <v>3.125E-2</v>
      </c>
      <c r="I113" s="16" t="s">
        <v>47</v>
      </c>
      <c r="J113" s="17">
        <v>54</v>
      </c>
      <c r="K113" s="17">
        <v>11.14875</v>
      </c>
      <c r="L113" t="str">
        <f>VLOOKUP(B113,'[1]Plant data'!$A$1:$AB$315,2,0)</f>
        <v>Burseraceae</v>
      </c>
      <c r="M113" s="9">
        <f>VLOOKUP($B113,'[1]Plant data'!$A$1:$AB$315,6,0)</f>
        <v>12.697500000000002</v>
      </c>
      <c r="N113" s="9">
        <f>VLOOKUP($B113,'[1]Plant data'!$A$1:$AB$315,7,0)</f>
        <v>20.348000000000003</v>
      </c>
      <c r="O113" s="8">
        <f>VLOOKUP($B113,'[1]Plant data'!$A$1:$AB$315,10,0)</f>
        <v>1.9566000000000001</v>
      </c>
      <c r="P113" s="8">
        <f>VLOOKUP($B113,'[1]Plant data'!$A$1:$AB$315,11,0)</f>
        <v>2.74</v>
      </c>
      <c r="Q113" s="8">
        <f>VLOOKUP($B113,'[1]Plant data'!$A$1:$AB$315,12,0)</f>
        <v>0.26463333333333333</v>
      </c>
      <c r="R113" s="8">
        <f>VLOOKUP($B113,'[1]Plant data'!$A$1:$AB$315,13,0)</f>
        <v>0.91759999999999997</v>
      </c>
      <c r="S113" s="8">
        <f>VLOOKUP($B113,'[1]Plant data'!$A$1:$AB$315,14,0)</f>
        <v>0.31730000000000003</v>
      </c>
      <c r="T113" s="11">
        <f>VLOOKUP($B113,'[1]Plant data'!$A$1:$AB$315,15,0)</f>
        <v>1.1324999999999998</v>
      </c>
      <c r="U113" s="9">
        <f>VLOOKUP($B113,'[1]Plant data'!$A$1:$AB$315,19,0)</f>
        <v>0.80159999999999998</v>
      </c>
      <c r="V113" s="8">
        <f>VLOOKUP($B113,'[1]Plant data'!$A$1:$AB$315,20,0)</f>
        <v>9.849999999999999E-2</v>
      </c>
      <c r="W113" s="8">
        <f>VLOOKUP($B113,'[1]Plant data'!$A$1:$AB$315,21,0)</f>
        <v>6.3503000000000004E-2</v>
      </c>
      <c r="X113" s="8">
        <f>VLOOKUP($B113,'[1]Plant data'!$A$1:$AB$315,22,0)</f>
        <v>1.41E-2</v>
      </c>
      <c r="Y113" s="8" t="str">
        <f>VLOOKUP($B113,'[1]Plant data'!$A$1:$AB$315,23,0)</f>
        <v>NA</v>
      </c>
      <c r="Z113" s="8" t="str">
        <f>VLOOKUP($B113,'[1]Plant data'!$A$1:$AB$315,24,0)</f>
        <v>NA</v>
      </c>
      <c r="AA113" s="8" t="str">
        <f>VLOOKUP($B113,'[1]Plant data'!$A$1:$AB$315,25,0)</f>
        <v>NA</v>
      </c>
      <c r="AB113" s="8">
        <f t="shared" si="9"/>
        <v>1.41E-2</v>
      </c>
    </row>
    <row r="114" spans="1:28">
      <c r="A114" s="21" t="s">
        <v>50</v>
      </c>
      <c r="B114" s="22" t="s">
        <v>69</v>
      </c>
      <c r="C114" s="55">
        <v>11</v>
      </c>
      <c r="D114" s="17">
        <v>32</v>
      </c>
      <c r="E114" s="23">
        <f>C114/32</f>
        <v>0.34375</v>
      </c>
      <c r="F114" s="55">
        <v>8</v>
      </c>
      <c r="G114" s="19">
        <v>1.3</v>
      </c>
      <c r="H114" s="23">
        <f t="shared" si="10"/>
        <v>0.44687500000000002</v>
      </c>
      <c r="I114" s="16" t="s">
        <v>47</v>
      </c>
      <c r="J114" s="17">
        <v>69.5</v>
      </c>
      <c r="K114" s="17">
        <v>13.253214290000001</v>
      </c>
      <c r="L114" t="str">
        <f>VLOOKUP(B114,'[1]Plant data'!$A$1:$AB$315,2,0)</f>
        <v>Burseraceae</v>
      </c>
      <c r="M114" s="9">
        <f>VLOOKUP($B114,'[1]Plant data'!$A$1:$AB$315,6,0)</f>
        <v>12.697500000000002</v>
      </c>
      <c r="N114" s="9">
        <f>VLOOKUP($B114,'[1]Plant data'!$A$1:$AB$315,7,0)</f>
        <v>20.348000000000003</v>
      </c>
      <c r="O114" s="8">
        <f>VLOOKUP($B114,'[1]Plant data'!$A$1:$AB$315,10,0)</f>
        <v>1.9566000000000001</v>
      </c>
      <c r="P114" s="8">
        <f>VLOOKUP($B114,'[1]Plant data'!$A$1:$AB$315,11,0)</f>
        <v>2.74</v>
      </c>
      <c r="Q114" s="8">
        <f>VLOOKUP($B114,'[1]Plant data'!$A$1:$AB$315,12,0)</f>
        <v>0.26463333333333333</v>
      </c>
      <c r="R114" s="8">
        <f>VLOOKUP($B114,'[1]Plant data'!$A$1:$AB$315,13,0)</f>
        <v>0.91759999999999997</v>
      </c>
      <c r="S114" s="8">
        <f>VLOOKUP($B114,'[1]Plant data'!$A$1:$AB$315,14,0)</f>
        <v>0.31730000000000003</v>
      </c>
      <c r="T114" s="11">
        <f>VLOOKUP($B114,'[1]Plant data'!$A$1:$AB$315,15,0)</f>
        <v>1.1324999999999998</v>
      </c>
      <c r="U114" s="9">
        <f>VLOOKUP($B114,'[1]Plant data'!$A$1:$AB$315,19,0)</f>
        <v>0.80159999999999998</v>
      </c>
      <c r="V114" s="8">
        <f>VLOOKUP($B114,'[1]Plant data'!$A$1:$AB$315,20,0)</f>
        <v>9.849999999999999E-2</v>
      </c>
      <c r="W114" s="8">
        <f>VLOOKUP($B114,'[1]Plant data'!$A$1:$AB$315,21,0)</f>
        <v>6.3503000000000004E-2</v>
      </c>
      <c r="X114" s="8">
        <f>VLOOKUP($B114,'[1]Plant data'!$A$1:$AB$315,22,0)</f>
        <v>1.41E-2</v>
      </c>
      <c r="Y114" s="8" t="str">
        <f>VLOOKUP($B114,'[1]Plant data'!$A$1:$AB$315,23,0)</f>
        <v>NA</v>
      </c>
      <c r="Z114" s="8" t="str">
        <f>VLOOKUP($B114,'[1]Plant data'!$A$1:$AB$315,24,0)</f>
        <v>NA</v>
      </c>
      <c r="AA114" s="8" t="str">
        <f>VLOOKUP($B114,'[1]Plant data'!$A$1:$AB$315,25,0)</f>
        <v>NA</v>
      </c>
      <c r="AB114" s="8">
        <f t="shared" si="9"/>
        <v>1.41E-2</v>
      </c>
    </row>
    <row r="115" spans="1:28">
      <c r="A115" s="5" t="s">
        <v>43</v>
      </c>
      <c r="B115" s="14" t="s">
        <v>87</v>
      </c>
      <c r="C115" s="53">
        <v>28</v>
      </c>
      <c r="D115" s="58">
        <v>12</v>
      </c>
      <c r="E115" s="8">
        <f>C115/12</f>
        <v>2.3333333333333335</v>
      </c>
      <c r="F115" s="54">
        <v>38</v>
      </c>
      <c r="G115" s="9">
        <v>1.7</v>
      </c>
      <c r="H115" s="23">
        <f t="shared" si="10"/>
        <v>3.9666666666666668</v>
      </c>
      <c r="I115" t="s">
        <v>30</v>
      </c>
      <c r="J115" s="11">
        <v>32.5</v>
      </c>
      <c r="K115" s="11">
        <v>8.9205555560000001</v>
      </c>
      <c r="L115" t="str">
        <f>VLOOKUP(B115,'[1]Plant data'!$A$1:$AB$315,2,0)</f>
        <v>Myrtaceae</v>
      </c>
      <c r="M115" s="9">
        <f>VLOOKUP($B115,'[1]Plant data'!$A$1:$AB$315,6,0)</f>
        <v>19</v>
      </c>
      <c r="N115" s="9">
        <f>VLOOKUP($B115,'[1]Plant data'!$A$1:$AB$315,7,0)</f>
        <v>17</v>
      </c>
      <c r="O115" s="8">
        <f>VLOOKUP($B115,'[1]Plant data'!$A$1:$AB$315,10,0)</f>
        <v>3.5</v>
      </c>
      <c r="P115" s="8" t="str">
        <f>VLOOKUP($B115,'[1]Plant data'!$A$1:$AB$315,11,0)</f>
        <v>NA</v>
      </c>
      <c r="Q115" s="8" t="str">
        <f>VLOOKUP($B115,'[1]Plant data'!$A$1:$AB$315,12,0)</f>
        <v>NA</v>
      </c>
      <c r="R115" s="8" t="str">
        <f>VLOOKUP($B115,'[1]Plant data'!$A$1:$AB$315,13,0)</f>
        <v>NA</v>
      </c>
      <c r="S115" s="8" t="str">
        <f>VLOOKUP($B115,'[1]Plant data'!$A$1:$AB$315,14,0)</f>
        <v>NA</v>
      </c>
      <c r="T115" s="11" t="str">
        <f>VLOOKUP($B115,'[1]Plant data'!$A$1:$AB$315,15,0)</f>
        <v>NA</v>
      </c>
      <c r="U115" s="9" t="str">
        <f>VLOOKUP($B115,'[1]Plant data'!$A$1:$AB$315,19,0)</f>
        <v>NA</v>
      </c>
      <c r="V115" s="8" t="str">
        <f>VLOOKUP($B115,'[1]Plant data'!$A$1:$AB$315,20,0)</f>
        <v>NA</v>
      </c>
      <c r="W115" s="8" t="str">
        <f>VLOOKUP($B115,'[1]Plant data'!$A$1:$AB$315,21,0)</f>
        <v>NA</v>
      </c>
      <c r="X115" s="8" t="str">
        <f>VLOOKUP($B115,'[1]Plant data'!$A$1:$AB$315,22,0)</f>
        <v>NA</v>
      </c>
      <c r="Y115" s="8" t="str">
        <f>VLOOKUP($B115,'[1]Plant data'!$A$1:$AB$315,23,0)</f>
        <v>NA</v>
      </c>
      <c r="Z115" s="8" t="str">
        <f>VLOOKUP($B115,'[1]Plant data'!$A$1:$AB$315,24,0)</f>
        <v>NA</v>
      </c>
      <c r="AA115" s="8" t="str">
        <f>VLOOKUP($B115,'[1]Plant data'!$A$1:$AB$315,25,0)</f>
        <v>NA</v>
      </c>
      <c r="AB115" s="8" t="s">
        <v>19</v>
      </c>
    </row>
    <row r="116" spans="1:28">
      <c r="A116" s="21" t="s">
        <v>70</v>
      </c>
      <c r="B116" s="22" t="s">
        <v>226</v>
      </c>
      <c r="C116" s="55">
        <v>2</v>
      </c>
      <c r="D116" s="17">
        <v>32</v>
      </c>
      <c r="E116" s="23">
        <f>C116/32</f>
        <v>6.25E-2</v>
      </c>
      <c r="F116" s="55">
        <v>0.2</v>
      </c>
      <c r="G116" s="19">
        <v>0.1</v>
      </c>
      <c r="H116" s="23">
        <f t="shared" si="10"/>
        <v>6.2500000000000003E-3</v>
      </c>
      <c r="I116" s="16" t="s">
        <v>23</v>
      </c>
      <c r="J116" s="17">
        <v>15</v>
      </c>
      <c r="K116" s="17">
        <v>6.9235714289999999</v>
      </c>
      <c r="L116" t="str">
        <f>VLOOKUP(B116,'[1]Plant data'!$A$1:$AB$315,2,0)</f>
        <v>Piperaceae</v>
      </c>
      <c r="M116" s="9">
        <f>VLOOKUP($B116,'[1]Plant data'!$A$1:$AB$315,6,0)</f>
        <v>8.1</v>
      </c>
      <c r="N116" s="9">
        <f>VLOOKUP($B116,'[1]Plant data'!$A$1:$AB$315,7,0)</f>
        <v>188.5</v>
      </c>
      <c r="O116" s="8">
        <f>VLOOKUP($B116,'[1]Plant data'!$A$1:$AB$315,10,0)</f>
        <v>9.56</v>
      </c>
      <c r="P116" s="8" t="str">
        <f>VLOOKUP($B116,'[1]Plant data'!$A$1:$AB$315,11,0)</f>
        <v>NA</v>
      </c>
      <c r="Q116" s="8" t="str">
        <f>VLOOKUP($B116,'[1]Plant data'!$A$1:$AB$315,12,0)</f>
        <v>NA</v>
      </c>
      <c r="R116" s="8" t="str">
        <f>VLOOKUP($B116,'[1]Plant data'!$A$1:$AB$315,13,0)</f>
        <v>NA</v>
      </c>
      <c r="S116" s="8" t="str">
        <f>VLOOKUP($B116,'[1]Plant data'!$A$1:$AB$315,14,0)</f>
        <v>NA</v>
      </c>
      <c r="T116" s="11">
        <f>VLOOKUP($B116,'[1]Plant data'!$A$1:$AB$315,15,0)</f>
        <v>938</v>
      </c>
      <c r="U116" s="9">
        <f>VLOOKUP($B116,'[1]Plant data'!$A$1:$AB$315,19,0)</f>
        <v>0.89600000000000002</v>
      </c>
      <c r="V116" s="8">
        <f>VLOOKUP($B116,'[1]Plant data'!$A$1:$AB$315,20,0)</f>
        <v>2.1999999999999999E-2</v>
      </c>
      <c r="W116" s="8" t="str">
        <f>VLOOKUP($B116,'[1]Plant data'!$A$1:$AB$315,21,0)</f>
        <v>NA</v>
      </c>
      <c r="X116" s="8" t="str">
        <f>VLOOKUP($B116,'[1]Plant data'!$A$1:$AB$315,22,0)</f>
        <v>NA</v>
      </c>
      <c r="Y116" s="8" t="str">
        <f>VLOOKUP($B116,'[1]Plant data'!$A$1:$AB$315,23,0)</f>
        <v>NA</v>
      </c>
      <c r="Z116" s="8" t="str">
        <f>VLOOKUP($B116,'[1]Plant data'!$A$1:$AB$315,24,0)</f>
        <v>NA</v>
      </c>
      <c r="AA116" s="8" t="str">
        <f>VLOOKUP($B116,'[1]Plant data'!$A$1:$AB$315,25,0)</f>
        <v>NA</v>
      </c>
      <c r="AB116" s="8" t="s">
        <v>19</v>
      </c>
    </row>
    <row r="117" spans="1:28">
      <c r="A117" s="21" t="s">
        <v>41</v>
      </c>
      <c r="B117" s="22" t="s">
        <v>226</v>
      </c>
      <c r="C117" s="55">
        <v>17</v>
      </c>
      <c r="D117" s="17">
        <v>32</v>
      </c>
      <c r="E117" s="23">
        <f>C117/32</f>
        <v>0.53125</v>
      </c>
      <c r="F117" s="55">
        <v>6.4</v>
      </c>
      <c r="G117" s="19">
        <v>0.4</v>
      </c>
      <c r="H117" s="23">
        <f t="shared" si="10"/>
        <v>0.21250000000000002</v>
      </c>
      <c r="I117" s="16" t="s">
        <v>30</v>
      </c>
      <c r="J117" s="17">
        <v>39</v>
      </c>
      <c r="K117" s="17">
        <v>8.2839869279999991</v>
      </c>
      <c r="L117" t="str">
        <f>VLOOKUP(B117,'[1]Plant data'!$A$1:$AB$315,2,0)</f>
        <v>Piperaceae</v>
      </c>
      <c r="M117" s="9">
        <f>VLOOKUP($B117,'[1]Plant data'!$A$1:$AB$315,6,0)</f>
        <v>8.1</v>
      </c>
      <c r="N117" s="9">
        <f>VLOOKUP($B117,'[1]Plant data'!$A$1:$AB$315,7,0)</f>
        <v>188.5</v>
      </c>
      <c r="O117" s="8">
        <f>VLOOKUP($B117,'[1]Plant data'!$A$1:$AB$315,10,0)</f>
        <v>9.56</v>
      </c>
      <c r="P117" s="8" t="str">
        <f>VLOOKUP($B117,'[1]Plant data'!$A$1:$AB$315,11,0)</f>
        <v>NA</v>
      </c>
      <c r="Q117" s="8" t="str">
        <f>VLOOKUP($B117,'[1]Plant data'!$A$1:$AB$315,12,0)</f>
        <v>NA</v>
      </c>
      <c r="R117" s="8" t="str">
        <f>VLOOKUP($B117,'[1]Plant data'!$A$1:$AB$315,13,0)</f>
        <v>NA</v>
      </c>
      <c r="S117" s="8" t="str">
        <f>VLOOKUP($B117,'[1]Plant data'!$A$1:$AB$315,14,0)</f>
        <v>NA</v>
      </c>
      <c r="T117" s="11">
        <f>VLOOKUP($B117,'[1]Plant data'!$A$1:$AB$315,15,0)</f>
        <v>938</v>
      </c>
      <c r="U117" s="9">
        <f>VLOOKUP($B117,'[1]Plant data'!$A$1:$AB$315,19,0)</f>
        <v>0.89600000000000002</v>
      </c>
      <c r="V117" s="8">
        <f>VLOOKUP($B117,'[1]Plant data'!$A$1:$AB$315,20,0)</f>
        <v>2.1999999999999999E-2</v>
      </c>
      <c r="W117" s="8" t="str">
        <f>VLOOKUP($B117,'[1]Plant data'!$A$1:$AB$315,21,0)</f>
        <v>NA</v>
      </c>
      <c r="X117" s="8" t="str">
        <f>VLOOKUP($B117,'[1]Plant data'!$A$1:$AB$315,22,0)</f>
        <v>NA</v>
      </c>
      <c r="Y117" s="8" t="str">
        <f>VLOOKUP($B117,'[1]Plant data'!$A$1:$AB$315,23,0)</f>
        <v>NA</v>
      </c>
      <c r="Z117" s="8" t="str">
        <f>VLOOKUP($B117,'[1]Plant data'!$A$1:$AB$315,24,0)</f>
        <v>NA</v>
      </c>
      <c r="AA117" s="8" t="str">
        <f>VLOOKUP($B117,'[1]Plant data'!$A$1:$AB$315,25,0)</f>
        <v>NA</v>
      </c>
      <c r="AB117" s="8" t="s">
        <v>19</v>
      </c>
    </row>
    <row r="118" spans="1:28">
      <c r="A118" s="21" t="s">
        <v>43</v>
      </c>
      <c r="B118" s="22" t="s">
        <v>226</v>
      </c>
      <c r="C118" s="55">
        <v>12</v>
      </c>
      <c r="D118" s="17">
        <v>32</v>
      </c>
      <c r="E118" s="23">
        <f>C118/32</f>
        <v>0.375</v>
      </c>
      <c r="F118" s="55">
        <v>4.4000000000000004</v>
      </c>
      <c r="G118" s="19">
        <v>0.4</v>
      </c>
      <c r="H118" s="23">
        <f t="shared" si="10"/>
        <v>0.15000000000000002</v>
      </c>
      <c r="I118" s="16" t="s">
        <v>30</v>
      </c>
      <c r="J118" s="17">
        <v>32.5</v>
      </c>
      <c r="K118" s="17">
        <v>8.9205555560000001</v>
      </c>
      <c r="L118" t="str">
        <f>VLOOKUP(B118,'[1]Plant data'!$A$1:$AB$315,2,0)</f>
        <v>Piperaceae</v>
      </c>
      <c r="M118" s="9">
        <f>VLOOKUP($B118,'[1]Plant data'!$A$1:$AB$315,6,0)</f>
        <v>8.1</v>
      </c>
      <c r="N118" s="9">
        <f>VLOOKUP($B118,'[1]Plant data'!$A$1:$AB$315,7,0)</f>
        <v>188.5</v>
      </c>
      <c r="O118" s="8">
        <f>VLOOKUP($B118,'[1]Plant data'!$A$1:$AB$315,10,0)</f>
        <v>9.56</v>
      </c>
      <c r="P118" s="8" t="str">
        <f>VLOOKUP($B118,'[1]Plant data'!$A$1:$AB$315,11,0)</f>
        <v>NA</v>
      </c>
      <c r="Q118" s="8" t="str">
        <f>VLOOKUP($B118,'[1]Plant data'!$A$1:$AB$315,12,0)</f>
        <v>NA</v>
      </c>
      <c r="R118" s="8" t="str">
        <f>VLOOKUP($B118,'[1]Plant data'!$A$1:$AB$315,13,0)</f>
        <v>NA</v>
      </c>
      <c r="S118" s="8" t="str">
        <f>VLOOKUP($B118,'[1]Plant data'!$A$1:$AB$315,14,0)</f>
        <v>NA</v>
      </c>
      <c r="T118" s="11">
        <f>VLOOKUP($B118,'[1]Plant data'!$A$1:$AB$315,15,0)</f>
        <v>938</v>
      </c>
      <c r="U118" s="9">
        <f>VLOOKUP($B118,'[1]Plant data'!$A$1:$AB$315,19,0)</f>
        <v>0.89600000000000002</v>
      </c>
      <c r="V118" s="8">
        <f>VLOOKUP($B118,'[1]Plant data'!$A$1:$AB$315,20,0)</f>
        <v>2.1999999999999999E-2</v>
      </c>
      <c r="W118" s="8" t="str">
        <f>VLOOKUP($B118,'[1]Plant data'!$A$1:$AB$315,21,0)</f>
        <v>NA</v>
      </c>
      <c r="X118" s="8" t="str">
        <f>VLOOKUP($B118,'[1]Plant data'!$A$1:$AB$315,22,0)</f>
        <v>NA</v>
      </c>
      <c r="Y118" s="8" t="str">
        <f>VLOOKUP($B118,'[1]Plant data'!$A$1:$AB$315,23,0)</f>
        <v>NA</v>
      </c>
      <c r="Z118" s="8" t="str">
        <f>VLOOKUP($B118,'[1]Plant data'!$A$1:$AB$315,24,0)</f>
        <v>NA</v>
      </c>
      <c r="AA118" s="8" t="str">
        <f>VLOOKUP($B118,'[1]Plant data'!$A$1:$AB$315,25,0)</f>
        <v>NA</v>
      </c>
      <c r="AB118" s="8" t="s">
        <v>19</v>
      </c>
    </row>
    <row r="119" spans="1:28">
      <c r="A119" s="21" t="s">
        <v>50</v>
      </c>
      <c r="B119" s="22" t="s">
        <v>226</v>
      </c>
      <c r="C119" s="55">
        <v>27</v>
      </c>
      <c r="D119" s="17">
        <v>32</v>
      </c>
      <c r="E119" s="23">
        <f>C119/32</f>
        <v>0.84375</v>
      </c>
      <c r="F119" s="55">
        <v>11.5</v>
      </c>
      <c r="G119" s="19">
        <v>0.5</v>
      </c>
      <c r="H119" s="23">
        <f t="shared" si="10"/>
        <v>0.421875</v>
      </c>
      <c r="I119" s="16" t="s">
        <v>47</v>
      </c>
      <c r="J119" s="17">
        <v>69.5</v>
      </c>
      <c r="K119" s="17">
        <v>13.253214290000001</v>
      </c>
      <c r="L119" t="str">
        <f>VLOOKUP(B119,'[1]Plant data'!$A$1:$AB$315,2,0)</f>
        <v>Piperaceae</v>
      </c>
      <c r="M119" s="9">
        <f>VLOOKUP($B119,'[1]Plant data'!$A$1:$AB$315,6,0)</f>
        <v>8.1</v>
      </c>
      <c r="N119" s="9">
        <f>VLOOKUP($B119,'[1]Plant data'!$A$1:$AB$315,7,0)</f>
        <v>188.5</v>
      </c>
      <c r="O119" s="8">
        <f>VLOOKUP($B119,'[1]Plant data'!$A$1:$AB$315,10,0)</f>
        <v>9.56</v>
      </c>
      <c r="P119" s="8" t="str">
        <f>VLOOKUP($B119,'[1]Plant data'!$A$1:$AB$315,11,0)</f>
        <v>NA</v>
      </c>
      <c r="Q119" s="8" t="str">
        <f>VLOOKUP($B119,'[1]Plant data'!$A$1:$AB$315,12,0)</f>
        <v>NA</v>
      </c>
      <c r="R119" s="8" t="str">
        <f>VLOOKUP($B119,'[1]Plant data'!$A$1:$AB$315,13,0)</f>
        <v>NA</v>
      </c>
      <c r="S119" s="8" t="str">
        <f>VLOOKUP($B119,'[1]Plant data'!$A$1:$AB$315,14,0)</f>
        <v>NA</v>
      </c>
      <c r="T119" s="11">
        <f>VLOOKUP($B119,'[1]Plant data'!$A$1:$AB$315,15,0)</f>
        <v>938</v>
      </c>
      <c r="U119" s="9">
        <f>VLOOKUP($B119,'[1]Plant data'!$A$1:$AB$315,19,0)</f>
        <v>0.89600000000000002</v>
      </c>
      <c r="V119" s="8">
        <f>VLOOKUP($B119,'[1]Plant data'!$A$1:$AB$315,20,0)</f>
        <v>2.1999999999999999E-2</v>
      </c>
      <c r="W119" s="8" t="str">
        <f>VLOOKUP($B119,'[1]Plant data'!$A$1:$AB$315,21,0)</f>
        <v>NA</v>
      </c>
      <c r="X119" s="8" t="str">
        <f>VLOOKUP($B119,'[1]Plant data'!$A$1:$AB$315,22,0)</f>
        <v>NA</v>
      </c>
      <c r="Y119" s="8" t="str">
        <f>VLOOKUP($B119,'[1]Plant data'!$A$1:$AB$315,23,0)</f>
        <v>NA</v>
      </c>
      <c r="Z119" s="8" t="str">
        <f>VLOOKUP($B119,'[1]Plant data'!$A$1:$AB$315,24,0)</f>
        <v>NA</v>
      </c>
      <c r="AA119" s="8" t="str">
        <f>VLOOKUP($B119,'[1]Plant data'!$A$1:$AB$315,25,0)</f>
        <v>NA</v>
      </c>
      <c r="AB119" s="8" t="s">
        <v>19</v>
      </c>
    </row>
    <row r="120" spans="1:28">
      <c r="A120" s="5" t="s">
        <v>110</v>
      </c>
      <c r="B120" s="15" t="s">
        <v>165</v>
      </c>
      <c r="C120" s="53">
        <v>1</v>
      </c>
      <c r="D120" s="11" t="s">
        <v>19</v>
      </c>
      <c r="E120" s="8" t="s">
        <v>19</v>
      </c>
      <c r="F120" s="54" t="s">
        <v>19</v>
      </c>
      <c r="G120" s="9" t="s">
        <v>19</v>
      </c>
      <c r="H120" s="23" t="s">
        <v>19</v>
      </c>
      <c r="I120" t="s">
        <v>101</v>
      </c>
      <c r="J120" s="11">
        <v>1250</v>
      </c>
      <c r="K120" s="11">
        <v>19.114999999999998</v>
      </c>
      <c r="L120" t="str">
        <f>VLOOKUP(B120,'[1]Plant data'!$A$1:$AB$315,2,0)</f>
        <v>Phytolaccaceae</v>
      </c>
      <c r="M120" s="9">
        <f>VLOOKUP($B120,'[1]Plant data'!$A$1:$AB$315,6,0)</f>
        <v>8.1933333333333334</v>
      </c>
      <c r="N120" s="9">
        <f>VLOOKUP($B120,'[1]Plant data'!$A$1:$AB$315,7,0)</f>
        <v>10.950000000000001</v>
      </c>
      <c r="O120" s="8">
        <f>VLOOKUP($B120,'[1]Plant data'!$A$1:$AB$315,10,0)</f>
        <v>0.26229999999999998</v>
      </c>
      <c r="P120" s="8" t="str">
        <f>VLOOKUP($B120,'[1]Plant data'!$A$1:$AB$315,11,0)</f>
        <v>NA</v>
      </c>
      <c r="Q120" s="8">
        <f>VLOOKUP($B120,'[1]Plant data'!$A$1:$AB$315,12,0)</f>
        <v>5.4999999999999997E-3</v>
      </c>
      <c r="R120" s="8">
        <f>VLOOKUP($B120,'[1]Plant data'!$A$1:$AB$315,13,0)</f>
        <v>0.19400000000000001</v>
      </c>
      <c r="S120" s="8">
        <f>VLOOKUP($B120,'[1]Plant data'!$A$1:$AB$315,14,0)</f>
        <v>3.0599999999999999E-2</v>
      </c>
      <c r="T120" s="11">
        <f>VLOOKUP($B120,'[1]Plant data'!$A$1:$AB$315,15,0)</f>
        <v>8.6999999999999993</v>
      </c>
      <c r="U120" s="9">
        <f>VLOOKUP($B120,'[1]Plant data'!$A$1:$AB$315,19,0)</f>
        <v>0.65799999999999992</v>
      </c>
      <c r="V120" s="8">
        <f>VLOOKUP($B120,'[1]Plant data'!$A$1:$AB$315,20,0)</f>
        <v>4.8464657602406536E-2</v>
      </c>
      <c r="W120" s="8">
        <f>VLOOKUP($B120,'[1]Plant data'!$A$1:$AB$315,21,0)</f>
        <v>0.1175085</v>
      </c>
      <c r="X120" s="8">
        <f>VLOOKUP($B120,'[1]Plant data'!$A$1:$AB$315,22,0)</f>
        <v>9.0419688574244164E-2</v>
      </c>
      <c r="Y120" s="8">
        <f>VLOOKUP($B120,'[1]Plant data'!$A$1:$AB$315,23,0)</f>
        <v>0.39032796540339298</v>
      </c>
      <c r="Z120" s="8" t="str">
        <f>VLOOKUP($B120,'[1]Plant data'!$A$1:$AB$315,24,0)</f>
        <v>NA</v>
      </c>
      <c r="AA120" s="8">
        <f>VLOOKUP($B120,'[1]Plant data'!$A$1:$AB$315,25,0)</f>
        <v>0.72599999999999998</v>
      </c>
      <c r="AB120" s="8">
        <f>SUMIF(X120:Y120,"&gt;0.00001")</f>
        <v>0.48074765397763713</v>
      </c>
    </row>
    <row r="121" spans="1:28">
      <c r="A121" s="5" t="s">
        <v>65</v>
      </c>
      <c r="B121" s="6" t="s">
        <v>66</v>
      </c>
      <c r="C121" s="53">
        <v>2</v>
      </c>
      <c r="D121" s="58">
        <v>14.2</v>
      </c>
      <c r="E121" s="8">
        <f>C121/D121</f>
        <v>0.14084507042253522</v>
      </c>
      <c r="F121" s="54" t="s">
        <v>19</v>
      </c>
      <c r="G121" s="41">
        <v>34.06666666666667</v>
      </c>
      <c r="H121" s="23">
        <f>E121*G121</f>
        <v>4.7981220657276999</v>
      </c>
      <c r="I121" t="s">
        <v>23</v>
      </c>
      <c r="J121" s="11">
        <v>11</v>
      </c>
      <c r="K121" s="11">
        <v>6.1466666669999999</v>
      </c>
      <c r="L121" t="str">
        <f>VLOOKUP(B121,'[1]Plant data'!$A$1:$AB$315,2,0)</f>
        <v>Santalaceae</v>
      </c>
      <c r="M121" s="9" t="str">
        <f>VLOOKUP($B121,'[1]Plant data'!$A$1:$AB$315,6,0)</f>
        <v>NA</v>
      </c>
      <c r="N121" s="9" t="str">
        <f>VLOOKUP($B121,'[1]Plant data'!$A$1:$AB$315,7,0)</f>
        <v>NA</v>
      </c>
      <c r="O121" s="8" t="str">
        <f>VLOOKUP($B121,'[1]Plant data'!$A$1:$AB$315,10,0)</f>
        <v>NA</v>
      </c>
      <c r="P121" s="8" t="str">
        <f>VLOOKUP($B121,'[1]Plant data'!$A$1:$AB$315,11,0)</f>
        <v>NA</v>
      </c>
      <c r="Q121" s="8" t="str">
        <f>VLOOKUP($B121,'[1]Plant data'!$A$1:$AB$315,12,0)</f>
        <v>NA</v>
      </c>
      <c r="R121" s="8" t="str">
        <f>VLOOKUP($B121,'[1]Plant data'!$A$1:$AB$315,13,0)</f>
        <v>NA</v>
      </c>
      <c r="S121" s="8" t="str">
        <f>VLOOKUP($B121,'[1]Plant data'!$A$1:$AB$315,14,0)</f>
        <v>NA</v>
      </c>
      <c r="T121" s="11" t="str">
        <f>VLOOKUP($B121,'[1]Plant data'!$A$1:$AB$315,15,0)</f>
        <v>NA</v>
      </c>
      <c r="U121" s="9" t="str">
        <f>VLOOKUP($B121,'[1]Plant data'!$A$1:$AB$315,19,0)</f>
        <v>NA</v>
      </c>
      <c r="V121" s="8" t="str">
        <f>VLOOKUP($B121,'[1]Plant data'!$A$1:$AB$315,20,0)</f>
        <v>NA</v>
      </c>
      <c r="W121" s="8" t="str">
        <f>VLOOKUP($B121,'[1]Plant data'!$A$1:$AB$315,21,0)</f>
        <v>NA</v>
      </c>
      <c r="X121" s="8" t="str">
        <f>VLOOKUP($B121,'[1]Plant data'!$A$1:$AB$315,22,0)</f>
        <v>NA</v>
      </c>
      <c r="Y121" s="8" t="str">
        <f>VLOOKUP($B121,'[1]Plant data'!$A$1:$AB$315,23,0)</f>
        <v>NA</v>
      </c>
      <c r="Z121" s="8" t="str">
        <f>VLOOKUP($B121,'[1]Plant data'!$A$1:$AB$315,24,0)</f>
        <v>NA</v>
      </c>
      <c r="AA121" s="8" t="str">
        <f>VLOOKUP($B121,'[1]Plant data'!$A$1:$AB$315,25,0)</f>
        <v>NA</v>
      </c>
      <c r="AB121" s="8" t="s">
        <v>19</v>
      </c>
    </row>
    <row r="122" spans="1:28">
      <c r="A122" s="5" t="s">
        <v>70</v>
      </c>
      <c r="B122" s="6" t="s">
        <v>66</v>
      </c>
      <c r="C122" s="53">
        <v>1</v>
      </c>
      <c r="D122" s="58">
        <v>14.2</v>
      </c>
      <c r="E122" s="8">
        <f>C122/14.2</f>
        <v>7.0422535211267609E-2</v>
      </c>
      <c r="F122" s="54" t="s">
        <v>19</v>
      </c>
      <c r="G122" s="41">
        <v>34.06666666666667</v>
      </c>
      <c r="H122" s="23">
        <f>E122*G122</f>
        <v>2.39906103286385</v>
      </c>
      <c r="I122" t="s">
        <v>23</v>
      </c>
      <c r="J122" s="11">
        <v>15</v>
      </c>
      <c r="K122" s="11">
        <v>6.9235714289999999</v>
      </c>
      <c r="L122" t="str">
        <f>VLOOKUP(B122,'[1]Plant data'!$A$1:$AB$315,2,0)</f>
        <v>Santalaceae</v>
      </c>
      <c r="M122" s="9" t="str">
        <f>VLOOKUP($B122,'[1]Plant data'!$A$1:$AB$315,6,0)</f>
        <v>NA</v>
      </c>
      <c r="N122" s="9" t="str">
        <f>VLOOKUP($B122,'[1]Plant data'!$A$1:$AB$315,7,0)</f>
        <v>NA</v>
      </c>
      <c r="O122" s="8" t="str">
        <f>VLOOKUP($B122,'[1]Plant data'!$A$1:$AB$315,10,0)</f>
        <v>NA</v>
      </c>
      <c r="P122" s="8" t="str">
        <f>VLOOKUP($B122,'[1]Plant data'!$A$1:$AB$315,11,0)</f>
        <v>NA</v>
      </c>
      <c r="Q122" s="8" t="str">
        <f>VLOOKUP($B122,'[1]Plant data'!$A$1:$AB$315,12,0)</f>
        <v>NA</v>
      </c>
      <c r="R122" s="8" t="str">
        <f>VLOOKUP($B122,'[1]Plant data'!$A$1:$AB$315,13,0)</f>
        <v>NA</v>
      </c>
      <c r="S122" s="8" t="str">
        <f>VLOOKUP($B122,'[1]Plant data'!$A$1:$AB$315,14,0)</f>
        <v>NA</v>
      </c>
      <c r="T122" s="11" t="str">
        <f>VLOOKUP($B122,'[1]Plant data'!$A$1:$AB$315,15,0)</f>
        <v>NA</v>
      </c>
      <c r="U122" s="9" t="str">
        <f>VLOOKUP($B122,'[1]Plant data'!$A$1:$AB$315,19,0)</f>
        <v>NA</v>
      </c>
      <c r="V122" s="8" t="str">
        <f>VLOOKUP($B122,'[1]Plant data'!$A$1:$AB$315,20,0)</f>
        <v>NA</v>
      </c>
      <c r="W122" s="8" t="str">
        <f>VLOOKUP($B122,'[1]Plant data'!$A$1:$AB$315,21,0)</f>
        <v>NA</v>
      </c>
      <c r="X122" s="8" t="str">
        <f>VLOOKUP($B122,'[1]Plant data'!$A$1:$AB$315,22,0)</f>
        <v>NA</v>
      </c>
      <c r="Y122" s="8" t="str">
        <f>VLOOKUP($B122,'[1]Plant data'!$A$1:$AB$315,23,0)</f>
        <v>NA</v>
      </c>
      <c r="Z122" s="8" t="str">
        <f>VLOOKUP($B122,'[1]Plant data'!$A$1:$AB$315,24,0)</f>
        <v>NA</v>
      </c>
      <c r="AA122" s="8" t="str">
        <f>VLOOKUP($B122,'[1]Plant data'!$A$1:$AB$315,25,0)</f>
        <v>NA</v>
      </c>
      <c r="AB122" s="8" t="s">
        <v>19</v>
      </c>
    </row>
    <row r="123" spans="1:28">
      <c r="A123" s="21" t="s">
        <v>70</v>
      </c>
      <c r="B123" s="22" t="s">
        <v>223</v>
      </c>
      <c r="C123" s="55">
        <v>2</v>
      </c>
      <c r="D123" s="17">
        <v>32</v>
      </c>
      <c r="E123" s="23">
        <f>C123/32</f>
        <v>6.25E-2</v>
      </c>
      <c r="F123" s="55">
        <v>122</v>
      </c>
      <c r="G123" s="9">
        <f>F123/C123</f>
        <v>61</v>
      </c>
      <c r="H123" s="23">
        <f>E123*G123</f>
        <v>3.8125</v>
      </c>
      <c r="I123" s="16" t="s">
        <v>23</v>
      </c>
      <c r="J123" s="17">
        <v>15</v>
      </c>
      <c r="K123" s="17">
        <v>6.9235714289999999</v>
      </c>
      <c r="L123" t="str">
        <f>VLOOKUP(B123,'[1]Plant data'!$A$1:$AB$315,2,0)</f>
        <v>Santalaceae</v>
      </c>
      <c r="M123" s="9">
        <f>VLOOKUP($B123,'[1]Plant data'!$A$1:$AB$315,6,0)</f>
        <v>3.9666666666666668</v>
      </c>
      <c r="N123" s="9">
        <f>VLOOKUP($B123,'[1]Plant data'!$A$1:$AB$315,7,0)</f>
        <v>4.7666666666666666</v>
      </c>
      <c r="O123" s="8">
        <f>VLOOKUP($B123,'[1]Plant data'!$A$1:$AB$315,10,0)</f>
        <v>0.04</v>
      </c>
      <c r="P123" s="8" t="str">
        <f>VLOOKUP($B123,'[1]Plant data'!$A$1:$AB$315,11,0)</f>
        <v>NA</v>
      </c>
      <c r="Q123" s="8" t="str">
        <f>VLOOKUP($B123,'[1]Plant data'!$A$1:$AB$315,12,0)</f>
        <v>NA</v>
      </c>
      <c r="R123" s="8" t="str">
        <f>VLOOKUP($B123,'[1]Plant data'!$A$1:$AB$315,13,0)</f>
        <v>NA</v>
      </c>
      <c r="S123" s="8" t="str">
        <f>VLOOKUP($B123,'[1]Plant data'!$A$1:$AB$315,14,0)</f>
        <v>NA</v>
      </c>
      <c r="T123" s="11">
        <f>VLOOKUP($B123,'[1]Plant data'!$A$1:$AB$315,15,0)</f>
        <v>1</v>
      </c>
      <c r="U123" s="9">
        <f>VLOOKUP($B123,'[1]Plant data'!$A$1:$AB$315,19,0)</f>
        <v>0.92200000000000004</v>
      </c>
      <c r="V123" s="8" t="str">
        <f>VLOOKUP($B123,'[1]Plant data'!$A$1:$AB$315,20,0)</f>
        <v>NA</v>
      </c>
      <c r="W123" s="8" t="str">
        <f>VLOOKUP($B123,'[1]Plant data'!$A$1:$AB$315,21,0)</f>
        <v>NA</v>
      </c>
      <c r="X123" s="8" t="str">
        <f>VLOOKUP($B123,'[1]Plant data'!$A$1:$AB$315,22,0)</f>
        <v>NA</v>
      </c>
      <c r="Y123" s="8" t="str">
        <f>VLOOKUP($B123,'[1]Plant data'!$A$1:$AB$315,23,0)</f>
        <v>NA</v>
      </c>
      <c r="Z123" s="8" t="str">
        <f>VLOOKUP($B123,'[1]Plant data'!$A$1:$AB$315,24,0)</f>
        <v>NA</v>
      </c>
      <c r="AA123" s="8" t="str">
        <f>VLOOKUP($B123,'[1]Plant data'!$A$1:$AB$315,25,0)</f>
        <v>NA</v>
      </c>
      <c r="AB123" s="8" t="s">
        <v>19</v>
      </c>
    </row>
    <row r="124" spans="1:28">
      <c r="A124" s="18" t="s">
        <v>65</v>
      </c>
      <c r="B124" s="80" t="s">
        <v>218</v>
      </c>
      <c r="C124" s="53">
        <v>73</v>
      </c>
      <c r="D124" s="58">
        <v>40</v>
      </c>
      <c r="E124" s="8">
        <f>C124/D124</f>
        <v>1.825</v>
      </c>
      <c r="F124" s="54" t="s">
        <v>19</v>
      </c>
      <c r="G124" s="9">
        <v>19.899999999999999</v>
      </c>
      <c r="H124" s="23">
        <f>E124*G124</f>
        <v>36.317499999999995</v>
      </c>
      <c r="I124" t="s">
        <v>23</v>
      </c>
      <c r="J124" s="11">
        <v>11</v>
      </c>
      <c r="K124" s="11">
        <v>6.1466666669999999</v>
      </c>
      <c r="L124" t="str">
        <f>VLOOKUP(B124,'[1]Plant data'!$A$1:$AB$315,2,0)</f>
        <v>Santalaceae</v>
      </c>
      <c r="M124" s="9">
        <f>VLOOKUP($B124,'[1]Plant data'!$A$1:$AB$315,6,0)</f>
        <v>3.3</v>
      </c>
      <c r="N124" s="9">
        <f>VLOOKUP($B124,'[1]Plant data'!$A$1:$AB$315,7,0)</f>
        <v>4.2</v>
      </c>
      <c r="O124" s="8" t="str">
        <f>VLOOKUP($B124,'[1]Plant data'!$A$1:$AB$315,10,0)</f>
        <v>NA</v>
      </c>
      <c r="P124" s="8" t="str">
        <f>VLOOKUP($B124,'[1]Plant data'!$A$1:$AB$315,11,0)</f>
        <v>NA</v>
      </c>
      <c r="Q124" s="8" t="str">
        <f>VLOOKUP($B124,'[1]Plant data'!$A$1:$AB$315,12,0)</f>
        <v>NA</v>
      </c>
      <c r="R124" s="8" t="str">
        <f>VLOOKUP($B124,'[1]Plant data'!$A$1:$AB$315,13,0)</f>
        <v>NA</v>
      </c>
      <c r="S124" s="8" t="str">
        <f>VLOOKUP($B124,'[1]Plant data'!$A$1:$AB$315,14,0)</f>
        <v>NA</v>
      </c>
      <c r="T124" s="11">
        <f>VLOOKUP($B124,'[1]Plant data'!$A$1:$AB$315,15,0)</f>
        <v>1</v>
      </c>
      <c r="U124" s="9" t="str">
        <f>VLOOKUP($B124,'[1]Plant data'!$A$1:$AB$315,19,0)</f>
        <v>NA</v>
      </c>
      <c r="V124" s="8" t="str">
        <f>VLOOKUP($B124,'[1]Plant data'!$A$1:$AB$315,20,0)</f>
        <v>NA</v>
      </c>
      <c r="W124" s="8" t="str">
        <f>VLOOKUP($B124,'[1]Plant data'!$A$1:$AB$315,21,0)</f>
        <v>NA</v>
      </c>
      <c r="X124" s="8" t="str">
        <f>VLOOKUP($B124,'[1]Plant data'!$A$1:$AB$315,22,0)</f>
        <v>NA</v>
      </c>
      <c r="Y124" s="8" t="str">
        <f>VLOOKUP($B124,'[1]Plant data'!$A$1:$AB$315,23,0)</f>
        <v>NA</v>
      </c>
      <c r="Z124" s="8" t="str">
        <f>VLOOKUP($B124,'[1]Plant data'!$A$1:$AB$315,24,0)</f>
        <v>NA</v>
      </c>
      <c r="AA124" s="8" t="str">
        <f>VLOOKUP($B124,'[1]Plant data'!$A$1:$AB$315,25,0)</f>
        <v>NA</v>
      </c>
      <c r="AB124" s="8" t="s">
        <v>19</v>
      </c>
    </row>
    <row r="125" spans="1:28">
      <c r="A125" s="18" t="s">
        <v>65</v>
      </c>
      <c r="B125" s="80" t="s">
        <v>218</v>
      </c>
      <c r="C125" s="53">
        <v>67</v>
      </c>
      <c r="D125" s="58">
        <v>40</v>
      </c>
      <c r="E125" s="8">
        <f>C125/D125</f>
        <v>1.675</v>
      </c>
      <c r="F125" s="54" t="s">
        <v>19</v>
      </c>
      <c r="G125" s="9">
        <v>21.3</v>
      </c>
      <c r="H125" s="23">
        <f>E125*G125</f>
        <v>35.677500000000002</v>
      </c>
      <c r="I125" t="s">
        <v>23</v>
      </c>
      <c r="J125" s="11">
        <v>11</v>
      </c>
      <c r="K125" s="11">
        <v>6.1466666669999999</v>
      </c>
      <c r="L125" t="str">
        <f>VLOOKUP(B125,'[1]Plant data'!$A$1:$AB$315,2,0)</f>
        <v>Santalaceae</v>
      </c>
      <c r="M125" s="9">
        <f>VLOOKUP($B125,'[1]Plant data'!$A$1:$AB$315,6,0)</f>
        <v>3.3</v>
      </c>
      <c r="N125" s="9">
        <f>VLOOKUP($B125,'[1]Plant data'!$A$1:$AB$315,7,0)</f>
        <v>4.2</v>
      </c>
      <c r="O125" s="8" t="str">
        <f>VLOOKUP($B125,'[1]Plant data'!$A$1:$AB$315,10,0)</f>
        <v>NA</v>
      </c>
      <c r="P125" s="8" t="str">
        <f>VLOOKUP($B125,'[1]Plant data'!$A$1:$AB$315,11,0)</f>
        <v>NA</v>
      </c>
      <c r="Q125" s="8" t="str">
        <f>VLOOKUP($B125,'[1]Plant data'!$A$1:$AB$315,12,0)</f>
        <v>NA</v>
      </c>
      <c r="R125" s="8" t="str">
        <f>VLOOKUP($B125,'[1]Plant data'!$A$1:$AB$315,13,0)</f>
        <v>NA</v>
      </c>
      <c r="S125" s="8" t="str">
        <f>VLOOKUP($B125,'[1]Plant data'!$A$1:$AB$315,14,0)</f>
        <v>NA</v>
      </c>
      <c r="T125" s="11">
        <f>VLOOKUP($B125,'[1]Plant data'!$A$1:$AB$315,15,0)</f>
        <v>1</v>
      </c>
      <c r="U125" s="9" t="str">
        <f>VLOOKUP($B125,'[1]Plant data'!$A$1:$AB$315,19,0)</f>
        <v>NA</v>
      </c>
      <c r="V125" s="8" t="str">
        <f>VLOOKUP($B125,'[1]Plant data'!$A$1:$AB$315,20,0)</f>
        <v>NA</v>
      </c>
      <c r="W125" s="8" t="str">
        <f>VLOOKUP($B125,'[1]Plant data'!$A$1:$AB$315,21,0)</f>
        <v>NA</v>
      </c>
      <c r="X125" s="8" t="str">
        <f>VLOOKUP($B125,'[1]Plant data'!$A$1:$AB$315,22,0)</f>
        <v>NA</v>
      </c>
      <c r="Y125" s="8" t="str">
        <f>VLOOKUP($B125,'[1]Plant data'!$A$1:$AB$315,23,0)</f>
        <v>NA</v>
      </c>
      <c r="Z125" s="8" t="str">
        <f>VLOOKUP($B125,'[1]Plant data'!$A$1:$AB$315,24,0)</f>
        <v>NA</v>
      </c>
      <c r="AA125" s="8" t="str">
        <f>VLOOKUP($B125,'[1]Plant data'!$A$1:$AB$315,25,0)</f>
        <v>NA</v>
      </c>
      <c r="AB125" s="8" t="s">
        <v>19</v>
      </c>
    </row>
    <row r="126" spans="1:28">
      <c r="A126" s="5" t="s">
        <v>41</v>
      </c>
      <c r="B126" s="14" t="s">
        <v>187</v>
      </c>
      <c r="C126" s="53">
        <v>1</v>
      </c>
      <c r="D126" s="11">
        <v>2</v>
      </c>
      <c r="E126" s="8">
        <f>C126/2</f>
        <v>0.5</v>
      </c>
      <c r="F126" s="54" t="s">
        <v>19</v>
      </c>
      <c r="G126" s="9" t="s">
        <v>19</v>
      </c>
      <c r="H126" s="23" t="s">
        <v>19</v>
      </c>
      <c r="I126" t="s">
        <v>30</v>
      </c>
      <c r="J126" s="11">
        <v>39</v>
      </c>
      <c r="K126" s="11">
        <v>8.2839869279999991</v>
      </c>
      <c r="L126" t="str">
        <f>VLOOKUP(B126,'[1]Plant data'!$A$1:$AB$315,2,0)</f>
        <v>Lauraceae</v>
      </c>
      <c r="M126" s="9">
        <f>VLOOKUP($B126,'[1]Plant data'!$A$1:$AB$315,6,0)</f>
        <v>12</v>
      </c>
      <c r="N126" s="9" t="str">
        <f>VLOOKUP($B126,'[1]Plant data'!$A$1:$AB$315,7,0)</f>
        <v>NA</v>
      </c>
      <c r="O126" s="8">
        <f>VLOOKUP($B126,'[1]Plant data'!$A$1:$AB$315,10,0)</f>
        <v>1.38</v>
      </c>
      <c r="P126" s="8" t="str">
        <f>VLOOKUP($B126,'[1]Plant data'!$A$1:$AB$315,11,0)</f>
        <v>NA</v>
      </c>
      <c r="Q126" s="8" t="str">
        <f>VLOOKUP($B126,'[1]Plant data'!$A$1:$AB$315,12,0)</f>
        <v>NA</v>
      </c>
      <c r="R126" s="8">
        <f>VLOOKUP($B126,'[1]Plant data'!$A$1:$AB$315,13,0)</f>
        <v>0.221</v>
      </c>
      <c r="S126" s="8">
        <f>VLOOKUP($B126,'[1]Plant data'!$A$1:$AB$315,14,0)</f>
        <v>0.221</v>
      </c>
      <c r="T126" s="11">
        <f>VLOOKUP($B126,'[1]Plant data'!$A$1:$AB$315,15,0)</f>
        <v>1</v>
      </c>
      <c r="U126" s="9" t="str">
        <f>VLOOKUP($B126,'[1]Plant data'!$A$1:$AB$315,19,0)</f>
        <v>NA</v>
      </c>
      <c r="V126" s="8">
        <f>VLOOKUP($B126,'[1]Plant data'!$A$1:$AB$315,20,0)</f>
        <v>0.28000000000000003</v>
      </c>
      <c r="W126" s="8">
        <f>VLOOKUP($B126,'[1]Plant data'!$A$1:$AB$315,21,0)</f>
        <v>1.2E-2</v>
      </c>
      <c r="X126" s="8" t="str">
        <f>VLOOKUP($B126,'[1]Plant data'!$A$1:$AB$315,22,0)</f>
        <v>NA</v>
      </c>
      <c r="Y126" s="8" t="str">
        <f>VLOOKUP($B126,'[1]Plant data'!$A$1:$AB$315,23,0)</f>
        <v>NA</v>
      </c>
      <c r="Z126" s="8">
        <f>VLOOKUP($B126,'[1]Plant data'!$A$1:$AB$315,24,0)</f>
        <v>0.09</v>
      </c>
      <c r="AA126" s="8" t="str">
        <f>VLOOKUP($B126,'[1]Plant data'!$A$1:$AB$315,25,0)</f>
        <v>NA</v>
      </c>
      <c r="AB126" s="8" t="s">
        <v>19</v>
      </c>
    </row>
    <row r="127" spans="1:28">
      <c r="A127" s="5" t="s">
        <v>43</v>
      </c>
      <c r="B127" s="14" t="s">
        <v>187</v>
      </c>
      <c r="C127" s="53">
        <v>1</v>
      </c>
      <c r="D127" s="11">
        <v>2</v>
      </c>
      <c r="E127" s="8">
        <f>C127/2</f>
        <v>0.5</v>
      </c>
      <c r="F127" s="54" t="s">
        <v>19</v>
      </c>
      <c r="G127" s="9" t="s">
        <v>19</v>
      </c>
      <c r="H127" s="23" t="s">
        <v>19</v>
      </c>
      <c r="I127" t="s">
        <v>30</v>
      </c>
      <c r="J127" s="11">
        <v>32.5</v>
      </c>
      <c r="K127" s="11">
        <v>8.9205555560000001</v>
      </c>
      <c r="L127" t="str">
        <f>VLOOKUP(B127,'[1]Plant data'!$A$1:$AB$315,2,0)</f>
        <v>Lauraceae</v>
      </c>
      <c r="M127" s="9">
        <f>VLOOKUP($B127,'[1]Plant data'!$A$1:$AB$315,6,0)</f>
        <v>12</v>
      </c>
      <c r="N127" s="9" t="str">
        <f>VLOOKUP($B127,'[1]Plant data'!$A$1:$AB$315,7,0)</f>
        <v>NA</v>
      </c>
      <c r="O127" s="8">
        <f>VLOOKUP($B127,'[1]Plant data'!$A$1:$AB$315,10,0)</f>
        <v>1.38</v>
      </c>
      <c r="P127" s="8" t="str">
        <f>VLOOKUP($B127,'[1]Plant data'!$A$1:$AB$315,11,0)</f>
        <v>NA</v>
      </c>
      <c r="Q127" s="8" t="str">
        <f>VLOOKUP($B127,'[1]Plant data'!$A$1:$AB$315,12,0)</f>
        <v>NA</v>
      </c>
      <c r="R127" s="8">
        <f>VLOOKUP($B127,'[1]Plant data'!$A$1:$AB$315,13,0)</f>
        <v>0.221</v>
      </c>
      <c r="S127" s="8">
        <f>VLOOKUP($B127,'[1]Plant data'!$A$1:$AB$315,14,0)</f>
        <v>0.221</v>
      </c>
      <c r="T127" s="11">
        <f>VLOOKUP($B127,'[1]Plant data'!$A$1:$AB$315,15,0)</f>
        <v>1</v>
      </c>
      <c r="U127" s="9" t="str">
        <f>VLOOKUP($B127,'[1]Plant data'!$A$1:$AB$315,19,0)</f>
        <v>NA</v>
      </c>
      <c r="V127" s="8">
        <f>VLOOKUP($B127,'[1]Plant data'!$A$1:$AB$315,20,0)</f>
        <v>0.28000000000000003</v>
      </c>
      <c r="W127" s="8">
        <f>VLOOKUP($B127,'[1]Plant data'!$A$1:$AB$315,21,0)</f>
        <v>1.2E-2</v>
      </c>
      <c r="X127" s="8" t="str">
        <f>VLOOKUP($B127,'[1]Plant data'!$A$1:$AB$315,22,0)</f>
        <v>NA</v>
      </c>
      <c r="Y127" s="8" t="str">
        <f>VLOOKUP($B127,'[1]Plant data'!$A$1:$AB$315,23,0)</f>
        <v>NA</v>
      </c>
      <c r="Z127" s="8">
        <f>VLOOKUP($B127,'[1]Plant data'!$A$1:$AB$315,24,0)</f>
        <v>0.09</v>
      </c>
      <c r="AA127" s="8" t="str">
        <f>VLOOKUP($B127,'[1]Plant data'!$A$1:$AB$315,25,0)</f>
        <v>NA</v>
      </c>
      <c r="AB127" s="8" t="s">
        <v>19</v>
      </c>
    </row>
    <row r="128" spans="1:28">
      <c r="A128" s="5" t="s">
        <v>50</v>
      </c>
      <c r="B128" s="14" t="s">
        <v>187</v>
      </c>
      <c r="C128" s="53">
        <v>6</v>
      </c>
      <c r="D128" s="11">
        <v>2</v>
      </c>
      <c r="E128" s="8">
        <f>C128/2</f>
        <v>3</v>
      </c>
      <c r="F128" s="54" t="s">
        <v>19</v>
      </c>
      <c r="G128" s="19">
        <v>4</v>
      </c>
      <c r="H128" s="23">
        <f>E128*G128</f>
        <v>12</v>
      </c>
      <c r="I128" t="s">
        <v>47</v>
      </c>
      <c r="J128" s="11">
        <v>69.5</v>
      </c>
      <c r="K128" s="11">
        <v>13.253214290000001</v>
      </c>
      <c r="L128" t="str">
        <f>VLOOKUP(B128,'[1]Plant data'!$A$1:$AB$315,2,0)</f>
        <v>Lauraceae</v>
      </c>
      <c r="M128" s="9">
        <f>VLOOKUP($B128,'[1]Plant data'!$A$1:$AB$315,6,0)</f>
        <v>12</v>
      </c>
      <c r="N128" s="9" t="str">
        <f>VLOOKUP($B128,'[1]Plant data'!$A$1:$AB$315,7,0)</f>
        <v>NA</v>
      </c>
      <c r="O128" s="8">
        <f>VLOOKUP($B128,'[1]Plant data'!$A$1:$AB$315,10,0)</f>
        <v>1.38</v>
      </c>
      <c r="P128" s="8" t="str">
        <f>VLOOKUP($B128,'[1]Plant data'!$A$1:$AB$315,11,0)</f>
        <v>NA</v>
      </c>
      <c r="Q128" s="8" t="str">
        <f>VLOOKUP($B128,'[1]Plant data'!$A$1:$AB$315,12,0)</f>
        <v>NA</v>
      </c>
      <c r="R128" s="8">
        <f>VLOOKUP($B128,'[1]Plant data'!$A$1:$AB$315,13,0)</f>
        <v>0.221</v>
      </c>
      <c r="S128" s="8">
        <f>VLOOKUP($B128,'[1]Plant data'!$A$1:$AB$315,14,0)</f>
        <v>0.221</v>
      </c>
      <c r="T128" s="11">
        <f>VLOOKUP($B128,'[1]Plant data'!$A$1:$AB$315,15,0)</f>
        <v>1</v>
      </c>
      <c r="U128" s="9" t="str">
        <f>VLOOKUP($B128,'[1]Plant data'!$A$1:$AB$315,19,0)</f>
        <v>NA</v>
      </c>
      <c r="V128" s="8">
        <f>VLOOKUP($B128,'[1]Plant data'!$A$1:$AB$315,20,0)</f>
        <v>0.28000000000000003</v>
      </c>
      <c r="W128" s="8">
        <f>VLOOKUP($B128,'[1]Plant data'!$A$1:$AB$315,21,0)</f>
        <v>1.2E-2</v>
      </c>
      <c r="X128" s="8" t="str">
        <f>VLOOKUP($B128,'[1]Plant data'!$A$1:$AB$315,22,0)</f>
        <v>NA</v>
      </c>
      <c r="Y128" s="8" t="str">
        <f>VLOOKUP($B128,'[1]Plant data'!$A$1:$AB$315,23,0)</f>
        <v>NA</v>
      </c>
      <c r="Z128" s="8">
        <f>VLOOKUP($B128,'[1]Plant data'!$A$1:$AB$315,24,0)</f>
        <v>0.09</v>
      </c>
      <c r="AA128" s="8" t="str">
        <f>VLOOKUP($B128,'[1]Plant data'!$A$1:$AB$315,25,0)</f>
        <v>NA</v>
      </c>
      <c r="AB128" s="8" t="s">
        <v>19</v>
      </c>
    </row>
    <row r="129" spans="1:28">
      <c r="A129" s="18" t="s">
        <v>28</v>
      </c>
      <c r="B129" s="6" t="s">
        <v>60</v>
      </c>
      <c r="C129" s="55">
        <v>3</v>
      </c>
      <c r="D129" s="17">
        <v>254</v>
      </c>
      <c r="E129" s="8">
        <f t="shared" ref="E129:E134" si="11">C129/D129</f>
        <v>1.1811023622047244E-2</v>
      </c>
      <c r="F129" s="54" t="s">
        <v>19</v>
      </c>
      <c r="G129" s="9" t="s">
        <v>19</v>
      </c>
      <c r="H129" s="23" t="s">
        <v>19</v>
      </c>
      <c r="I129" t="s">
        <v>30</v>
      </c>
      <c r="J129" s="11">
        <v>18</v>
      </c>
      <c r="K129" s="11">
        <v>7.4188405800000004</v>
      </c>
      <c r="L129" t="str">
        <f>VLOOKUP(B129,'[1]Plant data'!$A$1:$AB$315,2,0)</f>
        <v>Peraceae</v>
      </c>
      <c r="M129" s="9">
        <f>VLOOKUP($B129,'[1]Plant data'!$A$1:$AB$315,6,0)</f>
        <v>3.4259999999999997</v>
      </c>
      <c r="N129" s="9">
        <f>VLOOKUP($B129,'[1]Plant data'!$A$1:$AB$315,7,0)</f>
        <v>5.9160000000000004</v>
      </c>
      <c r="O129" s="8">
        <f>VLOOKUP($B129,'[1]Plant data'!$A$1:$AB$315,10,0)</f>
        <v>2.5499999999999998E-2</v>
      </c>
      <c r="P129" s="8" t="str">
        <f>VLOOKUP($B129,'[1]Plant data'!$A$1:$AB$315,11,0)</f>
        <v>NA</v>
      </c>
      <c r="Q129" s="8">
        <f>VLOOKUP($B129,'[1]Plant data'!$A$1:$AB$315,12,0)</f>
        <v>2.41E-2</v>
      </c>
      <c r="R129" s="8" t="str">
        <f>VLOOKUP($B129,'[1]Plant data'!$A$1:$AB$315,13,0)</f>
        <v>NA</v>
      </c>
      <c r="S129" s="8" t="str">
        <f>VLOOKUP($B129,'[1]Plant data'!$A$1:$AB$315,14,0)</f>
        <v>NA</v>
      </c>
      <c r="T129" s="11">
        <f>VLOOKUP($B129,'[1]Plant data'!$A$1:$AB$315,15,0)</f>
        <v>2.9249999999999998</v>
      </c>
      <c r="U129" s="9" t="str">
        <f>VLOOKUP($B129,'[1]Plant data'!$A$1:$AB$315,19,0)</f>
        <v>NA</v>
      </c>
      <c r="V129" s="8">
        <f>VLOOKUP($B129,'[1]Plant data'!$A$1:$AB$315,20,0)</f>
        <v>0.747</v>
      </c>
      <c r="W129" s="8">
        <f>VLOOKUP($B129,'[1]Plant data'!$A$1:$AB$315,21,0)</f>
        <v>0.16600000000000001</v>
      </c>
      <c r="X129" s="8">
        <f>VLOOKUP($B129,'[1]Plant data'!$A$1:$AB$315,22,0)</f>
        <v>0.03</v>
      </c>
      <c r="Y129" s="8" t="str">
        <f>VLOOKUP($B129,'[1]Plant data'!$A$1:$AB$315,23,0)</f>
        <v>NA</v>
      </c>
      <c r="Z129" s="8" t="str">
        <f>VLOOKUP($B129,'[1]Plant data'!$A$1:$AB$315,24,0)</f>
        <v>NA</v>
      </c>
      <c r="AA129" s="8" t="str">
        <f>VLOOKUP($B129,'[1]Plant data'!$A$1:$AB$315,25,0)</f>
        <v>NA</v>
      </c>
      <c r="AB129" s="8">
        <f>SUMIF(X129:Y129,"&gt;0.00001")</f>
        <v>0.03</v>
      </c>
    </row>
    <row r="130" spans="1:28">
      <c r="A130" s="5" t="s">
        <v>62</v>
      </c>
      <c r="B130" s="6" t="s">
        <v>60</v>
      </c>
      <c r="C130" s="55">
        <v>1</v>
      </c>
      <c r="D130" s="17">
        <v>254</v>
      </c>
      <c r="E130" s="8">
        <f t="shared" si="11"/>
        <v>3.937007874015748E-3</v>
      </c>
      <c r="F130" s="54" t="s">
        <v>19</v>
      </c>
      <c r="G130" s="9" t="s">
        <v>19</v>
      </c>
      <c r="H130" s="23" t="s">
        <v>19</v>
      </c>
      <c r="I130" t="s">
        <v>30</v>
      </c>
      <c r="J130" s="11">
        <v>18.7</v>
      </c>
      <c r="K130" s="11">
        <v>6.1185714290000002</v>
      </c>
      <c r="L130" t="str">
        <f>VLOOKUP(B130,'[1]Plant data'!$A$1:$AB$315,2,0)</f>
        <v>Peraceae</v>
      </c>
      <c r="M130" s="9">
        <f>VLOOKUP($B130,'[1]Plant data'!$A$1:$AB$315,6,0)</f>
        <v>3.4259999999999997</v>
      </c>
      <c r="N130" s="9">
        <f>VLOOKUP($B130,'[1]Plant data'!$A$1:$AB$315,7,0)</f>
        <v>5.9160000000000004</v>
      </c>
      <c r="O130" s="8">
        <f>VLOOKUP($B130,'[1]Plant data'!$A$1:$AB$315,10,0)</f>
        <v>2.5499999999999998E-2</v>
      </c>
      <c r="P130" s="8" t="str">
        <f>VLOOKUP($B130,'[1]Plant data'!$A$1:$AB$315,11,0)</f>
        <v>NA</v>
      </c>
      <c r="Q130" s="8">
        <f>VLOOKUP($B130,'[1]Plant data'!$A$1:$AB$315,12,0)</f>
        <v>2.41E-2</v>
      </c>
      <c r="R130" s="8" t="str">
        <f>VLOOKUP($B130,'[1]Plant data'!$A$1:$AB$315,13,0)</f>
        <v>NA</v>
      </c>
      <c r="S130" s="8" t="str">
        <f>VLOOKUP($B130,'[1]Plant data'!$A$1:$AB$315,14,0)</f>
        <v>NA</v>
      </c>
      <c r="T130" s="11">
        <f>VLOOKUP($B130,'[1]Plant data'!$A$1:$AB$315,15,0)</f>
        <v>2.9249999999999998</v>
      </c>
      <c r="U130" s="9" t="str">
        <f>VLOOKUP($B130,'[1]Plant data'!$A$1:$AB$315,19,0)</f>
        <v>NA</v>
      </c>
      <c r="V130" s="8">
        <f>VLOOKUP($B130,'[1]Plant data'!$A$1:$AB$315,20,0)</f>
        <v>0.747</v>
      </c>
      <c r="W130" s="8">
        <f>VLOOKUP($B130,'[1]Plant data'!$A$1:$AB$315,21,0)</f>
        <v>0.16600000000000001</v>
      </c>
      <c r="X130" s="8">
        <f>VLOOKUP($B130,'[1]Plant data'!$A$1:$AB$315,22,0)</f>
        <v>0.03</v>
      </c>
      <c r="Y130" s="8" t="str">
        <f>VLOOKUP($B130,'[1]Plant data'!$A$1:$AB$315,23,0)</f>
        <v>NA</v>
      </c>
      <c r="Z130" s="8" t="str">
        <f>VLOOKUP($B130,'[1]Plant data'!$A$1:$AB$315,24,0)</f>
        <v>NA</v>
      </c>
      <c r="AA130" s="8" t="str">
        <f>VLOOKUP($B130,'[1]Plant data'!$A$1:$AB$315,25,0)</f>
        <v>NA</v>
      </c>
      <c r="AB130" s="8">
        <f>SUMIF(X130:Y130,"&gt;0.00001")</f>
        <v>0.03</v>
      </c>
    </row>
    <row r="131" spans="1:28">
      <c r="A131" s="5" t="s">
        <v>41</v>
      </c>
      <c r="B131" s="14" t="s">
        <v>60</v>
      </c>
      <c r="C131" s="53">
        <v>1</v>
      </c>
      <c r="D131" s="11">
        <v>254</v>
      </c>
      <c r="E131" s="8">
        <f t="shared" si="11"/>
        <v>3.937007874015748E-3</v>
      </c>
      <c r="F131" s="54" t="s">
        <v>19</v>
      </c>
      <c r="G131" s="9" t="s">
        <v>19</v>
      </c>
      <c r="H131" s="23" t="s">
        <v>19</v>
      </c>
      <c r="I131" t="s">
        <v>30</v>
      </c>
      <c r="J131" s="11">
        <v>39</v>
      </c>
      <c r="K131" s="11">
        <v>8.2839869279999991</v>
      </c>
      <c r="L131" t="str">
        <f>VLOOKUP(B131,'[1]Plant data'!$A$1:$AB$315,2,0)</f>
        <v>Peraceae</v>
      </c>
      <c r="M131" s="9">
        <f>VLOOKUP($B131,'[1]Plant data'!$A$1:$AB$315,6,0)</f>
        <v>3.4259999999999997</v>
      </c>
      <c r="N131" s="9">
        <f>VLOOKUP($B131,'[1]Plant data'!$A$1:$AB$315,7,0)</f>
        <v>5.9160000000000004</v>
      </c>
      <c r="O131" s="8">
        <f>VLOOKUP($B131,'[1]Plant data'!$A$1:$AB$315,10,0)</f>
        <v>2.5499999999999998E-2</v>
      </c>
      <c r="P131" s="8" t="str">
        <f>VLOOKUP($B131,'[1]Plant data'!$A$1:$AB$315,11,0)</f>
        <v>NA</v>
      </c>
      <c r="Q131" s="8">
        <f>VLOOKUP($B131,'[1]Plant data'!$A$1:$AB$315,12,0)</f>
        <v>2.41E-2</v>
      </c>
      <c r="R131" s="8" t="str">
        <f>VLOOKUP($B131,'[1]Plant data'!$A$1:$AB$315,13,0)</f>
        <v>NA</v>
      </c>
      <c r="S131" s="8" t="str">
        <f>VLOOKUP($B131,'[1]Plant data'!$A$1:$AB$315,14,0)</f>
        <v>NA</v>
      </c>
      <c r="T131" s="11">
        <f>VLOOKUP($B131,'[1]Plant data'!$A$1:$AB$315,15,0)</f>
        <v>2.9249999999999998</v>
      </c>
      <c r="U131" s="9" t="str">
        <f>VLOOKUP($B131,'[1]Plant data'!$A$1:$AB$315,19,0)</f>
        <v>NA</v>
      </c>
      <c r="V131" s="8">
        <f>VLOOKUP($B131,'[1]Plant data'!$A$1:$AB$315,20,0)</f>
        <v>0.747</v>
      </c>
      <c r="W131" s="8">
        <f>VLOOKUP($B131,'[1]Plant data'!$A$1:$AB$315,21,0)</f>
        <v>0.16600000000000001</v>
      </c>
      <c r="X131" s="8">
        <f>VLOOKUP($B131,'[1]Plant data'!$A$1:$AB$315,22,0)</f>
        <v>0.03</v>
      </c>
      <c r="Y131" s="8" t="str">
        <f>VLOOKUP($B131,'[1]Plant data'!$A$1:$AB$315,23,0)</f>
        <v>NA</v>
      </c>
      <c r="Z131" s="8" t="str">
        <f>VLOOKUP($B131,'[1]Plant data'!$A$1:$AB$315,24,0)</f>
        <v>NA</v>
      </c>
      <c r="AA131" s="8" t="str">
        <f>VLOOKUP($B131,'[1]Plant data'!$A$1:$AB$315,25,0)</f>
        <v>NA</v>
      </c>
      <c r="AB131" s="8">
        <f>SUMIF(X131:Y131,"&gt;0.00001")</f>
        <v>0.03</v>
      </c>
    </row>
    <row r="132" spans="1:28">
      <c r="A132" s="20" t="s">
        <v>28</v>
      </c>
      <c r="B132" s="14" t="s">
        <v>59</v>
      </c>
      <c r="C132" s="55">
        <v>7</v>
      </c>
      <c r="D132" s="17">
        <v>254</v>
      </c>
      <c r="E132" s="8">
        <f t="shared" si="11"/>
        <v>2.7559055118110236E-2</v>
      </c>
      <c r="F132" s="54" t="s">
        <v>19</v>
      </c>
      <c r="G132" s="9" t="s">
        <v>19</v>
      </c>
      <c r="H132" s="23" t="s">
        <v>19</v>
      </c>
      <c r="I132" t="s">
        <v>30</v>
      </c>
      <c r="J132" s="11">
        <v>18</v>
      </c>
      <c r="K132" s="11">
        <v>7.4188405800000004</v>
      </c>
      <c r="L132" t="str">
        <f>VLOOKUP(B132,'[1]Plant data'!$A$1:$AB$315,2,0)</f>
        <v>Sapindaceae</v>
      </c>
      <c r="M132" s="9" t="str">
        <f>VLOOKUP($B132,'[1]Plant data'!$A$1:$AB$315,6,0)</f>
        <v>NA</v>
      </c>
      <c r="N132" s="9" t="str">
        <f>VLOOKUP($B132,'[1]Plant data'!$A$1:$AB$315,7,0)</f>
        <v>NA</v>
      </c>
      <c r="O132" s="8" t="str">
        <f>VLOOKUP($B132,'[1]Plant data'!$A$1:$AB$315,10,0)</f>
        <v>NA</v>
      </c>
      <c r="P132" s="8" t="str">
        <f>VLOOKUP($B132,'[1]Plant data'!$A$1:$AB$315,11,0)</f>
        <v>NA</v>
      </c>
      <c r="Q132" s="8" t="str">
        <f>VLOOKUP($B132,'[1]Plant data'!$A$1:$AB$315,12,0)</f>
        <v>NA</v>
      </c>
      <c r="R132" s="8" t="str">
        <f>VLOOKUP($B132,'[1]Plant data'!$A$1:$AB$315,13,0)</f>
        <v>NA</v>
      </c>
      <c r="S132" s="8" t="str">
        <f>VLOOKUP($B132,'[1]Plant data'!$A$1:$AB$315,14,0)</f>
        <v>NA</v>
      </c>
      <c r="T132" s="11" t="str">
        <f>VLOOKUP($B132,'[1]Plant data'!$A$1:$AB$315,15,0)</f>
        <v>NA</v>
      </c>
      <c r="U132" s="9" t="str">
        <f>VLOOKUP($B132,'[1]Plant data'!$A$1:$AB$315,19,0)</f>
        <v>NA</v>
      </c>
      <c r="V132" s="8" t="str">
        <f>VLOOKUP($B132,'[1]Plant data'!$A$1:$AB$315,20,0)</f>
        <v>NA</v>
      </c>
      <c r="W132" s="8" t="str">
        <f>VLOOKUP($B132,'[1]Plant data'!$A$1:$AB$315,21,0)</f>
        <v>NA</v>
      </c>
      <c r="X132" s="8" t="str">
        <f>VLOOKUP($B132,'[1]Plant data'!$A$1:$AB$315,22,0)</f>
        <v>NA</v>
      </c>
      <c r="Y132" s="8" t="str">
        <f>VLOOKUP($B132,'[1]Plant data'!$A$1:$AB$315,23,0)</f>
        <v>NA</v>
      </c>
      <c r="Z132" s="8" t="str">
        <f>VLOOKUP($B132,'[1]Plant data'!$A$1:$AB$315,24,0)</f>
        <v>NA</v>
      </c>
      <c r="AA132" s="8" t="str">
        <f>VLOOKUP($B132,'[1]Plant data'!$A$1:$AB$315,25,0)</f>
        <v>NA</v>
      </c>
      <c r="AB132" s="8" t="s">
        <v>19</v>
      </c>
    </row>
    <row r="133" spans="1:28">
      <c r="A133" s="5" t="s">
        <v>41</v>
      </c>
      <c r="B133" s="14" t="s">
        <v>59</v>
      </c>
      <c r="C133" s="55">
        <v>1</v>
      </c>
      <c r="D133" s="17">
        <v>254</v>
      </c>
      <c r="E133" s="8">
        <f t="shared" si="11"/>
        <v>3.937007874015748E-3</v>
      </c>
      <c r="F133" s="54" t="s">
        <v>19</v>
      </c>
      <c r="G133" s="41">
        <v>1.25</v>
      </c>
      <c r="H133" s="23">
        <f t="shared" ref="H133:H138" si="12">E133*G133</f>
        <v>4.921259842519685E-3</v>
      </c>
      <c r="I133" t="s">
        <v>30</v>
      </c>
      <c r="J133" s="11">
        <v>39</v>
      </c>
      <c r="K133" s="11">
        <v>8.2839869279999991</v>
      </c>
      <c r="L133" t="str">
        <f>VLOOKUP(B133,'[1]Plant data'!$A$1:$AB$315,2,0)</f>
        <v>Sapindaceae</v>
      </c>
      <c r="M133" s="9" t="str">
        <f>VLOOKUP($B133,'[1]Plant data'!$A$1:$AB$315,6,0)</f>
        <v>NA</v>
      </c>
      <c r="N133" s="9" t="str">
        <f>VLOOKUP($B133,'[1]Plant data'!$A$1:$AB$315,7,0)</f>
        <v>NA</v>
      </c>
      <c r="O133" s="8" t="str">
        <f>VLOOKUP($B133,'[1]Plant data'!$A$1:$AB$315,10,0)</f>
        <v>NA</v>
      </c>
      <c r="P133" s="8" t="str">
        <f>VLOOKUP($B133,'[1]Plant data'!$A$1:$AB$315,11,0)</f>
        <v>NA</v>
      </c>
      <c r="Q133" s="8" t="str">
        <f>VLOOKUP($B133,'[1]Plant data'!$A$1:$AB$315,12,0)</f>
        <v>NA</v>
      </c>
      <c r="R133" s="8" t="str">
        <f>VLOOKUP($B133,'[1]Plant data'!$A$1:$AB$315,13,0)</f>
        <v>NA</v>
      </c>
      <c r="S133" s="8" t="str">
        <f>VLOOKUP($B133,'[1]Plant data'!$A$1:$AB$315,14,0)</f>
        <v>NA</v>
      </c>
      <c r="T133" s="11" t="str">
        <f>VLOOKUP($B133,'[1]Plant data'!$A$1:$AB$315,15,0)</f>
        <v>NA</v>
      </c>
      <c r="U133" s="9" t="str">
        <f>VLOOKUP($B133,'[1]Plant data'!$A$1:$AB$315,19,0)</f>
        <v>NA</v>
      </c>
      <c r="V133" s="8" t="str">
        <f>VLOOKUP($B133,'[1]Plant data'!$A$1:$AB$315,20,0)</f>
        <v>NA</v>
      </c>
      <c r="W133" s="8" t="str">
        <f>VLOOKUP($B133,'[1]Plant data'!$A$1:$AB$315,21,0)</f>
        <v>NA</v>
      </c>
      <c r="X133" s="8" t="str">
        <f>VLOOKUP($B133,'[1]Plant data'!$A$1:$AB$315,22,0)</f>
        <v>NA</v>
      </c>
      <c r="Y133" s="8" t="str">
        <f>VLOOKUP($B133,'[1]Plant data'!$A$1:$AB$315,23,0)</f>
        <v>NA</v>
      </c>
      <c r="Z133" s="8" t="str">
        <f>VLOOKUP($B133,'[1]Plant data'!$A$1:$AB$315,24,0)</f>
        <v>NA</v>
      </c>
      <c r="AA133" s="8" t="str">
        <f>VLOOKUP($B133,'[1]Plant data'!$A$1:$AB$315,25,0)</f>
        <v>NA</v>
      </c>
      <c r="AB133" s="8" t="s">
        <v>19</v>
      </c>
    </row>
    <row r="134" spans="1:28">
      <c r="A134" s="21" t="s">
        <v>43</v>
      </c>
      <c r="B134" s="14" t="s">
        <v>59</v>
      </c>
      <c r="C134" s="55">
        <v>4</v>
      </c>
      <c r="D134" s="17">
        <v>254</v>
      </c>
      <c r="E134" s="8">
        <f t="shared" si="11"/>
        <v>1.5748031496062992E-2</v>
      </c>
      <c r="F134" s="54" t="s">
        <v>19</v>
      </c>
      <c r="G134" s="41">
        <v>1.25</v>
      </c>
      <c r="H134" s="23">
        <f t="shared" si="12"/>
        <v>1.968503937007874E-2</v>
      </c>
      <c r="I134" t="s">
        <v>30</v>
      </c>
      <c r="J134" s="11">
        <v>32.5</v>
      </c>
      <c r="K134" s="11">
        <v>8.9205555560000001</v>
      </c>
      <c r="L134" t="str">
        <f>VLOOKUP(B134,'[1]Plant data'!$A$1:$AB$315,2,0)</f>
        <v>Sapindaceae</v>
      </c>
      <c r="M134" s="9" t="str">
        <f>VLOOKUP($B134,'[1]Plant data'!$A$1:$AB$315,6,0)</f>
        <v>NA</v>
      </c>
      <c r="N134" s="9" t="str">
        <f>VLOOKUP($B134,'[1]Plant data'!$A$1:$AB$315,7,0)</f>
        <v>NA</v>
      </c>
      <c r="O134" s="8" t="str">
        <f>VLOOKUP($B134,'[1]Plant data'!$A$1:$AB$315,10,0)</f>
        <v>NA</v>
      </c>
      <c r="P134" s="8" t="str">
        <f>VLOOKUP($B134,'[1]Plant data'!$A$1:$AB$315,11,0)</f>
        <v>NA</v>
      </c>
      <c r="Q134" s="8" t="str">
        <f>VLOOKUP($B134,'[1]Plant data'!$A$1:$AB$315,12,0)</f>
        <v>NA</v>
      </c>
      <c r="R134" s="8" t="str">
        <f>VLOOKUP($B134,'[1]Plant data'!$A$1:$AB$315,13,0)</f>
        <v>NA</v>
      </c>
      <c r="S134" s="8" t="str">
        <f>VLOOKUP($B134,'[1]Plant data'!$A$1:$AB$315,14,0)</f>
        <v>NA</v>
      </c>
      <c r="T134" s="11" t="str">
        <f>VLOOKUP($B134,'[1]Plant data'!$A$1:$AB$315,15,0)</f>
        <v>NA</v>
      </c>
      <c r="U134" s="9" t="str">
        <f>VLOOKUP($B134,'[1]Plant data'!$A$1:$AB$315,19,0)</f>
        <v>NA</v>
      </c>
      <c r="V134" s="8" t="str">
        <f>VLOOKUP($B134,'[1]Plant data'!$A$1:$AB$315,20,0)</f>
        <v>NA</v>
      </c>
      <c r="W134" s="8" t="str">
        <f>VLOOKUP($B134,'[1]Plant data'!$A$1:$AB$315,21,0)</f>
        <v>NA</v>
      </c>
      <c r="X134" s="8" t="str">
        <f>VLOOKUP($B134,'[1]Plant data'!$A$1:$AB$315,22,0)</f>
        <v>NA</v>
      </c>
      <c r="Y134" s="8" t="str">
        <f>VLOOKUP($B134,'[1]Plant data'!$A$1:$AB$315,23,0)</f>
        <v>NA</v>
      </c>
      <c r="Z134" s="8" t="str">
        <f>VLOOKUP($B134,'[1]Plant data'!$A$1:$AB$315,24,0)</f>
        <v>NA</v>
      </c>
      <c r="AA134" s="8" t="str">
        <f>VLOOKUP($B134,'[1]Plant data'!$A$1:$AB$315,25,0)</f>
        <v>NA</v>
      </c>
      <c r="AB134" s="8" t="s">
        <v>19</v>
      </c>
    </row>
    <row r="135" spans="1:28">
      <c r="A135" s="21" t="s">
        <v>104</v>
      </c>
      <c r="B135" s="22" t="s">
        <v>228</v>
      </c>
      <c r="C135" s="55">
        <v>6</v>
      </c>
      <c r="D135" s="17">
        <v>32</v>
      </c>
      <c r="E135" s="23">
        <f>C135/32</f>
        <v>0.1875</v>
      </c>
      <c r="F135" s="55">
        <v>16</v>
      </c>
      <c r="G135" s="19">
        <v>4</v>
      </c>
      <c r="H135" s="23">
        <f t="shared" si="12"/>
        <v>0.75</v>
      </c>
      <c r="I135" s="16" t="s">
        <v>94</v>
      </c>
      <c r="J135" s="17">
        <v>343.5</v>
      </c>
      <c r="K135" s="17">
        <v>30.107272729999998</v>
      </c>
      <c r="L135" t="str">
        <f>VLOOKUP(B135,'[1]Plant data'!$A$1:$AB$315,2,0)</f>
        <v>Sapindaceae</v>
      </c>
      <c r="M135" s="9">
        <f>VLOOKUP($B135,'[1]Plant data'!$A$1:$AB$315,6,0)</f>
        <v>14.1</v>
      </c>
      <c r="N135" s="9">
        <f>VLOOKUP($B135,'[1]Plant data'!$A$1:$AB$315,7,0)</f>
        <v>12.8</v>
      </c>
      <c r="O135" s="8">
        <f>VLOOKUP($B135,'[1]Plant data'!$A$1:$AB$315,10,0)</f>
        <v>1.6</v>
      </c>
      <c r="P135" s="8" t="str">
        <f>VLOOKUP($B135,'[1]Plant data'!$A$1:$AB$315,11,0)</f>
        <v>NA</v>
      </c>
      <c r="Q135" s="8" t="str">
        <f>VLOOKUP($B135,'[1]Plant data'!$A$1:$AB$315,12,0)</f>
        <v>NA</v>
      </c>
      <c r="R135" s="8" t="str">
        <f>VLOOKUP($B135,'[1]Plant data'!$A$1:$AB$315,13,0)</f>
        <v>NA</v>
      </c>
      <c r="S135" s="8" t="str">
        <f>VLOOKUP($B135,'[1]Plant data'!$A$1:$AB$315,14,0)</f>
        <v>NA</v>
      </c>
      <c r="T135" s="11">
        <f>VLOOKUP($B135,'[1]Plant data'!$A$1:$AB$315,15,0)</f>
        <v>1.1000000000000001</v>
      </c>
      <c r="U135" s="9">
        <f>VLOOKUP($B135,'[1]Plant data'!$A$1:$AB$315,19,0)</f>
        <v>0.621</v>
      </c>
      <c r="V135" s="8">
        <f>VLOOKUP($B135,'[1]Plant data'!$A$1:$AB$315,20,0)</f>
        <v>0.01</v>
      </c>
      <c r="W135" s="8" t="str">
        <f>VLOOKUP($B135,'[1]Plant data'!$A$1:$AB$315,21,0)</f>
        <v>NA</v>
      </c>
      <c r="X135" s="8" t="str">
        <f>VLOOKUP($B135,'[1]Plant data'!$A$1:$AB$315,22,0)</f>
        <v>NA</v>
      </c>
      <c r="Y135" s="8" t="str">
        <f>VLOOKUP($B135,'[1]Plant data'!$A$1:$AB$315,23,0)</f>
        <v>NA</v>
      </c>
      <c r="Z135" s="8" t="str">
        <f>VLOOKUP($B135,'[1]Plant data'!$A$1:$AB$315,24,0)</f>
        <v>NA</v>
      </c>
      <c r="AA135" s="8" t="str">
        <f>VLOOKUP($B135,'[1]Plant data'!$A$1:$AB$315,25,0)</f>
        <v>NA</v>
      </c>
      <c r="AB135" s="8" t="s">
        <v>19</v>
      </c>
    </row>
    <row r="136" spans="1:28">
      <c r="A136" s="21" t="s">
        <v>46</v>
      </c>
      <c r="B136" s="22" t="s">
        <v>228</v>
      </c>
      <c r="C136" s="55">
        <v>4</v>
      </c>
      <c r="D136" s="17">
        <v>32</v>
      </c>
      <c r="E136" s="23">
        <f>C136/32</f>
        <v>0.125</v>
      </c>
      <c r="F136" s="55">
        <v>2</v>
      </c>
      <c r="G136" s="19">
        <v>1</v>
      </c>
      <c r="H136" s="23">
        <f t="shared" si="12"/>
        <v>0.125</v>
      </c>
      <c r="I136" s="16" t="s">
        <v>47</v>
      </c>
      <c r="J136" s="17">
        <v>54</v>
      </c>
      <c r="K136" s="17">
        <v>11.14875</v>
      </c>
      <c r="L136" t="str">
        <f>VLOOKUP(B136,'[1]Plant data'!$A$1:$AB$315,2,0)</f>
        <v>Sapindaceae</v>
      </c>
      <c r="M136" s="9">
        <f>VLOOKUP($B136,'[1]Plant data'!$A$1:$AB$315,6,0)</f>
        <v>14.1</v>
      </c>
      <c r="N136" s="9">
        <f>VLOOKUP($B136,'[1]Plant data'!$A$1:$AB$315,7,0)</f>
        <v>12.8</v>
      </c>
      <c r="O136" s="8">
        <f>VLOOKUP($B136,'[1]Plant data'!$A$1:$AB$315,10,0)</f>
        <v>1.6</v>
      </c>
      <c r="P136" s="8" t="str">
        <f>VLOOKUP($B136,'[1]Plant data'!$A$1:$AB$315,11,0)</f>
        <v>NA</v>
      </c>
      <c r="Q136" s="8" t="str">
        <f>VLOOKUP($B136,'[1]Plant data'!$A$1:$AB$315,12,0)</f>
        <v>NA</v>
      </c>
      <c r="R136" s="8" t="str">
        <f>VLOOKUP($B136,'[1]Plant data'!$A$1:$AB$315,13,0)</f>
        <v>NA</v>
      </c>
      <c r="S136" s="8" t="str">
        <f>VLOOKUP($B136,'[1]Plant data'!$A$1:$AB$315,14,0)</f>
        <v>NA</v>
      </c>
      <c r="T136" s="11">
        <f>VLOOKUP($B136,'[1]Plant data'!$A$1:$AB$315,15,0)</f>
        <v>1.1000000000000001</v>
      </c>
      <c r="U136" s="9">
        <f>VLOOKUP($B136,'[1]Plant data'!$A$1:$AB$315,19,0)</f>
        <v>0.621</v>
      </c>
      <c r="V136" s="8">
        <f>VLOOKUP($B136,'[1]Plant data'!$A$1:$AB$315,20,0)</f>
        <v>0.01</v>
      </c>
      <c r="W136" s="8" t="str">
        <f>VLOOKUP($B136,'[1]Plant data'!$A$1:$AB$315,21,0)</f>
        <v>NA</v>
      </c>
      <c r="X136" s="8" t="str">
        <f>VLOOKUP($B136,'[1]Plant data'!$A$1:$AB$315,22,0)</f>
        <v>NA</v>
      </c>
      <c r="Y136" s="8" t="str">
        <f>VLOOKUP($B136,'[1]Plant data'!$A$1:$AB$315,23,0)</f>
        <v>NA</v>
      </c>
      <c r="Z136" s="8" t="str">
        <f>VLOOKUP($B136,'[1]Plant data'!$A$1:$AB$315,24,0)</f>
        <v>NA</v>
      </c>
      <c r="AA136" s="8" t="str">
        <f>VLOOKUP($B136,'[1]Plant data'!$A$1:$AB$315,25,0)</f>
        <v>NA</v>
      </c>
      <c r="AB136" s="8" t="s">
        <v>19</v>
      </c>
    </row>
    <row r="137" spans="1:28">
      <c r="A137" s="21" t="s">
        <v>50</v>
      </c>
      <c r="B137" s="22" t="s">
        <v>228</v>
      </c>
      <c r="C137" s="55">
        <v>52</v>
      </c>
      <c r="D137" s="17">
        <v>32</v>
      </c>
      <c r="E137" s="23">
        <f>C137/32</f>
        <v>1.625</v>
      </c>
      <c r="F137" s="55">
        <v>35</v>
      </c>
      <c r="G137" s="19">
        <v>1.5</v>
      </c>
      <c r="H137" s="23">
        <f t="shared" si="12"/>
        <v>2.4375</v>
      </c>
      <c r="I137" s="16" t="s">
        <v>47</v>
      </c>
      <c r="J137" s="17">
        <v>69.5</v>
      </c>
      <c r="K137" s="17">
        <v>13.253214290000001</v>
      </c>
      <c r="L137" t="str">
        <f>VLOOKUP(B137,'[1]Plant data'!$A$1:$AB$315,2,0)</f>
        <v>Sapindaceae</v>
      </c>
      <c r="M137" s="9">
        <f>VLOOKUP($B137,'[1]Plant data'!$A$1:$AB$315,6,0)</f>
        <v>14.1</v>
      </c>
      <c r="N137" s="9">
        <f>VLOOKUP($B137,'[1]Plant data'!$A$1:$AB$315,7,0)</f>
        <v>12.8</v>
      </c>
      <c r="O137" s="8">
        <f>VLOOKUP($B137,'[1]Plant data'!$A$1:$AB$315,10,0)</f>
        <v>1.6</v>
      </c>
      <c r="P137" s="8" t="str">
        <f>VLOOKUP($B137,'[1]Plant data'!$A$1:$AB$315,11,0)</f>
        <v>NA</v>
      </c>
      <c r="Q137" s="8" t="str">
        <f>VLOOKUP($B137,'[1]Plant data'!$A$1:$AB$315,12,0)</f>
        <v>NA</v>
      </c>
      <c r="R137" s="8" t="str">
        <f>VLOOKUP($B137,'[1]Plant data'!$A$1:$AB$315,13,0)</f>
        <v>NA</v>
      </c>
      <c r="S137" s="8" t="str">
        <f>VLOOKUP($B137,'[1]Plant data'!$A$1:$AB$315,14,0)</f>
        <v>NA</v>
      </c>
      <c r="T137" s="11">
        <f>VLOOKUP($B137,'[1]Plant data'!$A$1:$AB$315,15,0)</f>
        <v>1.1000000000000001</v>
      </c>
      <c r="U137" s="9">
        <f>VLOOKUP($B137,'[1]Plant data'!$A$1:$AB$315,19,0)</f>
        <v>0.621</v>
      </c>
      <c r="V137" s="8">
        <f>VLOOKUP($B137,'[1]Plant data'!$A$1:$AB$315,20,0)</f>
        <v>0.01</v>
      </c>
      <c r="W137" s="8" t="str">
        <f>VLOOKUP($B137,'[1]Plant data'!$A$1:$AB$315,21,0)</f>
        <v>NA</v>
      </c>
      <c r="X137" s="8" t="str">
        <f>VLOOKUP($B137,'[1]Plant data'!$A$1:$AB$315,22,0)</f>
        <v>NA</v>
      </c>
      <c r="Y137" s="8" t="str">
        <f>VLOOKUP($B137,'[1]Plant data'!$A$1:$AB$315,23,0)</f>
        <v>NA</v>
      </c>
      <c r="Z137" s="8" t="str">
        <f>VLOOKUP($B137,'[1]Plant data'!$A$1:$AB$315,24,0)</f>
        <v>NA</v>
      </c>
      <c r="AA137" s="8" t="str">
        <f>VLOOKUP($B137,'[1]Plant data'!$A$1:$AB$315,25,0)</f>
        <v>NA</v>
      </c>
      <c r="AB137" s="8" t="s">
        <v>19</v>
      </c>
    </row>
    <row r="138" spans="1:28">
      <c r="A138" s="21" t="s">
        <v>50</v>
      </c>
      <c r="B138" s="22" t="s">
        <v>154</v>
      </c>
      <c r="C138" s="55">
        <v>16</v>
      </c>
      <c r="D138" s="17">
        <v>72</v>
      </c>
      <c r="E138" s="23">
        <f>C138/72</f>
        <v>0.22222222222222221</v>
      </c>
      <c r="F138" s="55" t="s">
        <v>19</v>
      </c>
      <c r="G138" s="19">
        <v>8.6</v>
      </c>
      <c r="H138" s="23">
        <f t="shared" si="12"/>
        <v>1.911111111111111</v>
      </c>
      <c r="I138" s="16" t="s">
        <v>47</v>
      </c>
      <c r="J138" s="17">
        <v>69.5</v>
      </c>
      <c r="K138" s="17">
        <v>13.253214290000001</v>
      </c>
      <c r="L138" t="str">
        <f>VLOOKUP(B138,'[1]Plant data'!$A$1:$AB$315,2,0)</f>
        <v>Lauraceae</v>
      </c>
      <c r="M138" s="9">
        <f>VLOOKUP($B138,'[1]Plant data'!$A$1:$AB$315,6,0)</f>
        <v>6.0780000000000003</v>
      </c>
      <c r="N138" s="9">
        <f>VLOOKUP($B138,'[1]Plant data'!$A$1:$AB$315,7,0)</f>
        <v>8.9740000000000002</v>
      </c>
      <c r="O138" s="8">
        <f>VLOOKUP($B138,'[1]Plant data'!$A$1:$AB$315,10,0)</f>
        <v>0.16980000000000001</v>
      </c>
      <c r="P138" s="8">
        <f>VLOOKUP($B138,'[1]Plant data'!$A$1:$AB$315,11,0)</f>
        <v>0.08</v>
      </c>
      <c r="Q138" s="8">
        <f>VLOOKUP($B138,'[1]Plant data'!$A$1:$AB$315,12,0)</f>
        <v>0.11025</v>
      </c>
      <c r="R138" s="8">
        <f>VLOOKUP($B138,'[1]Plant data'!$A$1:$AB$315,13,0)</f>
        <v>7.425000000000001E-2</v>
      </c>
      <c r="S138" s="8">
        <f>VLOOKUP($B138,'[1]Plant data'!$A$1:$AB$315,14,0)</f>
        <v>0.10025000000000001</v>
      </c>
      <c r="T138" s="11">
        <f>VLOOKUP($B138,'[1]Plant data'!$A$1:$AB$315,15,0)</f>
        <v>1</v>
      </c>
      <c r="U138" s="9">
        <f>VLOOKUP($B138,'[1]Plant data'!$A$1:$AB$315,19,0)</f>
        <v>0.65650000000000008</v>
      </c>
      <c r="V138" s="8">
        <f>VLOOKUP($B138,'[1]Plant data'!$A$1:$AB$315,20,0)</f>
        <v>0.60570000000000002</v>
      </c>
      <c r="W138" s="8">
        <f>VLOOKUP($B138,'[1]Plant data'!$A$1:$AB$315,21,0)</f>
        <v>5.1900000000000002E-2</v>
      </c>
      <c r="X138" s="8">
        <f>VLOOKUP($B138,'[1]Plant data'!$A$1:$AB$315,22,0)</f>
        <v>1.5E-3</v>
      </c>
      <c r="Y138" s="8" t="str">
        <f>VLOOKUP($B138,'[1]Plant data'!$A$1:$AB$315,23,0)</f>
        <v>NA</v>
      </c>
      <c r="Z138" s="8" t="str">
        <f>VLOOKUP($B138,'[1]Plant data'!$A$1:$AB$315,24,0)</f>
        <v>NA</v>
      </c>
      <c r="AA138" s="8" t="str">
        <f>VLOOKUP($B138,'[1]Plant data'!$A$1:$AB$315,25,0)</f>
        <v>NA</v>
      </c>
      <c r="AB138" s="8">
        <f>SUMIF(X138:Y138,"&gt;0.00001")</f>
        <v>1.5E-3</v>
      </c>
    </row>
    <row r="139" spans="1:28">
      <c r="A139" s="5" t="s">
        <v>110</v>
      </c>
      <c r="B139" s="15" t="s">
        <v>164</v>
      </c>
      <c r="C139" s="53">
        <v>1</v>
      </c>
      <c r="D139" s="11" t="s">
        <v>19</v>
      </c>
      <c r="E139" s="8" t="s">
        <v>19</v>
      </c>
      <c r="F139" s="54" t="s">
        <v>19</v>
      </c>
      <c r="G139" s="9" t="s">
        <v>19</v>
      </c>
      <c r="H139" s="23" t="s">
        <v>19</v>
      </c>
      <c r="I139" t="s">
        <v>101</v>
      </c>
      <c r="J139" s="11">
        <v>1250</v>
      </c>
      <c r="K139" s="11">
        <v>19.114999999999998</v>
      </c>
      <c r="L139" t="str">
        <f>VLOOKUP(B139,'[1]Plant data'!$A$1:$AB$315,2,0)</f>
        <v>Lauraceae</v>
      </c>
      <c r="M139" s="9">
        <f>VLOOKUP($B139,'[1]Plant data'!$A$1:$AB$315,6,0)</f>
        <v>7.8224999999999998</v>
      </c>
      <c r="N139" s="9">
        <f>VLOOKUP($B139,'[1]Plant data'!$A$1:$AB$315,7,0)</f>
        <v>11.41</v>
      </c>
      <c r="O139" s="8">
        <f>VLOOKUP($B139,'[1]Plant data'!$A$1:$AB$315,10,0)</f>
        <v>0.33</v>
      </c>
      <c r="P139" s="8" t="str">
        <f>VLOOKUP($B139,'[1]Plant data'!$A$1:$AB$315,11,0)</f>
        <v>NA</v>
      </c>
      <c r="Q139" s="8">
        <f>VLOOKUP($B139,'[1]Plant data'!$A$1:$AB$315,12,0)</f>
        <v>0.15</v>
      </c>
      <c r="R139" s="8" t="str">
        <f>VLOOKUP($B139,'[1]Plant data'!$A$1:$AB$315,13,0)</f>
        <v>NA</v>
      </c>
      <c r="S139" s="8" t="str">
        <f>VLOOKUP($B139,'[1]Plant data'!$A$1:$AB$315,14,0)</f>
        <v>NA</v>
      </c>
      <c r="T139" s="11">
        <f>VLOOKUP($B139,'[1]Plant data'!$A$1:$AB$315,15,0)</f>
        <v>1</v>
      </c>
      <c r="U139" s="9">
        <f>VLOOKUP($B139,'[1]Plant data'!$A$1:$AB$315,19,0)</f>
        <v>0.56159999999999999</v>
      </c>
      <c r="V139" s="8">
        <f>VLOOKUP($B139,'[1]Plant data'!$A$1:$AB$315,20,0)</f>
        <v>0.58940000000000003</v>
      </c>
      <c r="W139" s="8">
        <f>VLOOKUP($B139,'[1]Plant data'!$A$1:$AB$315,21,0)</f>
        <v>0.1101</v>
      </c>
      <c r="X139" s="8" t="str">
        <f>VLOOKUP($B139,'[1]Plant data'!$A$1:$AB$315,22,0)</f>
        <v>NA</v>
      </c>
      <c r="Y139" s="8" t="str">
        <f>VLOOKUP($B139,'[1]Plant data'!$A$1:$AB$315,23,0)</f>
        <v>NA</v>
      </c>
      <c r="Z139" s="8" t="str">
        <f>VLOOKUP($B139,'[1]Plant data'!$A$1:$AB$315,24,0)</f>
        <v>NA</v>
      </c>
      <c r="AA139" s="8" t="str">
        <f>VLOOKUP($B139,'[1]Plant data'!$A$1:$AB$315,25,0)</f>
        <v>NA</v>
      </c>
      <c r="AB139" s="8" t="s">
        <v>19</v>
      </c>
    </row>
    <row r="140" spans="1:28">
      <c r="A140" s="5" t="s">
        <v>96</v>
      </c>
      <c r="B140" s="15" t="s">
        <v>164</v>
      </c>
      <c r="C140" s="53">
        <v>5</v>
      </c>
      <c r="D140" s="58">
        <v>70</v>
      </c>
      <c r="E140" s="8">
        <f>C140/70</f>
        <v>7.1428571428571425E-2</v>
      </c>
      <c r="F140" s="56" t="s">
        <v>19</v>
      </c>
      <c r="G140" s="9" t="s">
        <v>19</v>
      </c>
      <c r="H140" s="23" t="s">
        <v>19</v>
      </c>
      <c r="I140" t="s">
        <v>101</v>
      </c>
      <c r="J140" s="11">
        <v>1770</v>
      </c>
      <c r="K140" s="11">
        <v>22.349</v>
      </c>
      <c r="L140" t="str">
        <f>VLOOKUP(B140,'[1]Plant data'!$A$1:$AB$315,2,0)</f>
        <v>Lauraceae</v>
      </c>
      <c r="M140" s="9">
        <f>VLOOKUP($B140,'[1]Plant data'!$A$1:$AB$315,6,0)</f>
        <v>7.8224999999999998</v>
      </c>
      <c r="N140" s="9">
        <f>VLOOKUP($B140,'[1]Plant data'!$A$1:$AB$315,7,0)</f>
        <v>11.41</v>
      </c>
      <c r="O140" s="8">
        <f>VLOOKUP($B140,'[1]Plant data'!$A$1:$AB$315,10,0)</f>
        <v>0.33</v>
      </c>
      <c r="P140" s="8" t="str">
        <f>VLOOKUP($B140,'[1]Plant data'!$A$1:$AB$315,11,0)</f>
        <v>NA</v>
      </c>
      <c r="Q140" s="8">
        <f>VLOOKUP($B140,'[1]Plant data'!$A$1:$AB$315,12,0)</f>
        <v>0.15</v>
      </c>
      <c r="R140" s="8" t="str">
        <f>VLOOKUP($B140,'[1]Plant data'!$A$1:$AB$315,13,0)</f>
        <v>NA</v>
      </c>
      <c r="S140" s="8" t="str">
        <f>VLOOKUP($B140,'[1]Plant data'!$A$1:$AB$315,14,0)</f>
        <v>NA</v>
      </c>
      <c r="T140" s="11">
        <f>VLOOKUP($B140,'[1]Plant data'!$A$1:$AB$315,15,0)</f>
        <v>1</v>
      </c>
      <c r="U140" s="9">
        <f>VLOOKUP($B140,'[1]Plant data'!$A$1:$AB$315,19,0)</f>
        <v>0.56159999999999999</v>
      </c>
      <c r="V140" s="8">
        <f>VLOOKUP($B140,'[1]Plant data'!$A$1:$AB$315,20,0)</f>
        <v>0.58940000000000003</v>
      </c>
      <c r="W140" s="8">
        <f>VLOOKUP($B140,'[1]Plant data'!$A$1:$AB$315,21,0)</f>
        <v>0.1101</v>
      </c>
      <c r="X140" s="8" t="str">
        <f>VLOOKUP($B140,'[1]Plant data'!$A$1:$AB$315,22,0)</f>
        <v>NA</v>
      </c>
      <c r="Y140" s="8" t="str">
        <f>VLOOKUP($B140,'[1]Plant data'!$A$1:$AB$315,23,0)</f>
        <v>NA</v>
      </c>
      <c r="Z140" s="8" t="str">
        <f>VLOOKUP($B140,'[1]Plant data'!$A$1:$AB$315,24,0)</f>
        <v>NA</v>
      </c>
      <c r="AA140" s="8" t="str">
        <f>VLOOKUP($B140,'[1]Plant data'!$A$1:$AB$315,25,0)</f>
        <v>NA</v>
      </c>
      <c r="AB140" s="8" t="s">
        <v>19</v>
      </c>
    </row>
    <row r="141" spans="1:28">
      <c r="A141" s="5" t="s">
        <v>106</v>
      </c>
      <c r="B141" s="14" t="s">
        <v>164</v>
      </c>
      <c r="C141" s="53">
        <v>3</v>
      </c>
      <c r="D141" s="58">
        <v>70</v>
      </c>
      <c r="E141" s="8">
        <f>C141/70</f>
        <v>4.2857142857142858E-2</v>
      </c>
      <c r="F141" s="56" t="s">
        <v>19</v>
      </c>
      <c r="G141" s="9">
        <v>2</v>
      </c>
      <c r="H141" s="23">
        <f>E141*G141</f>
        <v>8.5714285714285715E-2</v>
      </c>
      <c r="I141" t="s">
        <v>75</v>
      </c>
      <c r="J141" s="11">
        <v>68.099999999999994</v>
      </c>
      <c r="K141" s="11">
        <v>16.570370369999999</v>
      </c>
      <c r="L141" t="str">
        <f>VLOOKUP(B141,'[1]Plant data'!$A$1:$AB$315,2,0)</f>
        <v>Lauraceae</v>
      </c>
      <c r="M141" s="9">
        <f>VLOOKUP($B141,'[1]Plant data'!$A$1:$AB$315,6,0)</f>
        <v>7.8224999999999998</v>
      </c>
      <c r="N141" s="9">
        <f>VLOOKUP($B141,'[1]Plant data'!$A$1:$AB$315,7,0)</f>
        <v>11.41</v>
      </c>
      <c r="O141" s="8">
        <f>VLOOKUP($B141,'[1]Plant data'!$A$1:$AB$315,10,0)</f>
        <v>0.33</v>
      </c>
      <c r="P141" s="8" t="str">
        <f>VLOOKUP($B141,'[1]Plant data'!$A$1:$AB$315,11,0)</f>
        <v>NA</v>
      </c>
      <c r="Q141" s="8">
        <f>VLOOKUP($B141,'[1]Plant data'!$A$1:$AB$315,12,0)</f>
        <v>0.15</v>
      </c>
      <c r="R141" s="8" t="str">
        <f>VLOOKUP($B141,'[1]Plant data'!$A$1:$AB$315,13,0)</f>
        <v>NA</v>
      </c>
      <c r="S141" s="8" t="str">
        <f>VLOOKUP($B141,'[1]Plant data'!$A$1:$AB$315,14,0)</f>
        <v>NA</v>
      </c>
      <c r="T141" s="11">
        <f>VLOOKUP($B141,'[1]Plant data'!$A$1:$AB$315,15,0)</f>
        <v>1</v>
      </c>
      <c r="U141" s="9">
        <f>VLOOKUP($B141,'[1]Plant data'!$A$1:$AB$315,19,0)</f>
        <v>0.56159999999999999</v>
      </c>
      <c r="V141" s="8">
        <f>VLOOKUP($B141,'[1]Plant data'!$A$1:$AB$315,20,0)</f>
        <v>0.58940000000000003</v>
      </c>
      <c r="W141" s="8">
        <f>VLOOKUP($B141,'[1]Plant data'!$A$1:$AB$315,21,0)</f>
        <v>0.1101</v>
      </c>
      <c r="X141" s="8" t="str">
        <f>VLOOKUP($B141,'[1]Plant data'!$A$1:$AB$315,22,0)</f>
        <v>NA</v>
      </c>
      <c r="Y141" s="8" t="str">
        <f>VLOOKUP($B141,'[1]Plant data'!$A$1:$AB$315,23,0)</f>
        <v>NA</v>
      </c>
      <c r="Z141" s="8" t="str">
        <f>VLOOKUP($B141,'[1]Plant data'!$A$1:$AB$315,24,0)</f>
        <v>NA</v>
      </c>
      <c r="AA141" s="8" t="str">
        <f>VLOOKUP($B141,'[1]Plant data'!$A$1:$AB$315,25,0)</f>
        <v>NA</v>
      </c>
      <c r="AB141" s="8" t="s">
        <v>19</v>
      </c>
    </row>
    <row r="142" spans="1:28">
      <c r="A142" s="5" t="s">
        <v>124</v>
      </c>
      <c r="B142" s="6" t="s">
        <v>164</v>
      </c>
      <c r="C142" s="56">
        <v>4</v>
      </c>
      <c r="D142" s="58">
        <v>70</v>
      </c>
      <c r="E142" s="26">
        <f>C142/70</f>
        <v>5.7142857142857141E-2</v>
      </c>
      <c r="F142" s="56" t="s">
        <v>19</v>
      </c>
      <c r="G142" s="27">
        <v>2</v>
      </c>
      <c r="H142" s="23">
        <f>E142*G142</f>
        <v>0.11428571428571428</v>
      </c>
      <c r="I142" t="s">
        <v>109</v>
      </c>
      <c r="J142" s="11">
        <v>73.3</v>
      </c>
      <c r="K142" s="11">
        <v>17.52380952</v>
      </c>
      <c r="L142" t="str">
        <f>VLOOKUP(B142,'[1]Plant data'!$A$1:$AB$315,2,0)</f>
        <v>Lauraceae</v>
      </c>
      <c r="M142" s="9">
        <f>VLOOKUP($B142,'[1]Plant data'!$A$1:$AB$315,6,0)</f>
        <v>7.8224999999999998</v>
      </c>
      <c r="N142" s="9">
        <f>VLOOKUP($B142,'[1]Plant data'!$A$1:$AB$315,7,0)</f>
        <v>11.41</v>
      </c>
      <c r="O142" s="8">
        <f>VLOOKUP($B142,'[1]Plant data'!$A$1:$AB$315,10,0)</f>
        <v>0.33</v>
      </c>
      <c r="P142" s="8" t="str">
        <f>VLOOKUP($B142,'[1]Plant data'!$A$1:$AB$315,11,0)</f>
        <v>NA</v>
      </c>
      <c r="Q142" s="8">
        <f>VLOOKUP($B142,'[1]Plant data'!$A$1:$AB$315,12,0)</f>
        <v>0.15</v>
      </c>
      <c r="R142" s="8" t="str">
        <f>VLOOKUP($B142,'[1]Plant data'!$A$1:$AB$315,13,0)</f>
        <v>NA</v>
      </c>
      <c r="S142" s="8" t="str">
        <f>VLOOKUP($B142,'[1]Plant data'!$A$1:$AB$315,14,0)</f>
        <v>NA</v>
      </c>
      <c r="T142" s="11">
        <f>VLOOKUP($B142,'[1]Plant data'!$A$1:$AB$315,15,0)</f>
        <v>1</v>
      </c>
      <c r="U142" s="9">
        <f>VLOOKUP($B142,'[1]Plant data'!$A$1:$AB$315,19,0)</f>
        <v>0.56159999999999999</v>
      </c>
      <c r="V142" s="8">
        <f>VLOOKUP($B142,'[1]Plant data'!$A$1:$AB$315,20,0)</f>
        <v>0.58940000000000003</v>
      </c>
      <c r="W142" s="8">
        <f>VLOOKUP($B142,'[1]Plant data'!$A$1:$AB$315,21,0)</f>
        <v>0.1101</v>
      </c>
      <c r="X142" s="8" t="str">
        <f>VLOOKUP($B142,'[1]Plant data'!$A$1:$AB$315,22,0)</f>
        <v>NA</v>
      </c>
      <c r="Y142" s="8" t="str">
        <f>VLOOKUP($B142,'[1]Plant data'!$A$1:$AB$315,23,0)</f>
        <v>NA</v>
      </c>
      <c r="Z142" s="8" t="str">
        <f>VLOOKUP($B142,'[1]Plant data'!$A$1:$AB$315,24,0)</f>
        <v>NA</v>
      </c>
      <c r="AA142" s="8" t="str">
        <f>VLOOKUP($B142,'[1]Plant data'!$A$1:$AB$315,25,0)</f>
        <v>NA</v>
      </c>
      <c r="AB142" s="8" t="s">
        <v>19</v>
      </c>
    </row>
    <row r="143" spans="1:28">
      <c r="A143" s="5" t="s">
        <v>46</v>
      </c>
      <c r="B143" s="6" t="s">
        <v>164</v>
      </c>
      <c r="C143" s="53">
        <v>216</v>
      </c>
      <c r="D143" s="58">
        <v>70</v>
      </c>
      <c r="E143" s="8">
        <f>C143/70</f>
        <v>3.0857142857142859</v>
      </c>
      <c r="F143" s="56" t="s">
        <v>19</v>
      </c>
      <c r="G143" s="9">
        <v>2.7</v>
      </c>
      <c r="H143" s="23">
        <f>E143*G143</f>
        <v>8.3314285714285727</v>
      </c>
      <c r="I143" t="s">
        <v>47</v>
      </c>
      <c r="J143" s="11">
        <v>54</v>
      </c>
      <c r="K143" s="11">
        <v>11.14875</v>
      </c>
      <c r="L143" t="str">
        <f>VLOOKUP(B143,'[1]Plant data'!$A$1:$AB$315,2,0)</f>
        <v>Lauraceae</v>
      </c>
      <c r="M143" s="9">
        <f>VLOOKUP($B143,'[1]Plant data'!$A$1:$AB$315,6,0)</f>
        <v>7.8224999999999998</v>
      </c>
      <c r="N143" s="9">
        <f>VLOOKUP($B143,'[1]Plant data'!$A$1:$AB$315,7,0)</f>
        <v>11.41</v>
      </c>
      <c r="O143" s="8">
        <f>VLOOKUP($B143,'[1]Plant data'!$A$1:$AB$315,10,0)</f>
        <v>0.33</v>
      </c>
      <c r="P143" s="8" t="str">
        <f>VLOOKUP($B143,'[1]Plant data'!$A$1:$AB$315,11,0)</f>
        <v>NA</v>
      </c>
      <c r="Q143" s="8">
        <f>VLOOKUP($B143,'[1]Plant data'!$A$1:$AB$315,12,0)</f>
        <v>0.15</v>
      </c>
      <c r="R143" s="8" t="str">
        <f>VLOOKUP($B143,'[1]Plant data'!$A$1:$AB$315,13,0)</f>
        <v>NA</v>
      </c>
      <c r="S143" s="8" t="str">
        <f>VLOOKUP($B143,'[1]Plant data'!$A$1:$AB$315,14,0)</f>
        <v>NA</v>
      </c>
      <c r="T143" s="11">
        <f>VLOOKUP($B143,'[1]Plant data'!$A$1:$AB$315,15,0)</f>
        <v>1</v>
      </c>
      <c r="U143" s="9">
        <f>VLOOKUP($B143,'[1]Plant data'!$A$1:$AB$315,19,0)</f>
        <v>0.56159999999999999</v>
      </c>
      <c r="V143" s="8">
        <f>VLOOKUP($B143,'[1]Plant data'!$A$1:$AB$315,20,0)</f>
        <v>0.58940000000000003</v>
      </c>
      <c r="W143" s="8">
        <f>VLOOKUP($B143,'[1]Plant data'!$A$1:$AB$315,21,0)</f>
        <v>0.1101</v>
      </c>
      <c r="X143" s="8" t="str">
        <f>VLOOKUP($B143,'[1]Plant data'!$A$1:$AB$315,22,0)</f>
        <v>NA</v>
      </c>
      <c r="Y143" s="8" t="str">
        <f>VLOOKUP($B143,'[1]Plant data'!$A$1:$AB$315,23,0)</f>
        <v>NA</v>
      </c>
      <c r="Z143" s="8" t="str">
        <f>VLOOKUP($B143,'[1]Plant data'!$A$1:$AB$315,24,0)</f>
        <v>NA</v>
      </c>
      <c r="AA143" s="8" t="str">
        <f>VLOOKUP($B143,'[1]Plant data'!$A$1:$AB$315,25,0)</f>
        <v>NA</v>
      </c>
      <c r="AB143" s="8" t="s">
        <v>19</v>
      </c>
    </row>
    <row r="144" spans="1:28">
      <c r="A144" s="5" t="s">
        <v>50</v>
      </c>
      <c r="B144" s="14" t="s">
        <v>164</v>
      </c>
      <c r="C144" s="53">
        <v>98</v>
      </c>
      <c r="D144" s="58">
        <v>70</v>
      </c>
      <c r="E144" s="8">
        <f>C144/70</f>
        <v>1.4</v>
      </c>
      <c r="F144" s="56" t="s">
        <v>19</v>
      </c>
      <c r="G144" s="9">
        <v>3</v>
      </c>
      <c r="H144" s="23">
        <f>E144*G144</f>
        <v>4.1999999999999993</v>
      </c>
      <c r="I144" t="s">
        <v>47</v>
      </c>
      <c r="J144" s="11">
        <v>69.5</v>
      </c>
      <c r="K144" s="11">
        <v>13.253214290000001</v>
      </c>
      <c r="L144" t="str">
        <f>VLOOKUP(B144,'[1]Plant data'!$A$1:$AB$315,2,0)</f>
        <v>Lauraceae</v>
      </c>
      <c r="M144" s="9">
        <f>VLOOKUP($B144,'[1]Plant data'!$A$1:$AB$315,6,0)</f>
        <v>7.8224999999999998</v>
      </c>
      <c r="N144" s="9">
        <f>VLOOKUP($B144,'[1]Plant data'!$A$1:$AB$315,7,0)</f>
        <v>11.41</v>
      </c>
      <c r="O144" s="8">
        <f>VLOOKUP($B144,'[1]Plant data'!$A$1:$AB$315,10,0)</f>
        <v>0.33</v>
      </c>
      <c r="P144" s="8" t="str">
        <f>VLOOKUP($B144,'[1]Plant data'!$A$1:$AB$315,11,0)</f>
        <v>NA</v>
      </c>
      <c r="Q144" s="8">
        <f>VLOOKUP($B144,'[1]Plant data'!$A$1:$AB$315,12,0)</f>
        <v>0.15</v>
      </c>
      <c r="R144" s="8" t="str">
        <f>VLOOKUP($B144,'[1]Plant data'!$A$1:$AB$315,13,0)</f>
        <v>NA</v>
      </c>
      <c r="S144" s="8" t="str">
        <f>VLOOKUP($B144,'[1]Plant data'!$A$1:$AB$315,14,0)</f>
        <v>NA</v>
      </c>
      <c r="T144" s="11">
        <f>VLOOKUP($B144,'[1]Plant data'!$A$1:$AB$315,15,0)</f>
        <v>1</v>
      </c>
      <c r="U144" s="9">
        <f>VLOOKUP($B144,'[1]Plant data'!$A$1:$AB$315,19,0)</f>
        <v>0.56159999999999999</v>
      </c>
      <c r="V144" s="8">
        <f>VLOOKUP($B144,'[1]Plant data'!$A$1:$AB$315,20,0)</f>
        <v>0.58940000000000003</v>
      </c>
      <c r="W144" s="8">
        <f>VLOOKUP($B144,'[1]Plant data'!$A$1:$AB$315,21,0)</f>
        <v>0.1101</v>
      </c>
      <c r="X144" s="8" t="str">
        <f>VLOOKUP($B144,'[1]Plant data'!$A$1:$AB$315,22,0)</f>
        <v>NA</v>
      </c>
      <c r="Y144" s="8" t="str">
        <f>VLOOKUP($B144,'[1]Plant data'!$A$1:$AB$315,23,0)</f>
        <v>NA</v>
      </c>
      <c r="Z144" s="8" t="str">
        <f>VLOOKUP($B144,'[1]Plant data'!$A$1:$AB$315,24,0)</f>
        <v>NA</v>
      </c>
      <c r="AA144" s="8" t="str">
        <f>VLOOKUP($B144,'[1]Plant data'!$A$1:$AB$315,25,0)</f>
        <v>NA</v>
      </c>
      <c r="AB144" s="8" t="s">
        <v>19</v>
      </c>
    </row>
    <row r="145" spans="1:28">
      <c r="A145" s="5" t="s">
        <v>96</v>
      </c>
      <c r="B145" s="15" t="s">
        <v>148</v>
      </c>
      <c r="C145" s="53">
        <v>2</v>
      </c>
      <c r="D145" s="58">
        <v>250</v>
      </c>
      <c r="E145" s="8">
        <f>C145/250</f>
        <v>8.0000000000000002E-3</v>
      </c>
      <c r="F145" s="54" t="s">
        <v>19</v>
      </c>
      <c r="G145" s="9" t="s">
        <v>19</v>
      </c>
      <c r="H145" s="23" t="s">
        <v>19</v>
      </c>
      <c r="I145" t="s">
        <v>101</v>
      </c>
      <c r="J145" s="11">
        <v>1770</v>
      </c>
      <c r="K145" s="11">
        <v>22.349</v>
      </c>
      <c r="L145" t="str">
        <f>VLOOKUP(B145,'[1]Plant data'!$A$1:$AB$315,2,0)</f>
        <v>Lauraceae</v>
      </c>
      <c r="M145" s="9">
        <f>VLOOKUP($B145,'[1]Plant data'!$A$1:$AB$315,6,0)</f>
        <v>18</v>
      </c>
      <c r="N145" s="9">
        <f>VLOOKUP($B145,'[1]Plant data'!$A$1:$AB$315,7,0)</f>
        <v>21</v>
      </c>
      <c r="O145" s="8" t="str">
        <f>VLOOKUP($B145,'[1]Plant data'!$A$1:$AB$315,10,0)</f>
        <v>NA</v>
      </c>
      <c r="P145" s="8" t="str">
        <f>VLOOKUP($B145,'[1]Plant data'!$A$1:$AB$315,11,0)</f>
        <v>NA</v>
      </c>
      <c r="Q145" s="8" t="str">
        <f>VLOOKUP($B145,'[1]Plant data'!$A$1:$AB$315,12,0)</f>
        <v>NA</v>
      </c>
      <c r="R145" s="8" t="str">
        <f>VLOOKUP($B145,'[1]Plant data'!$A$1:$AB$315,13,0)</f>
        <v>NA</v>
      </c>
      <c r="S145" s="8" t="str">
        <f>VLOOKUP($B145,'[1]Plant data'!$A$1:$AB$315,14,0)</f>
        <v>NA</v>
      </c>
      <c r="T145" s="11" t="str">
        <f>VLOOKUP($B145,'[1]Plant data'!$A$1:$AB$315,15,0)</f>
        <v>NA</v>
      </c>
      <c r="U145" s="9" t="str">
        <f>VLOOKUP($B145,'[1]Plant data'!$A$1:$AB$315,19,0)</f>
        <v>NA</v>
      </c>
      <c r="V145" s="8" t="str">
        <f>VLOOKUP($B145,'[1]Plant data'!$A$1:$AB$315,20,0)</f>
        <v>NA</v>
      </c>
      <c r="W145" s="8" t="str">
        <f>VLOOKUP($B145,'[1]Plant data'!$A$1:$AB$315,21,0)</f>
        <v>NA</v>
      </c>
      <c r="X145" s="8" t="str">
        <f>VLOOKUP($B145,'[1]Plant data'!$A$1:$AB$315,22,0)</f>
        <v>NA</v>
      </c>
      <c r="Y145" s="8" t="str">
        <f>VLOOKUP($B145,'[1]Plant data'!$A$1:$AB$315,23,0)</f>
        <v>NA</v>
      </c>
      <c r="Z145" s="8" t="str">
        <f>VLOOKUP($B145,'[1]Plant data'!$A$1:$AB$315,24,0)</f>
        <v>NA</v>
      </c>
      <c r="AA145" s="8" t="str">
        <f>VLOOKUP($B145,'[1]Plant data'!$A$1:$AB$315,25,0)</f>
        <v>NA</v>
      </c>
      <c r="AB145" s="8" t="s">
        <v>19</v>
      </c>
    </row>
    <row r="146" spans="1:28">
      <c r="A146" s="5" t="s">
        <v>46</v>
      </c>
      <c r="B146" s="6" t="s">
        <v>148</v>
      </c>
      <c r="C146" s="53">
        <v>2</v>
      </c>
      <c r="D146" s="58">
        <v>250</v>
      </c>
      <c r="E146" s="8">
        <f>C146/250</f>
        <v>8.0000000000000002E-3</v>
      </c>
      <c r="F146" s="54" t="s">
        <v>19</v>
      </c>
      <c r="G146" s="41">
        <v>2.85</v>
      </c>
      <c r="H146" s="23">
        <f>E146*G146</f>
        <v>2.2800000000000001E-2</v>
      </c>
      <c r="I146" t="s">
        <v>47</v>
      </c>
      <c r="J146" s="11">
        <v>54</v>
      </c>
      <c r="K146" s="11">
        <v>11.14875</v>
      </c>
      <c r="L146" t="str">
        <f>VLOOKUP(B146,'[1]Plant data'!$A$1:$AB$315,2,0)</f>
        <v>Lauraceae</v>
      </c>
      <c r="M146" s="9">
        <f>VLOOKUP($B146,'[1]Plant data'!$A$1:$AB$315,6,0)</f>
        <v>18</v>
      </c>
      <c r="N146" s="9">
        <f>VLOOKUP($B146,'[1]Plant data'!$A$1:$AB$315,7,0)</f>
        <v>21</v>
      </c>
      <c r="O146" s="8" t="str">
        <f>VLOOKUP($B146,'[1]Plant data'!$A$1:$AB$315,10,0)</f>
        <v>NA</v>
      </c>
      <c r="P146" s="8" t="str">
        <f>VLOOKUP($B146,'[1]Plant data'!$A$1:$AB$315,11,0)</f>
        <v>NA</v>
      </c>
      <c r="Q146" s="8" t="str">
        <f>VLOOKUP($B146,'[1]Plant data'!$A$1:$AB$315,12,0)</f>
        <v>NA</v>
      </c>
      <c r="R146" s="8" t="str">
        <f>VLOOKUP($B146,'[1]Plant data'!$A$1:$AB$315,13,0)</f>
        <v>NA</v>
      </c>
      <c r="S146" s="8" t="str">
        <f>VLOOKUP($B146,'[1]Plant data'!$A$1:$AB$315,14,0)</f>
        <v>NA</v>
      </c>
      <c r="T146" s="11" t="str">
        <f>VLOOKUP($B146,'[1]Plant data'!$A$1:$AB$315,15,0)</f>
        <v>NA</v>
      </c>
      <c r="U146" s="9" t="str">
        <f>VLOOKUP($B146,'[1]Plant data'!$A$1:$AB$315,19,0)</f>
        <v>NA</v>
      </c>
      <c r="V146" s="8" t="str">
        <f>VLOOKUP($B146,'[1]Plant data'!$A$1:$AB$315,20,0)</f>
        <v>NA</v>
      </c>
      <c r="W146" s="8" t="str">
        <f>VLOOKUP($B146,'[1]Plant data'!$A$1:$AB$315,21,0)</f>
        <v>NA</v>
      </c>
      <c r="X146" s="8" t="str">
        <f>VLOOKUP($B146,'[1]Plant data'!$A$1:$AB$315,22,0)</f>
        <v>NA</v>
      </c>
      <c r="Y146" s="8" t="str">
        <f>VLOOKUP($B146,'[1]Plant data'!$A$1:$AB$315,23,0)</f>
        <v>NA</v>
      </c>
      <c r="Z146" s="8" t="str">
        <f>VLOOKUP($B146,'[1]Plant data'!$A$1:$AB$315,24,0)</f>
        <v>NA</v>
      </c>
      <c r="AA146" s="8" t="str">
        <f>VLOOKUP($B146,'[1]Plant data'!$A$1:$AB$315,25,0)</f>
        <v>NA</v>
      </c>
      <c r="AB146" s="8" t="s">
        <v>19</v>
      </c>
    </row>
    <row r="147" spans="1:28">
      <c r="A147" s="5" t="s">
        <v>50</v>
      </c>
      <c r="B147" s="14" t="s">
        <v>148</v>
      </c>
      <c r="C147" s="53">
        <v>3</v>
      </c>
      <c r="D147" s="58">
        <v>250</v>
      </c>
      <c r="E147" s="8">
        <f>C147/250</f>
        <v>1.2E-2</v>
      </c>
      <c r="F147" s="54" t="s">
        <v>19</v>
      </c>
      <c r="G147" s="41">
        <v>2.85</v>
      </c>
      <c r="H147" s="23">
        <f>E147*G147</f>
        <v>3.4200000000000001E-2</v>
      </c>
      <c r="I147" t="s">
        <v>47</v>
      </c>
      <c r="J147" s="11">
        <v>69.5</v>
      </c>
      <c r="K147" s="11">
        <v>13.253214290000001</v>
      </c>
      <c r="L147" t="str">
        <f>VLOOKUP(B147,'[1]Plant data'!$A$1:$AB$315,2,0)</f>
        <v>Lauraceae</v>
      </c>
      <c r="M147" s="9">
        <f>VLOOKUP($B147,'[1]Plant data'!$A$1:$AB$315,6,0)</f>
        <v>18</v>
      </c>
      <c r="N147" s="9">
        <f>VLOOKUP($B147,'[1]Plant data'!$A$1:$AB$315,7,0)</f>
        <v>21</v>
      </c>
      <c r="O147" s="8" t="str">
        <f>VLOOKUP($B147,'[1]Plant data'!$A$1:$AB$315,10,0)</f>
        <v>NA</v>
      </c>
      <c r="P147" s="8" t="str">
        <f>VLOOKUP($B147,'[1]Plant data'!$A$1:$AB$315,11,0)</f>
        <v>NA</v>
      </c>
      <c r="Q147" s="8" t="str">
        <f>VLOOKUP($B147,'[1]Plant data'!$A$1:$AB$315,12,0)</f>
        <v>NA</v>
      </c>
      <c r="R147" s="8" t="str">
        <f>VLOOKUP($B147,'[1]Plant data'!$A$1:$AB$315,13,0)</f>
        <v>NA</v>
      </c>
      <c r="S147" s="8" t="str">
        <f>VLOOKUP($B147,'[1]Plant data'!$A$1:$AB$315,14,0)</f>
        <v>NA</v>
      </c>
      <c r="T147" s="11" t="str">
        <f>VLOOKUP($B147,'[1]Plant data'!$A$1:$AB$315,15,0)</f>
        <v>NA</v>
      </c>
      <c r="U147" s="9" t="str">
        <f>VLOOKUP($B147,'[1]Plant data'!$A$1:$AB$315,19,0)</f>
        <v>NA</v>
      </c>
      <c r="V147" s="8" t="str">
        <f>VLOOKUP($B147,'[1]Plant data'!$A$1:$AB$315,20,0)</f>
        <v>NA</v>
      </c>
      <c r="W147" s="8" t="str">
        <f>VLOOKUP($B147,'[1]Plant data'!$A$1:$AB$315,21,0)</f>
        <v>NA</v>
      </c>
      <c r="X147" s="8" t="str">
        <f>VLOOKUP($B147,'[1]Plant data'!$A$1:$AB$315,22,0)</f>
        <v>NA</v>
      </c>
      <c r="Y147" s="8" t="str">
        <f>VLOOKUP($B147,'[1]Plant data'!$A$1:$AB$315,23,0)</f>
        <v>NA</v>
      </c>
      <c r="Z147" s="8" t="str">
        <f>VLOOKUP($B147,'[1]Plant data'!$A$1:$AB$315,24,0)</f>
        <v>NA</v>
      </c>
      <c r="AA147" s="8" t="str">
        <f>VLOOKUP($B147,'[1]Plant data'!$A$1:$AB$315,25,0)</f>
        <v>NA</v>
      </c>
      <c r="AB147" s="8" t="s">
        <v>19</v>
      </c>
    </row>
    <row r="148" spans="1:28">
      <c r="A148" s="5" t="s">
        <v>17</v>
      </c>
      <c r="B148" s="6" t="s">
        <v>18</v>
      </c>
      <c r="C148" s="53">
        <v>1</v>
      </c>
      <c r="D148" s="58">
        <v>20.8</v>
      </c>
      <c r="E148" s="8">
        <f>C148/20.8</f>
        <v>4.8076923076923073E-2</v>
      </c>
      <c r="F148" s="54" t="s">
        <v>19</v>
      </c>
      <c r="G148" s="9" t="s">
        <v>19</v>
      </c>
      <c r="H148" s="23" t="s">
        <v>19</v>
      </c>
      <c r="I148" t="s">
        <v>23</v>
      </c>
      <c r="J148" s="11">
        <v>14.4</v>
      </c>
      <c r="K148" s="11">
        <v>7.69</v>
      </c>
      <c r="L148" t="str">
        <f>VLOOKUP($B148,'[1]Plant data'!$A$1:$AB$315,2,0)</f>
        <v>Primulaceae</v>
      </c>
      <c r="M148" s="9">
        <f>VLOOKUP($B148,'[1]Plant data'!$A$1:$AB$315,6,0)</f>
        <v>5.2616666666666667</v>
      </c>
      <c r="N148" s="9">
        <f>VLOOKUP($B148,'[1]Plant data'!$A$1:$AB$315,7,0)</f>
        <v>5.2283333333333335</v>
      </c>
      <c r="O148" s="8">
        <f>VLOOKUP($B148,'[1]Plant data'!$A$1:$AB$315,10,0)</f>
        <v>0.16140000000000002</v>
      </c>
      <c r="P148" s="8">
        <f>VLOOKUP($B148,'[1]Plant data'!$A$1:$AB$315,11,0)</f>
        <v>0.1</v>
      </c>
      <c r="Q148" s="8">
        <f>VLOOKUP($B148,'[1]Plant data'!$A$1:$AB$315,12,0)</f>
        <v>8.5199999999999998E-2</v>
      </c>
      <c r="R148" s="8">
        <f>VLOOKUP($B148,'[1]Plant data'!$A$1:$AB$315,13,0)</f>
        <v>8.0000000000000002E-3</v>
      </c>
      <c r="S148" s="8">
        <f>VLOOKUP($B148,'[1]Plant data'!$A$1:$AB$315,14,0)</f>
        <v>2.2800000000000001E-2</v>
      </c>
      <c r="T148" s="11">
        <f>VLOOKUP($B148,'[1]Plant data'!$A$1:$AB$315,15,0)</f>
        <v>1</v>
      </c>
      <c r="U148" s="9">
        <f>VLOOKUP($B148,'[1]Plant data'!$A$1:$AB$315,19,0)</f>
        <v>0.86180000000000012</v>
      </c>
      <c r="V148" s="8">
        <f>VLOOKUP($B148,'[1]Plant data'!$A$1:$AB$315,20,0)</f>
        <v>7.980000000000001E-2</v>
      </c>
      <c r="W148" s="8">
        <f>VLOOKUP($B148,'[1]Plant data'!$A$1:$AB$315,21,0)</f>
        <v>2.86E-2</v>
      </c>
      <c r="X148" s="8">
        <f>VLOOKUP($B148,'[1]Plant data'!$A$1:$AB$315,22,0)</f>
        <v>1E-3</v>
      </c>
      <c r="Y148" s="8" t="str">
        <f>VLOOKUP($B148,'[1]Plant data'!$A$1:$AB$315,23,0)</f>
        <v>NA</v>
      </c>
      <c r="Z148" s="8" t="str">
        <f>VLOOKUP($B148,'[1]Plant data'!$A$1:$AB$315,24,0)</f>
        <v>NA</v>
      </c>
      <c r="AA148" s="8" t="str">
        <f>VLOOKUP($B148,'[1]Plant data'!$A$1:$AB$315,25,0)</f>
        <v>NA</v>
      </c>
      <c r="AB148" s="8">
        <f t="shared" ref="AB148:AB184" si="13">SUMIF(X148:Y148,"&gt;0.00001")</f>
        <v>1E-3</v>
      </c>
    </row>
    <row r="149" spans="1:28">
      <c r="A149" s="5" t="s">
        <v>70</v>
      </c>
      <c r="B149" s="15" t="s">
        <v>18</v>
      </c>
      <c r="C149" s="53">
        <v>1</v>
      </c>
      <c r="D149" s="58">
        <v>139.69999999999999</v>
      </c>
      <c r="E149" s="8">
        <f>(C149/139.7)/10</f>
        <v>7.1581961345740881E-4</v>
      </c>
      <c r="F149" s="54" t="s">
        <v>19</v>
      </c>
      <c r="G149" s="9" t="s">
        <v>19</v>
      </c>
      <c r="H149" s="23" t="s">
        <v>19</v>
      </c>
      <c r="I149" t="s">
        <v>23</v>
      </c>
      <c r="J149" s="11">
        <v>15</v>
      </c>
      <c r="K149" s="11">
        <v>6.9235714289999999</v>
      </c>
      <c r="L149" t="str">
        <f>VLOOKUP(B149,'[1]Plant data'!$A$1:$AB$315,2,0)</f>
        <v>Primulaceae</v>
      </c>
      <c r="M149" s="9">
        <f>VLOOKUP($B149,'[1]Plant data'!$A$1:$AB$315,6,0)</f>
        <v>5.2616666666666667</v>
      </c>
      <c r="N149" s="9">
        <f>VLOOKUP($B149,'[1]Plant data'!$A$1:$AB$315,7,0)</f>
        <v>5.2283333333333335</v>
      </c>
      <c r="O149" s="8">
        <f>VLOOKUP($B149,'[1]Plant data'!$A$1:$AB$315,10,0)</f>
        <v>0.16140000000000002</v>
      </c>
      <c r="P149" s="8">
        <f>VLOOKUP($B149,'[1]Plant data'!$A$1:$AB$315,11,0)</f>
        <v>0.1</v>
      </c>
      <c r="Q149" s="8">
        <f>VLOOKUP($B149,'[1]Plant data'!$A$1:$AB$315,12,0)</f>
        <v>8.5199999999999998E-2</v>
      </c>
      <c r="R149" s="8">
        <f>VLOOKUP($B149,'[1]Plant data'!$A$1:$AB$315,13,0)</f>
        <v>8.0000000000000002E-3</v>
      </c>
      <c r="S149" s="8">
        <f>VLOOKUP($B149,'[1]Plant data'!$A$1:$AB$315,14,0)</f>
        <v>2.2800000000000001E-2</v>
      </c>
      <c r="T149" s="11">
        <f>VLOOKUP($B149,'[1]Plant data'!$A$1:$AB$315,15,0)</f>
        <v>1</v>
      </c>
      <c r="U149" s="9">
        <f>VLOOKUP($B149,'[1]Plant data'!$A$1:$AB$315,19,0)</f>
        <v>0.86180000000000012</v>
      </c>
      <c r="V149" s="8">
        <f>VLOOKUP($B149,'[1]Plant data'!$A$1:$AB$315,20,0)</f>
        <v>7.980000000000001E-2</v>
      </c>
      <c r="W149" s="8">
        <f>VLOOKUP($B149,'[1]Plant data'!$A$1:$AB$315,21,0)</f>
        <v>2.86E-2</v>
      </c>
      <c r="X149" s="8">
        <f>VLOOKUP($B149,'[1]Plant data'!$A$1:$AB$315,22,0)</f>
        <v>1E-3</v>
      </c>
      <c r="Y149" s="8" t="str">
        <f>VLOOKUP($B149,'[1]Plant data'!$A$1:$AB$315,23,0)</f>
        <v>NA</v>
      </c>
      <c r="Z149" s="8" t="str">
        <f>VLOOKUP($B149,'[1]Plant data'!$A$1:$AB$315,24,0)</f>
        <v>NA</v>
      </c>
      <c r="AA149" s="8" t="str">
        <f>VLOOKUP($B149,'[1]Plant data'!$A$1:$AB$315,25,0)</f>
        <v>NA</v>
      </c>
      <c r="AB149" s="8">
        <f t="shared" si="13"/>
        <v>1E-3</v>
      </c>
    </row>
    <row r="150" spans="1:28">
      <c r="A150" s="18" t="s">
        <v>28</v>
      </c>
      <c r="B150" s="15" t="s">
        <v>18</v>
      </c>
      <c r="C150" s="53">
        <v>1</v>
      </c>
      <c r="D150" s="58">
        <v>139.69999999999999</v>
      </c>
      <c r="E150" s="8">
        <f>C150/D150</f>
        <v>7.1581961345740883E-3</v>
      </c>
      <c r="F150" s="54" t="s">
        <v>19</v>
      </c>
      <c r="G150" s="41">
        <v>3.7083333333333339</v>
      </c>
      <c r="H150" s="23">
        <f t="shared" ref="H150:H187" si="14">E150*G150</f>
        <v>2.6544977332378913E-2</v>
      </c>
      <c r="I150" t="s">
        <v>30</v>
      </c>
      <c r="J150" s="11">
        <v>18</v>
      </c>
      <c r="K150" s="11">
        <v>7.4188405800000004</v>
      </c>
      <c r="L150" t="str">
        <f>VLOOKUP(B150,'[1]Plant data'!$A$1:$AB$315,2,0)</f>
        <v>Primulaceae</v>
      </c>
      <c r="M150" s="9">
        <f>VLOOKUP($B150,'[1]Plant data'!$A$1:$AB$315,6,0)</f>
        <v>5.2616666666666667</v>
      </c>
      <c r="N150" s="9">
        <f>VLOOKUP($B150,'[1]Plant data'!$A$1:$AB$315,7,0)</f>
        <v>5.2283333333333335</v>
      </c>
      <c r="O150" s="8">
        <f>VLOOKUP($B150,'[1]Plant data'!$A$1:$AB$315,10,0)</f>
        <v>0.16140000000000002</v>
      </c>
      <c r="P150" s="8">
        <f>VLOOKUP($B150,'[1]Plant data'!$A$1:$AB$315,11,0)</f>
        <v>0.1</v>
      </c>
      <c r="Q150" s="8">
        <f>VLOOKUP($B150,'[1]Plant data'!$A$1:$AB$315,12,0)</f>
        <v>8.5199999999999998E-2</v>
      </c>
      <c r="R150" s="8">
        <f>VLOOKUP($B150,'[1]Plant data'!$A$1:$AB$315,13,0)</f>
        <v>8.0000000000000002E-3</v>
      </c>
      <c r="S150" s="8">
        <f>VLOOKUP($B150,'[1]Plant data'!$A$1:$AB$315,14,0)</f>
        <v>2.2800000000000001E-2</v>
      </c>
      <c r="T150" s="11">
        <f>VLOOKUP($B150,'[1]Plant data'!$A$1:$AB$315,15,0)</f>
        <v>1</v>
      </c>
      <c r="U150" s="9">
        <f>VLOOKUP($B150,'[1]Plant data'!$A$1:$AB$315,19,0)</f>
        <v>0.86180000000000012</v>
      </c>
      <c r="V150" s="8">
        <f>VLOOKUP($B150,'[1]Plant data'!$A$1:$AB$315,20,0)</f>
        <v>7.980000000000001E-2</v>
      </c>
      <c r="W150" s="8">
        <f>VLOOKUP($B150,'[1]Plant data'!$A$1:$AB$315,21,0)</f>
        <v>2.86E-2</v>
      </c>
      <c r="X150" s="8">
        <f>VLOOKUP($B150,'[1]Plant data'!$A$1:$AB$315,22,0)</f>
        <v>1E-3</v>
      </c>
      <c r="Y150" s="8" t="str">
        <f>VLOOKUP($B150,'[1]Plant data'!$A$1:$AB$315,23,0)</f>
        <v>NA</v>
      </c>
      <c r="Z150" s="8" t="str">
        <f>VLOOKUP($B150,'[1]Plant data'!$A$1:$AB$315,24,0)</f>
        <v>NA</v>
      </c>
      <c r="AA150" s="8" t="str">
        <f>VLOOKUP($B150,'[1]Plant data'!$A$1:$AB$315,25,0)</f>
        <v>NA</v>
      </c>
      <c r="AB150" s="8">
        <f t="shared" si="13"/>
        <v>1E-3</v>
      </c>
    </row>
    <row r="151" spans="1:28">
      <c r="A151" s="5" t="s">
        <v>32</v>
      </c>
      <c r="B151" s="6" t="s">
        <v>18</v>
      </c>
      <c r="C151" s="53">
        <v>9</v>
      </c>
      <c r="D151" s="58">
        <v>20.8</v>
      </c>
      <c r="E151" s="8">
        <f>C151/D151</f>
        <v>0.43269230769230765</v>
      </c>
      <c r="F151" s="54" t="s">
        <v>19</v>
      </c>
      <c r="G151" s="41">
        <v>3.7083333333333339</v>
      </c>
      <c r="H151" s="23">
        <f t="shared" si="14"/>
        <v>1.6045673076923077</v>
      </c>
      <c r="I151" t="s">
        <v>30</v>
      </c>
      <c r="J151" s="11">
        <v>18</v>
      </c>
      <c r="K151" s="11">
        <v>5.1684999999999999</v>
      </c>
      <c r="L151" t="str">
        <f>VLOOKUP(B151,'[1]Plant data'!$A$1:$AB$315,2,0)</f>
        <v>Primulaceae</v>
      </c>
      <c r="M151" s="9">
        <f>VLOOKUP($B151,'[1]Plant data'!$A$1:$AB$315,6,0)</f>
        <v>5.2616666666666667</v>
      </c>
      <c r="N151" s="9">
        <f>VLOOKUP($B151,'[1]Plant data'!$A$1:$AB$315,7,0)</f>
        <v>5.2283333333333335</v>
      </c>
      <c r="O151" s="8">
        <f>VLOOKUP($B151,'[1]Plant data'!$A$1:$AB$315,10,0)</f>
        <v>0.16140000000000002</v>
      </c>
      <c r="P151" s="8">
        <f>VLOOKUP($B151,'[1]Plant data'!$A$1:$AB$315,11,0)</f>
        <v>0.1</v>
      </c>
      <c r="Q151" s="8">
        <f>VLOOKUP($B151,'[1]Plant data'!$A$1:$AB$315,12,0)</f>
        <v>8.5199999999999998E-2</v>
      </c>
      <c r="R151" s="8">
        <f>VLOOKUP($B151,'[1]Plant data'!$A$1:$AB$315,13,0)</f>
        <v>8.0000000000000002E-3</v>
      </c>
      <c r="S151" s="8">
        <f>VLOOKUP($B151,'[1]Plant data'!$A$1:$AB$315,14,0)</f>
        <v>2.2800000000000001E-2</v>
      </c>
      <c r="T151" s="11">
        <f>VLOOKUP($B151,'[1]Plant data'!$A$1:$AB$315,15,0)</f>
        <v>1</v>
      </c>
      <c r="U151" s="9">
        <f>VLOOKUP($B151,'[1]Plant data'!$A$1:$AB$315,19,0)</f>
        <v>0.86180000000000012</v>
      </c>
      <c r="V151" s="8">
        <f>VLOOKUP($B151,'[1]Plant data'!$A$1:$AB$315,20,0)</f>
        <v>7.980000000000001E-2</v>
      </c>
      <c r="W151" s="8">
        <f>VLOOKUP($B151,'[1]Plant data'!$A$1:$AB$315,21,0)</f>
        <v>2.86E-2</v>
      </c>
      <c r="X151" s="8">
        <f>VLOOKUP($B151,'[1]Plant data'!$A$1:$AB$315,22,0)</f>
        <v>1E-3</v>
      </c>
      <c r="Y151" s="8" t="str">
        <f>VLOOKUP($B151,'[1]Plant data'!$A$1:$AB$315,23,0)</f>
        <v>NA</v>
      </c>
      <c r="Z151" s="8" t="str">
        <f>VLOOKUP($B151,'[1]Plant data'!$A$1:$AB$315,24,0)</f>
        <v>NA</v>
      </c>
      <c r="AA151" s="8" t="str">
        <f>VLOOKUP($B151,'[1]Plant data'!$A$1:$AB$315,25,0)</f>
        <v>NA</v>
      </c>
      <c r="AB151" s="8">
        <f t="shared" si="13"/>
        <v>1E-3</v>
      </c>
    </row>
    <row r="152" spans="1:28">
      <c r="A152" s="5" t="s">
        <v>43</v>
      </c>
      <c r="B152" s="6" t="s">
        <v>18</v>
      </c>
      <c r="C152" s="53">
        <v>1</v>
      </c>
      <c r="D152" s="58">
        <v>20.8</v>
      </c>
      <c r="E152" s="8">
        <f>C152/D152</f>
        <v>4.8076923076923073E-2</v>
      </c>
      <c r="F152" s="54" t="s">
        <v>19</v>
      </c>
      <c r="G152" s="41">
        <v>3.1632653061224487</v>
      </c>
      <c r="H152" s="23">
        <f t="shared" si="14"/>
        <v>0.15208006279434849</v>
      </c>
      <c r="I152" t="s">
        <v>30</v>
      </c>
      <c r="J152" s="11">
        <v>32.5</v>
      </c>
      <c r="K152" s="11">
        <v>8.9205555560000001</v>
      </c>
      <c r="L152" t="str">
        <f>VLOOKUP(B152,'[1]Plant data'!$A$1:$AB$315,2,0)</f>
        <v>Primulaceae</v>
      </c>
      <c r="M152" s="9">
        <f>VLOOKUP($B152,'[1]Plant data'!$A$1:$AB$315,6,0)</f>
        <v>5.2616666666666667</v>
      </c>
      <c r="N152" s="9">
        <f>VLOOKUP($B152,'[1]Plant data'!$A$1:$AB$315,7,0)</f>
        <v>5.2283333333333335</v>
      </c>
      <c r="O152" s="8">
        <f>VLOOKUP($B152,'[1]Plant data'!$A$1:$AB$315,10,0)</f>
        <v>0.16140000000000002</v>
      </c>
      <c r="P152" s="8">
        <f>VLOOKUP($B152,'[1]Plant data'!$A$1:$AB$315,11,0)</f>
        <v>0.1</v>
      </c>
      <c r="Q152" s="8">
        <f>VLOOKUP($B152,'[1]Plant data'!$A$1:$AB$315,12,0)</f>
        <v>8.5199999999999998E-2</v>
      </c>
      <c r="R152" s="8">
        <f>VLOOKUP($B152,'[1]Plant data'!$A$1:$AB$315,13,0)</f>
        <v>8.0000000000000002E-3</v>
      </c>
      <c r="S152" s="8">
        <f>VLOOKUP($B152,'[1]Plant data'!$A$1:$AB$315,14,0)</f>
        <v>2.2800000000000001E-2</v>
      </c>
      <c r="T152" s="11">
        <f>VLOOKUP($B152,'[1]Plant data'!$A$1:$AB$315,15,0)</f>
        <v>1</v>
      </c>
      <c r="U152" s="9">
        <f>VLOOKUP($B152,'[1]Plant data'!$A$1:$AB$315,19,0)</f>
        <v>0.86180000000000012</v>
      </c>
      <c r="V152" s="8">
        <f>VLOOKUP($B152,'[1]Plant data'!$A$1:$AB$315,20,0)</f>
        <v>7.980000000000001E-2</v>
      </c>
      <c r="W152" s="8">
        <f>VLOOKUP($B152,'[1]Plant data'!$A$1:$AB$315,21,0)</f>
        <v>2.86E-2</v>
      </c>
      <c r="X152" s="8">
        <f>VLOOKUP($B152,'[1]Plant data'!$A$1:$AB$315,22,0)</f>
        <v>1E-3</v>
      </c>
      <c r="Y152" s="8" t="str">
        <f>VLOOKUP($B152,'[1]Plant data'!$A$1:$AB$315,23,0)</f>
        <v>NA</v>
      </c>
      <c r="Z152" s="8" t="str">
        <f>VLOOKUP($B152,'[1]Plant data'!$A$1:$AB$315,24,0)</f>
        <v>NA</v>
      </c>
      <c r="AA152" s="8" t="str">
        <f>VLOOKUP($B152,'[1]Plant data'!$A$1:$AB$315,25,0)</f>
        <v>NA</v>
      </c>
      <c r="AB152" s="8">
        <f t="shared" si="13"/>
        <v>1E-3</v>
      </c>
    </row>
    <row r="153" spans="1:28">
      <c r="A153" s="5" t="s">
        <v>43</v>
      </c>
      <c r="B153" s="15" t="s">
        <v>18</v>
      </c>
      <c r="C153" s="53">
        <v>33</v>
      </c>
      <c r="D153" s="58">
        <v>139.69999999999999</v>
      </c>
      <c r="E153" s="8">
        <f>(C153/139.7)/10</f>
        <v>2.3622047244094491E-2</v>
      </c>
      <c r="F153" s="54" t="s">
        <v>19</v>
      </c>
      <c r="G153" s="41">
        <v>3.1632653061224487</v>
      </c>
      <c r="H153" s="23">
        <f t="shared" si="14"/>
        <v>7.4722802506829514E-2</v>
      </c>
      <c r="I153" t="s">
        <v>30</v>
      </c>
      <c r="J153" s="11">
        <v>32.5</v>
      </c>
      <c r="K153" s="11">
        <v>8.9205555560000001</v>
      </c>
      <c r="L153" t="str">
        <f>VLOOKUP(B153,'[1]Plant data'!$A$1:$AB$315,2,0)</f>
        <v>Primulaceae</v>
      </c>
      <c r="M153" s="9">
        <f>VLOOKUP($B153,'[1]Plant data'!$A$1:$AB$315,6,0)</f>
        <v>5.2616666666666667</v>
      </c>
      <c r="N153" s="9">
        <f>VLOOKUP($B153,'[1]Plant data'!$A$1:$AB$315,7,0)</f>
        <v>5.2283333333333335</v>
      </c>
      <c r="O153" s="8">
        <f>VLOOKUP($B153,'[1]Plant data'!$A$1:$AB$315,10,0)</f>
        <v>0.16140000000000002</v>
      </c>
      <c r="P153" s="8">
        <f>VLOOKUP($B153,'[1]Plant data'!$A$1:$AB$315,11,0)</f>
        <v>0.1</v>
      </c>
      <c r="Q153" s="8">
        <f>VLOOKUP($B153,'[1]Plant data'!$A$1:$AB$315,12,0)</f>
        <v>8.5199999999999998E-2</v>
      </c>
      <c r="R153" s="8">
        <f>VLOOKUP($B153,'[1]Plant data'!$A$1:$AB$315,13,0)</f>
        <v>8.0000000000000002E-3</v>
      </c>
      <c r="S153" s="8">
        <f>VLOOKUP($B153,'[1]Plant data'!$A$1:$AB$315,14,0)</f>
        <v>2.2800000000000001E-2</v>
      </c>
      <c r="T153" s="11">
        <f>VLOOKUP($B153,'[1]Plant data'!$A$1:$AB$315,15,0)</f>
        <v>1</v>
      </c>
      <c r="U153" s="9">
        <f>VLOOKUP($B153,'[1]Plant data'!$A$1:$AB$315,19,0)</f>
        <v>0.86180000000000012</v>
      </c>
      <c r="V153" s="8">
        <f>VLOOKUP($B153,'[1]Plant data'!$A$1:$AB$315,20,0)</f>
        <v>7.980000000000001E-2</v>
      </c>
      <c r="W153" s="8">
        <f>VLOOKUP($B153,'[1]Plant data'!$A$1:$AB$315,21,0)</f>
        <v>2.86E-2</v>
      </c>
      <c r="X153" s="8">
        <f>VLOOKUP($B153,'[1]Plant data'!$A$1:$AB$315,22,0)</f>
        <v>1E-3</v>
      </c>
      <c r="Y153" s="8" t="str">
        <f>VLOOKUP($B153,'[1]Plant data'!$A$1:$AB$315,23,0)</f>
        <v>NA</v>
      </c>
      <c r="Z153" s="8" t="str">
        <f>VLOOKUP($B153,'[1]Plant data'!$A$1:$AB$315,24,0)</f>
        <v>NA</v>
      </c>
      <c r="AA153" s="8" t="str">
        <f>VLOOKUP($B153,'[1]Plant data'!$A$1:$AB$315,25,0)</f>
        <v>NA</v>
      </c>
      <c r="AB153" s="8">
        <f t="shared" si="13"/>
        <v>1E-3</v>
      </c>
    </row>
    <row r="154" spans="1:28">
      <c r="A154" s="5" t="s">
        <v>46</v>
      </c>
      <c r="B154" s="6" t="s">
        <v>18</v>
      </c>
      <c r="C154" s="53">
        <v>26</v>
      </c>
      <c r="D154" s="58">
        <v>20.8</v>
      </c>
      <c r="E154" s="8">
        <f t="shared" ref="E154:E162" si="15">C154/D154</f>
        <v>1.25</v>
      </c>
      <c r="F154" s="54" t="s">
        <v>19</v>
      </c>
      <c r="G154" s="41">
        <v>19.044512987012986</v>
      </c>
      <c r="H154" s="23">
        <f t="shared" si="14"/>
        <v>23.805641233766231</v>
      </c>
      <c r="I154" t="s">
        <v>47</v>
      </c>
      <c r="J154" s="11">
        <v>54</v>
      </c>
      <c r="K154" s="11">
        <v>11.14875</v>
      </c>
      <c r="L154" t="str">
        <f>VLOOKUP(B154,'[1]Plant data'!$A$1:$AB$315,2,0)</f>
        <v>Primulaceae</v>
      </c>
      <c r="M154" s="9">
        <f>VLOOKUP($B154,'[1]Plant data'!$A$1:$AB$315,6,0)</f>
        <v>5.2616666666666667</v>
      </c>
      <c r="N154" s="9">
        <f>VLOOKUP($B154,'[1]Plant data'!$A$1:$AB$315,7,0)</f>
        <v>5.2283333333333335</v>
      </c>
      <c r="O154" s="8">
        <f>VLOOKUP($B154,'[1]Plant data'!$A$1:$AB$315,10,0)</f>
        <v>0.16140000000000002</v>
      </c>
      <c r="P154" s="8">
        <f>VLOOKUP($B154,'[1]Plant data'!$A$1:$AB$315,11,0)</f>
        <v>0.1</v>
      </c>
      <c r="Q154" s="8">
        <f>VLOOKUP($B154,'[1]Plant data'!$A$1:$AB$315,12,0)</f>
        <v>8.5199999999999998E-2</v>
      </c>
      <c r="R154" s="8">
        <f>VLOOKUP($B154,'[1]Plant data'!$A$1:$AB$315,13,0)</f>
        <v>8.0000000000000002E-3</v>
      </c>
      <c r="S154" s="8">
        <f>VLOOKUP($B154,'[1]Plant data'!$A$1:$AB$315,14,0)</f>
        <v>2.2800000000000001E-2</v>
      </c>
      <c r="T154" s="11">
        <f>VLOOKUP($B154,'[1]Plant data'!$A$1:$AB$315,15,0)</f>
        <v>1</v>
      </c>
      <c r="U154" s="9">
        <f>VLOOKUP($B154,'[1]Plant data'!$A$1:$AB$315,19,0)</f>
        <v>0.86180000000000012</v>
      </c>
      <c r="V154" s="8">
        <f>VLOOKUP($B154,'[1]Plant data'!$A$1:$AB$315,20,0)</f>
        <v>7.980000000000001E-2</v>
      </c>
      <c r="W154" s="8">
        <f>VLOOKUP($B154,'[1]Plant data'!$A$1:$AB$315,21,0)</f>
        <v>2.86E-2</v>
      </c>
      <c r="X154" s="8">
        <f>VLOOKUP($B154,'[1]Plant data'!$A$1:$AB$315,22,0)</f>
        <v>1E-3</v>
      </c>
      <c r="Y154" s="8" t="str">
        <f>VLOOKUP($B154,'[1]Plant data'!$A$1:$AB$315,23,0)</f>
        <v>NA</v>
      </c>
      <c r="Z154" s="8" t="str">
        <f>VLOOKUP($B154,'[1]Plant data'!$A$1:$AB$315,24,0)</f>
        <v>NA</v>
      </c>
      <c r="AA154" s="8" t="str">
        <f>VLOOKUP($B154,'[1]Plant data'!$A$1:$AB$315,25,0)</f>
        <v>NA</v>
      </c>
      <c r="AB154" s="8">
        <f t="shared" si="13"/>
        <v>1E-3</v>
      </c>
    </row>
    <row r="155" spans="1:28">
      <c r="A155" s="5" t="s">
        <v>50</v>
      </c>
      <c r="B155" s="6" t="s">
        <v>18</v>
      </c>
      <c r="C155" s="53">
        <v>3</v>
      </c>
      <c r="D155" s="58">
        <v>20.8</v>
      </c>
      <c r="E155" s="8">
        <f t="shared" si="15"/>
        <v>0.14423076923076922</v>
      </c>
      <c r="F155" s="54" t="s">
        <v>19</v>
      </c>
      <c r="G155" s="41">
        <v>19.044512987012986</v>
      </c>
      <c r="H155" s="23">
        <f t="shared" si="14"/>
        <v>2.7468047577422574</v>
      </c>
      <c r="I155" s="16" t="s">
        <v>47</v>
      </c>
      <c r="J155" s="17">
        <v>69.5</v>
      </c>
      <c r="K155" s="17">
        <v>13.253214290000001</v>
      </c>
      <c r="L155" t="str">
        <f>VLOOKUP(B155,'[1]Plant data'!$A$1:$AB$315,2,0)</f>
        <v>Primulaceae</v>
      </c>
      <c r="M155" s="9">
        <f>VLOOKUP($B155,'[1]Plant data'!$A$1:$AB$315,6,0)</f>
        <v>5.2616666666666667</v>
      </c>
      <c r="N155" s="9">
        <f>VLOOKUP($B155,'[1]Plant data'!$A$1:$AB$315,7,0)</f>
        <v>5.2283333333333335</v>
      </c>
      <c r="O155" s="8">
        <f>VLOOKUP($B155,'[1]Plant data'!$A$1:$AB$315,10,0)</f>
        <v>0.16140000000000002</v>
      </c>
      <c r="P155" s="8">
        <f>VLOOKUP($B155,'[1]Plant data'!$A$1:$AB$315,11,0)</f>
        <v>0.1</v>
      </c>
      <c r="Q155" s="8">
        <f>VLOOKUP($B155,'[1]Plant data'!$A$1:$AB$315,12,0)</f>
        <v>8.5199999999999998E-2</v>
      </c>
      <c r="R155" s="8">
        <f>VLOOKUP($B155,'[1]Plant data'!$A$1:$AB$315,13,0)</f>
        <v>8.0000000000000002E-3</v>
      </c>
      <c r="S155" s="8">
        <f>VLOOKUP($B155,'[1]Plant data'!$A$1:$AB$315,14,0)</f>
        <v>2.2800000000000001E-2</v>
      </c>
      <c r="T155" s="11">
        <f>VLOOKUP($B155,'[1]Plant data'!$A$1:$AB$315,15,0)</f>
        <v>1</v>
      </c>
      <c r="U155" s="9">
        <f>VLOOKUP($B155,'[1]Plant data'!$A$1:$AB$315,19,0)</f>
        <v>0.86180000000000012</v>
      </c>
      <c r="V155" s="8">
        <f>VLOOKUP($B155,'[1]Plant data'!$A$1:$AB$315,20,0)</f>
        <v>7.980000000000001E-2</v>
      </c>
      <c r="W155" s="8">
        <f>VLOOKUP($B155,'[1]Plant data'!$A$1:$AB$315,21,0)</f>
        <v>2.86E-2</v>
      </c>
      <c r="X155" s="8">
        <f>VLOOKUP($B155,'[1]Plant data'!$A$1:$AB$315,22,0)</f>
        <v>1E-3</v>
      </c>
      <c r="Y155" s="8" t="str">
        <f>VLOOKUP($B155,'[1]Plant data'!$A$1:$AB$315,23,0)</f>
        <v>NA</v>
      </c>
      <c r="Z155" s="8" t="str">
        <f>VLOOKUP($B155,'[1]Plant data'!$A$1:$AB$315,24,0)</f>
        <v>NA</v>
      </c>
      <c r="AA155" s="8" t="str">
        <f>VLOOKUP($B155,'[1]Plant data'!$A$1:$AB$315,25,0)</f>
        <v>NA</v>
      </c>
      <c r="AB155" s="8">
        <f t="shared" si="13"/>
        <v>1E-3</v>
      </c>
    </row>
    <row r="156" spans="1:28">
      <c r="A156" s="18" t="s">
        <v>28</v>
      </c>
      <c r="B156" s="14" t="s">
        <v>58</v>
      </c>
      <c r="C156" s="53">
        <v>1</v>
      </c>
      <c r="D156" s="11">
        <v>254</v>
      </c>
      <c r="E156" s="8">
        <f t="shared" si="15"/>
        <v>3.937007874015748E-3</v>
      </c>
      <c r="F156" s="54" t="s">
        <v>19</v>
      </c>
      <c r="G156" s="41">
        <v>3.7083333333333339</v>
      </c>
      <c r="H156" s="23">
        <f t="shared" si="14"/>
        <v>1.4599737532808401E-2</v>
      </c>
      <c r="I156" t="s">
        <v>30</v>
      </c>
      <c r="J156" s="11">
        <v>18</v>
      </c>
      <c r="K156" s="11">
        <v>7.4188405800000004</v>
      </c>
      <c r="L156" t="str">
        <f>VLOOKUP(B156,'[1]Plant data'!$A$1:$AB$315,2,0)</f>
        <v>Primulaceae</v>
      </c>
      <c r="M156" s="9">
        <f>VLOOKUP($B156,'[1]Plant data'!$A$1:$AB$315,6,0)</f>
        <v>4.2050000000000001</v>
      </c>
      <c r="N156" s="9">
        <f>VLOOKUP($B156,'[1]Plant data'!$A$1:$AB$315,7,0)</f>
        <v>4.33</v>
      </c>
      <c r="O156" s="8">
        <f>VLOOKUP($B156,'[1]Plant data'!$A$1:$AB$315,10,0)</f>
        <v>6.4799999999999996E-2</v>
      </c>
      <c r="P156" s="8" t="str">
        <f>VLOOKUP($B156,'[1]Plant data'!$A$1:$AB$315,11,0)</f>
        <v>NA</v>
      </c>
      <c r="Q156" s="8">
        <f>VLOOKUP($B156,'[1]Plant data'!$A$1:$AB$315,12,0)</f>
        <v>4.2599999999999985E-2</v>
      </c>
      <c r="R156" s="8">
        <f>VLOOKUP($B156,'[1]Plant data'!$A$1:$AB$315,13,0)</f>
        <v>2.2200000000000001E-2</v>
      </c>
      <c r="S156" s="8">
        <f>VLOOKUP($B156,'[1]Plant data'!$A$1:$AB$315,14,0)</f>
        <v>4.2599999999999985E-2</v>
      </c>
      <c r="T156" s="11">
        <f>VLOOKUP($B156,'[1]Plant data'!$A$1:$AB$315,15,0)</f>
        <v>1</v>
      </c>
      <c r="U156" s="9" t="str">
        <f>VLOOKUP($B156,'[1]Plant data'!$A$1:$AB$315,19,0)</f>
        <v>NA</v>
      </c>
      <c r="V156" s="8">
        <f>VLOOKUP($B156,'[1]Plant data'!$A$1:$AB$315,20,0)</f>
        <v>0.11875589066917111</v>
      </c>
      <c r="W156" s="8">
        <f>VLOOKUP($B156,'[1]Plant data'!$A$1:$AB$315,21,0)</f>
        <v>8.9795E-2</v>
      </c>
      <c r="X156" s="8">
        <f>VLOOKUP($B156,'[1]Plant data'!$A$1:$AB$315,22,0)</f>
        <v>3.1460235951769638E-2</v>
      </c>
      <c r="Y156" s="8">
        <f>VLOOKUP($B156,'[1]Plant data'!$A$1:$AB$315,23,0)</f>
        <v>0.11772310514551083</v>
      </c>
      <c r="Z156" s="8" t="str">
        <f>VLOOKUP($B156,'[1]Plant data'!$A$1:$AB$315,24,0)</f>
        <v>NA</v>
      </c>
      <c r="AA156" s="8" t="str">
        <f>VLOOKUP($B156,'[1]Plant data'!$A$1:$AB$315,25,0)</f>
        <v>NA</v>
      </c>
      <c r="AB156" s="8">
        <f t="shared" si="13"/>
        <v>0.14918334109728049</v>
      </c>
    </row>
    <row r="157" spans="1:28">
      <c r="A157" s="5" t="s">
        <v>41</v>
      </c>
      <c r="B157" s="14" t="s">
        <v>58</v>
      </c>
      <c r="C157" s="53">
        <v>11</v>
      </c>
      <c r="D157" s="11">
        <v>254</v>
      </c>
      <c r="E157" s="8">
        <f t="shared" si="15"/>
        <v>4.3307086614173228E-2</v>
      </c>
      <c r="F157" s="54" t="s">
        <v>19</v>
      </c>
      <c r="G157" s="41">
        <v>3.1632653061224487</v>
      </c>
      <c r="H157" s="23">
        <f t="shared" si="14"/>
        <v>0.13699180459585408</v>
      </c>
      <c r="I157" t="s">
        <v>30</v>
      </c>
      <c r="J157" s="11">
        <v>39</v>
      </c>
      <c r="K157" s="11">
        <v>8.2839869279999991</v>
      </c>
      <c r="L157" t="str">
        <f>VLOOKUP(B157,'[1]Plant data'!$A$1:$AB$315,2,0)</f>
        <v>Primulaceae</v>
      </c>
      <c r="M157" s="9">
        <f>VLOOKUP($B157,'[1]Plant data'!$A$1:$AB$315,6,0)</f>
        <v>4.2050000000000001</v>
      </c>
      <c r="N157" s="9">
        <f>VLOOKUP($B157,'[1]Plant data'!$A$1:$AB$315,7,0)</f>
        <v>4.33</v>
      </c>
      <c r="O157" s="8">
        <f>VLOOKUP($B157,'[1]Plant data'!$A$1:$AB$315,10,0)</f>
        <v>6.4799999999999996E-2</v>
      </c>
      <c r="P157" s="8" t="str">
        <f>VLOOKUP($B157,'[1]Plant data'!$A$1:$AB$315,11,0)</f>
        <v>NA</v>
      </c>
      <c r="Q157" s="8">
        <f>VLOOKUP($B157,'[1]Plant data'!$A$1:$AB$315,12,0)</f>
        <v>4.2599999999999985E-2</v>
      </c>
      <c r="R157" s="8">
        <f>VLOOKUP($B157,'[1]Plant data'!$A$1:$AB$315,13,0)</f>
        <v>2.2200000000000001E-2</v>
      </c>
      <c r="S157" s="8">
        <f>VLOOKUP($B157,'[1]Plant data'!$A$1:$AB$315,14,0)</f>
        <v>4.2599999999999985E-2</v>
      </c>
      <c r="T157" s="11">
        <f>VLOOKUP($B157,'[1]Plant data'!$A$1:$AB$315,15,0)</f>
        <v>1</v>
      </c>
      <c r="U157" s="9" t="str">
        <f>VLOOKUP($B157,'[1]Plant data'!$A$1:$AB$315,19,0)</f>
        <v>NA</v>
      </c>
      <c r="V157" s="8">
        <f>VLOOKUP($B157,'[1]Plant data'!$A$1:$AB$315,20,0)</f>
        <v>0.11875589066917111</v>
      </c>
      <c r="W157" s="8">
        <f>VLOOKUP($B157,'[1]Plant data'!$A$1:$AB$315,21,0)</f>
        <v>8.9795E-2</v>
      </c>
      <c r="X157" s="8">
        <f>VLOOKUP($B157,'[1]Plant data'!$A$1:$AB$315,22,0)</f>
        <v>3.1460235951769638E-2</v>
      </c>
      <c r="Y157" s="8">
        <f>VLOOKUP($B157,'[1]Plant data'!$A$1:$AB$315,23,0)</f>
        <v>0.11772310514551083</v>
      </c>
      <c r="Z157" s="8" t="str">
        <f>VLOOKUP($B157,'[1]Plant data'!$A$1:$AB$315,24,0)</f>
        <v>NA</v>
      </c>
      <c r="AA157" s="8" t="str">
        <f>VLOOKUP($B157,'[1]Plant data'!$A$1:$AB$315,25,0)</f>
        <v>NA</v>
      </c>
      <c r="AB157" s="8">
        <f t="shared" si="13"/>
        <v>0.14918334109728049</v>
      </c>
    </row>
    <row r="158" spans="1:28">
      <c r="A158" s="5" t="s">
        <v>43</v>
      </c>
      <c r="B158" s="14" t="s">
        <v>58</v>
      </c>
      <c r="C158" s="53">
        <v>4</v>
      </c>
      <c r="D158" s="11">
        <v>254</v>
      </c>
      <c r="E158" s="8">
        <f t="shared" si="15"/>
        <v>1.5748031496062992E-2</v>
      </c>
      <c r="F158" s="54" t="s">
        <v>19</v>
      </c>
      <c r="G158" s="41">
        <v>3.1632653061224487</v>
      </c>
      <c r="H158" s="23">
        <f t="shared" si="14"/>
        <v>4.9815201671219667E-2</v>
      </c>
      <c r="I158" t="s">
        <v>30</v>
      </c>
      <c r="J158" s="11">
        <v>32.5</v>
      </c>
      <c r="K158" s="11">
        <v>8.9205555560000001</v>
      </c>
      <c r="L158" t="str">
        <f>VLOOKUP(B158,'[1]Plant data'!$A$1:$AB$315,2,0)</f>
        <v>Primulaceae</v>
      </c>
      <c r="M158" s="9">
        <f>VLOOKUP($B158,'[1]Plant data'!$A$1:$AB$315,6,0)</f>
        <v>4.2050000000000001</v>
      </c>
      <c r="N158" s="9">
        <f>VLOOKUP($B158,'[1]Plant data'!$A$1:$AB$315,7,0)</f>
        <v>4.33</v>
      </c>
      <c r="O158" s="8">
        <f>VLOOKUP($B158,'[1]Plant data'!$A$1:$AB$315,10,0)</f>
        <v>6.4799999999999996E-2</v>
      </c>
      <c r="P158" s="8" t="str">
        <f>VLOOKUP($B158,'[1]Plant data'!$A$1:$AB$315,11,0)</f>
        <v>NA</v>
      </c>
      <c r="Q158" s="8">
        <f>VLOOKUP($B158,'[1]Plant data'!$A$1:$AB$315,12,0)</f>
        <v>4.2599999999999985E-2</v>
      </c>
      <c r="R158" s="8">
        <f>VLOOKUP($B158,'[1]Plant data'!$A$1:$AB$315,13,0)</f>
        <v>2.2200000000000001E-2</v>
      </c>
      <c r="S158" s="8">
        <f>VLOOKUP($B158,'[1]Plant data'!$A$1:$AB$315,14,0)</f>
        <v>4.2599999999999985E-2</v>
      </c>
      <c r="T158" s="11">
        <f>VLOOKUP($B158,'[1]Plant data'!$A$1:$AB$315,15,0)</f>
        <v>1</v>
      </c>
      <c r="U158" s="9" t="str">
        <f>VLOOKUP($B158,'[1]Plant data'!$A$1:$AB$315,19,0)</f>
        <v>NA</v>
      </c>
      <c r="V158" s="8">
        <f>VLOOKUP($B158,'[1]Plant data'!$A$1:$AB$315,20,0)</f>
        <v>0.11875589066917111</v>
      </c>
      <c r="W158" s="8">
        <f>VLOOKUP($B158,'[1]Plant data'!$A$1:$AB$315,21,0)</f>
        <v>8.9795E-2</v>
      </c>
      <c r="X158" s="8">
        <f>VLOOKUP($B158,'[1]Plant data'!$A$1:$AB$315,22,0)</f>
        <v>3.1460235951769638E-2</v>
      </c>
      <c r="Y158" s="8">
        <f>VLOOKUP($B158,'[1]Plant data'!$A$1:$AB$315,23,0)</f>
        <v>0.11772310514551083</v>
      </c>
      <c r="Z158" s="8" t="str">
        <f>VLOOKUP($B158,'[1]Plant data'!$A$1:$AB$315,24,0)</f>
        <v>NA</v>
      </c>
      <c r="AA158" s="8" t="str">
        <f>VLOOKUP($B158,'[1]Plant data'!$A$1:$AB$315,25,0)</f>
        <v>NA</v>
      </c>
      <c r="AB158" s="8">
        <f t="shared" si="13"/>
        <v>0.14918334109728049</v>
      </c>
    </row>
    <row r="159" spans="1:28">
      <c r="A159" s="5" t="s">
        <v>90</v>
      </c>
      <c r="B159" s="14" t="s">
        <v>39</v>
      </c>
      <c r="C159" s="53">
        <v>2</v>
      </c>
      <c r="D159" s="11">
        <v>21</v>
      </c>
      <c r="E159" s="8">
        <f t="shared" si="15"/>
        <v>9.5238095238095233E-2</v>
      </c>
      <c r="F159" s="54">
        <v>23</v>
      </c>
      <c r="G159" s="9">
        <f>F159/C159</f>
        <v>11.5</v>
      </c>
      <c r="H159" s="23">
        <f t="shared" si="14"/>
        <v>1.0952380952380951</v>
      </c>
      <c r="I159" t="s">
        <v>94</v>
      </c>
      <c r="J159" s="11">
        <v>331</v>
      </c>
      <c r="K159" s="11">
        <v>30.7</v>
      </c>
      <c r="L159" t="str">
        <f>VLOOKUP(B159,'[1]Plant data'!$A$1:$AB$315,2,0)</f>
        <v>Primulaceae</v>
      </c>
      <c r="M159" s="9">
        <f>VLOOKUP($B159,'[1]Plant data'!$A$1:$AB$315,6,0)</f>
        <v>3.5175000000000001</v>
      </c>
      <c r="N159" s="9">
        <f>VLOOKUP($B159,'[1]Plant data'!$A$1:$AB$315,7,0)</f>
        <v>3.7733333333333334</v>
      </c>
      <c r="O159" s="8">
        <f>VLOOKUP($B159,'[1]Plant data'!$A$1:$AB$315,10,0)</f>
        <v>2.53E-2</v>
      </c>
      <c r="P159" s="8" t="str">
        <f>VLOOKUP($B159,'[1]Plant data'!$A$1:$AB$315,11,0)</f>
        <v>NA</v>
      </c>
      <c r="Q159" s="8">
        <f>VLOOKUP($B159,'[1]Plant data'!$A$1:$AB$315,12,0)</f>
        <v>1.3000000000000001E-2</v>
      </c>
      <c r="R159" s="8">
        <f>VLOOKUP($B159,'[1]Plant data'!$A$1:$AB$315,13,0)</f>
        <v>1.3000000000000001E-2</v>
      </c>
      <c r="S159" s="8">
        <f>VLOOKUP($B159,'[1]Plant data'!$A$1:$AB$315,14,0)</f>
        <v>1.2299999999999997E-2</v>
      </c>
      <c r="T159" s="11">
        <f>VLOOKUP($B159,'[1]Plant data'!$A$1:$AB$315,15,0)</f>
        <v>1</v>
      </c>
      <c r="U159" s="9" t="str">
        <f>VLOOKUP($B159,'[1]Plant data'!$A$1:$AB$315,19,0)</f>
        <v>NA</v>
      </c>
      <c r="V159" s="8">
        <f>VLOOKUP($B159,'[1]Plant data'!$A$1:$AB$315,20,0)</f>
        <v>0.50800000000000001</v>
      </c>
      <c r="W159" s="8" t="str">
        <f>VLOOKUP($B159,'[1]Plant data'!$A$1:$AB$315,21,0)</f>
        <v>NA</v>
      </c>
      <c r="X159" s="8">
        <f>VLOOKUP($B159,'[1]Plant data'!$A$1:$AB$315,22,0)</f>
        <v>1.2E-2</v>
      </c>
      <c r="Y159" s="8">
        <f>VLOOKUP($B159,'[1]Plant data'!$A$1:$AB$315,23,0)</f>
        <v>4.2000000000000003E-2</v>
      </c>
      <c r="Z159" s="8" t="str">
        <f>VLOOKUP($B159,'[1]Plant data'!$A$1:$AB$315,24,0)</f>
        <v>NA</v>
      </c>
      <c r="AA159" s="8" t="str">
        <f>VLOOKUP($B159,'[1]Plant data'!$A$1:$AB$315,25,0)</f>
        <v>NA</v>
      </c>
      <c r="AB159" s="8">
        <f t="shared" si="13"/>
        <v>5.4000000000000006E-2</v>
      </c>
    </row>
    <row r="160" spans="1:28">
      <c r="A160" s="20" t="s">
        <v>28</v>
      </c>
      <c r="B160" s="22" t="s">
        <v>39</v>
      </c>
      <c r="C160" s="55">
        <v>1</v>
      </c>
      <c r="D160" s="17">
        <v>15</v>
      </c>
      <c r="E160" s="8">
        <f t="shared" si="15"/>
        <v>6.6666666666666666E-2</v>
      </c>
      <c r="F160" s="55" t="s">
        <v>19</v>
      </c>
      <c r="G160" s="19">
        <v>2</v>
      </c>
      <c r="H160" s="23">
        <f t="shared" si="14"/>
        <v>0.13333333333333333</v>
      </c>
      <c r="I160" t="s">
        <v>30</v>
      </c>
      <c r="J160" s="11">
        <v>18</v>
      </c>
      <c r="K160" s="11">
        <v>7.4188405800000004</v>
      </c>
      <c r="L160" t="str">
        <f>VLOOKUP(B160,'[1]Plant data'!$A$1:$AB$315,2,0)</f>
        <v>Primulaceae</v>
      </c>
      <c r="M160" s="9">
        <f>VLOOKUP($B160,'[1]Plant data'!$A$1:$AB$315,6,0)</f>
        <v>3.5175000000000001</v>
      </c>
      <c r="N160" s="9">
        <f>VLOOKUP($B160,'[1]Plant data'!$A$1:$AB$315,7,0)</f>
        <v>3.7733333333333334</v>
      </c>
      <c r="O160" s="8">
        <f>VLOOKUP($B160,'[1]Plant data'!$A$1:$AB$315,10,0)</f>
        <v>2.53E-2</v>
      </c>
      <c r="P160" s="8" t="str">
        <f>VLOOKUP($B160,'[1]Plant data'!$A$1:$AB$315,11,0)</f>
        <v>NA</v>
      </c>
      <c r="Q160" s="8">
        <f>VLOOKUP($B160,'[1]Plant data'!$A$1:$AB$315,12,0)</f>
        <v>1.3000000000000001E-2</v>
      </c>
      <c r="R160" s="8">
        <f>VLOOKUP($B160,'[1]Plant data'!$A$1:$AB$315,13,0)</f>
        <v>1.3000000000000001E-2</v>
      </c>
      <c r="S160" s="8">
        <f>VLOOKUP($B160,'[1]Plant data'!$A$1:$AB$315,14,0)</f>
        <v>1.2299999999999997E-2</v>
      </c>
      <c r="T160" s="11">
        <f>VLOOKUP($B160,'[1]Plant data'!$A$1:$AB$315,15,0)</f>
        <v>1</v>
      </c>
      <c r="U160" s="9" t="str">
        <f>VLOOKUP($B160,'[1]Plant data'!$A$1:$AB$315,19,0)</f>
        <v>NA</v>
      </c>
      <c r="V160" s="8">
        <f>VLOOKUP($B160,'[1]Plant data'!$A$1:$AB$315,20,0)</f>
        <v>0.50800000000000001</v>
      </c>
      <c r="W160" s="8" t="str">
        <f>VLOOKUP($B160,'[1]Plant data'!$A$1:$AB$315,21,0)</f>
        <v>NA</v>
      </c>
      <c r="X160" s="8">
        <f>VLOOKUP($B160,'[1]Plant data'!$A$1:$AB$315,22,0)</f>
        <v>1.2E-2</v>
      </c>
      <c r="Y160" s="8">
        <f>VLOOKUP($B160,'[1]Plant data'!$A$1:$AB$315,23,0)</f>
        <v>4.2000000000000003E-2</v>
      </c>
      <c r="Z160" s="8" t="str">
        <f>VLOOKUP($B160,'[1]Plant data'!$A$1:$AB$315,24,0)</f>
        <v>NA</v>
      </c>
      <c r="AA160" s="8" t="str">
        <f>VLOOKUP($B160,'[1]Plant data'!$A$1:$AB$315,25,0)</f>
        <v>NA</v>
      </c>
      <c r="AB160" s="8">
        <f t="shared" si="13"/>
        <v>5.4000000000000006E-2</v>
      </c>
    </row>
    <row r="161" spans="1:28">
      <c r="A161" s="5" t="s">
        <v>32</v>
      </c>
      <c r="B161" s="6" t="s">
        <v>39</v>
      </c>
      <c r="C161" s="53">
        <v>23</v>
      </c>
      <c r="D161" s="58">
        <v>22.5</v>
      </c>
      <c r="E161" s="8">
        <f t="shared" si="15"/>
        <v>1.0222222222222221</v>
      </c>
      <c r="F161" s="54" t="s">
        <v>19</v>
      </c>
      <c r="G161" s="41">
        <v>3.7083333333333339</v>
      </c>
      <c r="H161" s="23">
        <f t="shared" si="14"/>
        <v>3.7907407407407412</v>
      </c>
      <c r="I161" t="s">
        <v>30</v>
      </c>
      <c r="J161" s="11">
        <v>18</v>
      </c>
      <c r="K161" s="11">
        <v>5.1684999999999999</v>
      </c>
      <c r="L161" t="str">
        <f>VLOOKUP(B161,'[1]Plant data'!$A$1:$AB$315,2,0)</f>
        <v>Primulaceae</v>
      </c>
      <c r="M161" s="9">
        <f>VLOOKUP($B161,'[1]Plant data'!$A$1:$AB$315,6,0)</f>
        <v>3.5175000000000001</v>
      </c>
      <c r="N161" s="9">
        <f>VLOOKUP($B161,'[1]Plant data'!$A$1:$AB$315,7,0)</f>
        <v>3.7733333333333334</v>
      </c>
      <c r="O161" s="8">
        <f>VLOOKUP($B161,'[1]Plant data'!$A$1:$AB$315,10,0)</f>
        <v>2.53E-2</v>
      </c>
      <c r="P161" s="8" t="str">
        <f>VLOOKUP($B161,'[1]Plant data'!$A$1:$AB$315,11,0)</f>
        <v>NA</v>
      </c>
      <c r="Q161" s="8">
        <f>VLOOKUP($B161,'[1]Plant data'!$A$1:$AB$315,12,0)</f>
        <v>1.3000000000000001E-2</v>
      </c>
      <c r="R161" s="8">
        <f>VLOOKUP($B161,'[1]Plant data'!$A$1:$AB$315,13,0)</f>
        <v>1.3000000000000001E-2</v>
      </c>
      <c r="S161" s="8">
        <f>VLOOKUP($B161,'[1]Plant data'!$A$1:$AB$315,14,0)</f>
        <v>1.2299999999999997E-2</v>
      </c>
      <c r="T161" s="11">
        <f>VLOOKUP($B161,'[1]Plant data'!$A$1:$AB$315,15,0)</f>
        <v>1</v>
      </c>
      <c r="U161" s="9" t="str">
        <f>VLOOKUP($B161,'[1]Plant data'!$A$1:$AB$315,19,0)</f>
        <v>NA</v>
      </c>
      <c r="V161" s="8">
        <f>VLOOKUP($B161,'[1]Plant data'!$A$1:$AB$315,20,0)</f>
        <v>0.50800000000000001</v>
      </c>
      <c r="W161" s="8" t="str">
        <f>VLOOKUP($B161,'[1]Plant data'!$A$1:$AB$315,21,0)</f>
        <v>NA</v>
      </c>
      <c r="X161" s="8">
        <f>VLOOKUP($B161,'[1]Plant data'!$A$1:$AB$315,22,0)</f>
        <v>1.2E-2</v>
      </c>
      <c r="Y161" s="8">
        <f>VLOOKUP($B161,'[1]Plant data'!$A$1:$AB$315,23,0)</f>
        <v>4.2000000000000003E-2</v>
      </c>
      <c r="Z161" s="8" t="str">
        <f>VLOOKUP($B161,'[1]Plant data'!$A$1:$AB$315,24,0)</f>
        <v>NA</v>
      </c>
      <c r="AA161" s="8" t="str">
        <f>VLOOKUP($B161,'[1]Plant data'!$A$1:$AB$315,25,0)</f>
        <v>NA</v>
      </c>
      <c r="AB161" s="8">
        <f t="shared" si="13"/>
        <v>5.4000000000000006E-2</v>
      </c>
    </row>
    <row r="162" spans="1:28">
      <c r="A162" s="5" t="s">
        <v>32</v>
      </c>
      <c r="B162" s="14" t="s">
        <v>39</v>
      </c>
      <c r="C162" s="53">
        <v>10</v>
      </c>
      <c r="D162" s="11">
        <v>21</v>
      </c>
      <c r="E162" s="8">
        <f t="shared" si="15"/>
        <v>0.47619047619047616</v>
      </c>
      <c r="F162" s="54">
        <v>35</v>
      </c>
      <c r="G162" s="9">
        <f>F162/C162</f>
        <v>3.5</v>
      </c>
      <c r="H162" s="23">
        <f t="shared" si="14"/>
        <v>1.6666666666666665</v>
      </c>
      <c r="I162" t="s">
        <v>30</v>
      </c>
      <c r="J162" s="11">
        <v>18</v>
      </c>
      <c r="K162" s="11">
        <v>5.1684999999999999</v>
      </c>
      <c r="L162" t="str">
        <f>VLOOKUP(B162,'[1]Plant data'!$A$1:$AB$315,2,0)</f>
        <v>Primulaceae</v>
      </c>
      <c r="M162" s="9">
        <f>VLOOKUP($B162,'[1]Plant data'!$A$1:$AB$315,6,0)</f>
        <v>3.5175000000000001</v>
      </c>
      <c r="N162" s="9">
        <f>VLOOKUP($B162,'[1]Plant data'!$A$1:$AB$315,7,0)</f>
        <v>3.7733333333333334</v>
      </c>
      <c r="O162" s="8">
        <f>VLOOKUP($B162,'[1]Plant data'!$A$1:$AB$315,10,0)</f>
        <v>2.53E-2</v>
      </c>
      <c r="P162" s="8" t="str">
        <f>VLOOKUP($B162,'[1]Plant data'!$A$1:$AB$315,11,0)</f>
        <v>NA</v>
      </c>
      <c r="Q162" s="8">
        <f>VLOOKUP($B162,'[1]Plant data'!$A$1:$AB$315,12,0)</f>
        <v>1.3000000000000001E-2</v>
      </c>
      <c r="R162" s="8">
        <f>VLOOKUP($B162,'[1]Plant data'!$A$1:$AB$315,13,0)</f>
        <v>1.3000000000000001E-2</v>
      </c>
      <c r="S162" s="8">
        <f>VLOOKUP($B162,'[1]Plant data'!$A$1:$AB$315,14,0)</f>
        <v>1.2299999999999997E-2</v>
      </c>
      <c r="T162" s="11">
        <f>VLOOKUP($B162,'[1]Plant data'!$A$1:$AB$315,15,0)</f>
        <v>1</v>
      </c>
      <c r="U162" s="9" t="str">
        <f>VLOOKUP($B162,'[1]Plant data'!$A$1:$AB$315,19,0)</f>
        <v>NA</v>
      </c>
      <c r="V162" s="8">
        <f>VLOOKUP($B162,'[1]Plant data'!$A$1:$AB$315,20,0)</f>
        <v>0.50800000000000001</v>
      </c>
      <c r="W162" s="8" t="str">
        <f>VLOOKUP($B162,'[1]Plant data'!$A$1:$AB$315,21,0)</f>
        <v>NA</v>
      </c>
      <c r="X162" s="8">
        <f>VLOOKUP($B162,'[1]Plant data'!$A$1:$AB$315,22,0)</f>
        <v>1.2E-2</v>
      </c>
      <c r="Y162" s="8">
        <f>VLOOKUP($B162,'[1]Plant data'!$A$1:$AB$315,23,0)</f>
        <v>4.2000000000000003E-2</v>
      </c>
      <c r="Z162" s="8" t="str">
        <f>VLOOKUP($B162,'[1]Plant data'!$A$1:$AB$315,24,0)</f>
        <v>NA</v>
      </c>
      <c r="AA162" s="8" t="str">
        <f>VLOOKUP($B162,'[1]Plant data'!$A$1:$AB$315,25,0)</f>
        <v>NA</v>
      </c>
      <c r="AB162" s="8">
        <f t="shared" si="13"/>
        <v>5.4000000000000006E-2</v>
      </c>
    </row>
    <row r="163" spans="1:28">
      <c r="A163" s="5" t="s">
        <v>62</v>
      </c>
      <c r="B163" s="6" t="s">
        <v>39</v>
      </c>
      <c r="C163" s="53">
        <v>3</v>
      </c>
      <c r="D163" s="11">
        <v>21</v>
      </c>
      <c r="E163" s="8">
        <f>C163/21</f>
        <v>0.14285714285714285</v>
      </c>
      <c r="F163" s="54">
        <v>14</v>
      </c>
      <c r="G163" s="9">
        <f>F163/C163</f>
        <v>4.666666666666667</v>
      </c>
      <c r="H163" s="23">
        <f t="shared" si="14"/>
        <v>0.66666666666666663</v>
      </c>
      <c r="I163" t="s">
        <v>30</v>
      </c>
      <c r="J163" s="11">
        <v>18.7</v>
      </c>
      <c r="K163" s="11">
        <v>6.1185714290000002</v>
      </c>
      <c r="L163" t="str">
        <f>VLOOKUP(B163,'[1]Plant data'!$A$1:$AB$315,2,0)</f>
        <v>Primulaceae</v>
      </c>
      <c r="M163" s="9">
        <f>VLOOKUP($B163,'[1]Plant data'!$A$1:$AB$315,6,0)</f>
        <v>3.5175000000000001</v>
      </c>
      <c r="N163" s="9">
        <f>VLOOKUP($B163,'[1]Plant data'!$A$1:$AB$315,7,0)</f>
        <v>3.7733333333333334</v>
      </c>
      <c r="O163" s="8">
        <f>VLOOKUP($B163,'[1]Plant data'!$A$1:$AB$315,10,0)</f>
        <v>2.53E-2</v>
      </c>
      <c r="P163" s="8" t="str">
        <f>VLOOKUP($B163,'[1]Plant data'!$A$1:$AB$315,11,0)</f>
        <v>NA</v>
      </c>
      <c r="Q163" s="8">
        <f>VLOOKUP($B163,'[1]Plant data'!$A$1:$AB$315,12,0)</f>
        <v>1.3000000000000001E-2</v>
      </c>
      <c r="R163" s="8">
        <f>VLOOKUP($B163,'[1]Plant data'!$A$1:$AB$315,13,0)</f>
        <v>1.3000000000000001E-2</v>
      </c>
      <c r="S163" s="8">
        <f>VLOOKUP($B163,'[1]Plant data'!$A$1:$AB$315,14,0)</f>
        <v>1.2299999999999997E-2</v>
      </c>
      <c r="T163" s="11">
        <f>VLOOKUP($B163,'[1]Plant data'!$A$1:$AB$315,15,0)</f>
        <v>1</v>
      </c>
      <c r="U163" s="9" t="str">
        <f>VLOOKUP($B163,'[1]Plant data'!$A$1:$AB$315,19,0)</f>
        <v>NA</v>
      </c>
      <c r="V163" s="8">
        <f>VLOOKUP($B163,'[1]Plant data'!$A$1:$AB$315,20,0)</f>
        <v>0.50800000000000001</v>
      </c>
      <c r="W163" s="8" t="str">
        <f>VLOOKUP($B163,'[1]Plant data'!$A$1:$AB$315,21,0)</f>
        <v>NA</v>
      </c>
      <c r="X163" s="8">
        <f>VLOOKUP($B163,'[1]Plant data'!$A$1:$AB$315,22,0)</f>
        <v>1.2E-2</v>
      </c>
      <c r="Y163" s="8">
        <f>VLOOKUP($B163,'[1]Plant data'!$A$1:$AB$315,23,0)</f>
        <v>4.2000000000000003E-2</v>
      </c>
      <c r="Z163" s="8" t="str">
        <f>VLOOKUP($B163,'[1]Plant data'!$A$1:$AB$315,24,0)</f>
        <v>NA</v>
      </c>
      <c r="AA163" s="8" t="str">
        <f>VLOOKUP($B163,'[1]Plant data'!$A$1:$AB$315,25,0)</f>
        <v>NA</v>
      </c>
      <c r="AB163" s="8">
        <f t="shared" si="13"/>
        <v>5.4000000000000006E-2</v>
      </c>
    </row>
    <row r="164" spans="1:28">
      <c r="A164" s="5" t="s">
        <v>62</v>
      </c>
      <c r="B164" s="14" t="s">
        <v>39</v>
      </c>
      <c r="C164" s="53">
        <v>3</v>
      </c>
      <c r="D164" s="11">
        <v>21</v>
      </c>
      <c r="E164" s="8">
        <f>C164/D164</f>
        <v>0.14285714285714285</v>
      </c>
      <c r="F164" s="54">
        <v>14</v>
      </c>
      <c r="G164" s="9">
        <f>F164/C164</f>
        <v>4.666666666666667</v>
      </c>
      <c r="H164" s="23">
        <f t="shared" si="14"/>
        <v>0.66666666666666663</v>
      </c>
      <c r="I164" t="s">
        <v>30</v>
      </c>
      <c r="J164" s="11">
        <v>18.7</v>
      </c>
      <c r="K164" s="11">
        <v>6.1185714290000002</v>
      </c>
      <c r="L164" t="str">
        <f>VLOOKUP(B164,'[1]Plant data'!$A$1:$AB$315,2,0)</f>
        <v>Primulaceae</v>
      </c>
      <c r="M164" s="9">
        <f>VLOOKUP($B164,'[1]Plant data'!$A$1:$AB$315,6,0)</f>
        <v>3.5175000000000001</v>
      </c>
      <c r="N164" s="9">
        <f>VLOOKUP($B164,'[1]Plant data'!$A$1:$AB$315,7,0)</f>
        <v>3.7733333333333334</v>
      </c>
      <c r="O164" s="8">
        <f>VLOOKUP($B164,'[1]Plant data'!$A$1:$AB$315,10,0)</f>
        <v>2.53E-2</v>
      </c>
      <c r="P164" s="8" t="str">
        <f>VLOOKUP($B164,'[1]Plant data'!$A$1:$AB$315,11,0)</f>
        <v>NA</v>
      </c>
      <c r="Q164" s="8">
        <f>VLOOKUP($B164,'[1]Plant data'!$A$1:$AB$315,12,0)</f>
        <v>1.3000000000000001E-2</v>
      </c>
      <c r="R164" s="8">
        <f>VLOOKUP($B164,'[1]Plant data'!$A$1:$AB$315,13,0)</f>
        <v>1.3000000000000001E-2</v>
      </c>
      <c r="S164" s="8">
        <f>VLOOKUP($B164,'[1]Plant data'!$A$1:$AB$315,14,0)</f>
        <v>1.2299999999999997E-2</v>
      </c>
      <c r="T164" s="11">
        <f>VLOOKUP($B164,'[1]Plant data'!$A$1:$AB$315,15,0)</f>
        <v>1</v>
      </c>
      <c r="U164" s="9" t="str">
        <f>VLOOKUP($B164,'[1]Plant data'!$A$1:$AB$315,19,0)</f>
        <v>NA</v>
      </c>
      <c r="V164" s="8">
        <f>VLOOKUP($B164,'[1]Plant data'!$A$1:$AB$315,20,0)</f>
        <v>0.50800000000000001</v>
      </c>
      <c r="W164" s="8" t="str">
        <f>VLOOKUP($B164,'[1]Plant data'!$A$1:$AB$315,21,0)</f>
        <v>NA</v>
      </c>
      <c r="X164" s="8">
        <f>VLOOKUP($B164,'[1]Plant data'!$A$1:$AB$315,22,0)</f>
        <v>1.2E-2</v>
      </c>
      <c r="Y164" s="8">
        <f>VLOOKUP($B164,'[1]Plant data'!$A$1:$AB$315,23,0)</f>
        <v>4.2000000000000003E-2</v>
      </c>
      <c r="Z164" s="8" t="str">
        <f>VLOOKUP($B164,'[1]Plant data'!$A$1:$AB$315,24,0)</f>
        <v>NA</v>
      </c>
      <c r="AA164" s="8" t="str">
        <f>VLOOKUP($B164,'[1]Plant data'!$A$1:$AB$315,25,0)</f>
        <v>NA</v>
      </c>
      <c r="AB164" s="8">
        <f t="shared" si="13"/>
        <v>5.4000000000000006E-2</v>
      </c>
    </row>
    <row r="165" spans="1:28">
      <c r="A165" s="5" t="s">
        <v>41</v>
      </c>
      <c r="B165" s="14" t="s">
        <v>39</v>
      </c>
      <c r="C165" s="53">
        <v>1</v>
      </c>
      <c r="D165" s="58">
        <v>15</v>
      </c>
      <c r="E165" s="8">
        <f>(C165/15)*2</f>
        <v>0.13333333333333333</v>
      </c>
      <c r="F165" s="54" t="s">
        <v>19</v>
      </c>
      <c r="G165" s="9">
        <v>2</v>
      </c>
      <c r="H165" s="23">
        <f t="shared" si="14"/>
        <v>0.26666666666666666</v>
      </c>
      <c r="I165" t="s">
        <v>30</v>
      </c>
      <c r="J165" s="11">
        <v>39</v>
      </c>
      <c r="K165" s="11">
        <v>8.2839869279999991</v>
      </c>
      <c r="L165" t="str">
        <f>VLOOKUP(B165,'[1]Plant data'!$A$1:$AB$315,2,0)</f>
        <v>Primulaceae</v>
      </c>
      <c r="M165" s="9">
        <f>VLOOKUP($B165,'[1]Plant data'!$A$1:$AB$315,6,0)</f>
        <v>3.5175000000000001</v>
      </c>
      <c r="N165" s="9">
        <f>VLOOKUP($B165,'[1]Plant data'!$A$1:$AB$315,7,0)</f>
        <v>3.7733333333333334</v>
      </c>
      <c r="O165" s="8">
        <f>VLOOKUP($B165,'[1]Plant data'!$A$1:$AB$315,10,0)</f>
        <v>2.53E-2</v>
      </c>
      <c r="P165" s="8" t="str">
        <f>VLOOKUP($B165,'[1]Plant data'!$A$1:$AB$315,11,0)</f>
        <v>NA</v>
      </c>
      <c r="Q165" s="8">
        <f>VLOOKUP($B165,'[1]Plant data'!$A$1:$AB$315,12,0)</f>
        <v>1.3000000000000001E-2</v>
      </c>
      <c r="R165" s="8">
        <f>VLOOKUP($B165,'[1]Plant data'!$A$1:$AB$315,13,0)</f>
        <v>1.3000000000000001E-2</v>
      </c>
      <c r="S165" s="8">
        <f>VLOOKUP($B165,'[1]Plant data'!$A$1:$AB$315,14,0)</f>
        <v>1.2299999999999997E-2</v>
      </c>
      <c r="T165" s="11">
        <f>VLOOKUP($B165,'[1]Plant data'!$A$1:$AB$315,15,0)</f>
        <v>1</v>
      </c>
      <c r="U165" s="9" t="str">
        <f>VLOOKUP($B165,'[1]Plant data'!$A$1:$AB$315,19,0)</f>
        <v>NA</v>
      </c>
      <c r="V165" s="8">
        <f>VLOOKUP($B165,'[1]Plant data'!$A$1:$AB$315,20,0)</f>
        <v>0.50800000000000001</v>
      </c>
      <c r="W165" s="8" t="str">
        <f>VLOOKUP($B165,'[1]Plant data'!$A$1:$AB$315,21,0)</f>
        <v>NA</v>
      </c>
      <c r="X165" s="8">
        <f>VLOOKUP($B165,'[1]Plant data'!$A$1:$AB$315,22,0)</f>
        <v>1.2E-2</v>
      </c>
      <c r="Y165" s="8">
        <f>VLOOKUP($B165,'[1]Plant data'!$A$1:$AB$315,23,0)</f>
        <v>4.2000000000000003E-2</v>
      </c>
      <c r="Z165" s="8" t="str">
        <f>VLOOKUP($B165,'[1]Plant data'!$A$1:$AB$315,24,0)</f>
        <v>NA</v>
      </c>
      <c r="AA165" s="8" t="str">
        <f>VLOOKUP($B165,'[1]Plant data'!$A$1:$AB$315,25,0)</f>
        <v>NA</v>
      </c>
      <c r="AB165" s="8">
        <f t="shared" si="13"/>
        <v>5.4000000000000006E-2</v>
      </c>
    </row>
    <row r="166" spans="1:28">
      <c r="A166" s="5" t="s">
        <v>41</v>
      </c>
      <c r="B166" s="14" t="s">
        <v>39</v>
      </c>
      <c r="C166" s="53">
        <v>1</v>
      </c>
      <c r="D166" s="11">
        <v>21</v>
      </c>
      <c r="E166" s="8">
        <f>C166/D166</f>
        <v>4.7619047619047616E-2</v>
      </c>
      <c r="F166" s="54">
        <v>1</v>
      </c>
      <c r="G166" s="9">
        <f>F166/C166</f>
        <v>1</v>
      </c>
      <c r="H166" s="23">
        <f t="shared" si="14"/>
        <v>4.7619047619047616E-2</v>
      </c>
      <c r="I166" t="s">
        <v>30</v>
      </c>
      <c r="J166" s="11">
        <v>39</v>
      </c>
      <c r="K166" s="11">
        <v>8.2839869279999991</v>
      </c>
      <c r="L166" t="str">
        <f>VLOOKUP(B166,'[1]Plant data'!$A$1:$AB$315,2,0)</f>
        <v>Primulaceae</v>
      </c>
      <c r="M166" s="9">
        <f>VLOOKUP($B166,'[1]Plant data'!$A$1:$AB$315,6,0)</f>
        <v>3.5175000000000001</v>
      </c>
      <c r="N166" s="9">
        <f>VLOOKUP($B166,'[1]Plant data'!$A$1:$AB$315,7,0)</f>
        <v>3.7733333333333334</v>
      </c>
      <c r="O166" s="8">
        <f>VLOOKUP($B166,'[1]Plant data'!$A$1:$AB$315,10,0)</f>
        <v>2.53E-2</v>
      </c>
      <c r="P166" s="8" t="str">
        <f>VLOOKUP($B166,'[1]Plant data'!$A$1:$AB$315,11,0)</f>
        <v>NA</v>
      </c>
      <c r="Q166" s="8">
        <f>VLOOKUP($B166,'[1]Plant data'!$A$1:$AB$315,12,0)</f>
        <v>1.3000000000000001E-2</v>
      </c>
      <c r="R166" s="8">
        <f>VLOOKUP($B166,'[1]Plant data'!$A$1:$AB$315,13,0)</f>
        <v>1.3000000000000001E-2</v>
      </c>
      <c r="S166" s="8">
        <f>VLOOKUP($B166,'[1]Plant data'!$A$1:$AB$315,14,0)</f>
        <v>1.2299999999999997E-2</v>
      </c>
      <c r="T166" s="11">
        <f>VLOOKUP($B166,'[1]Plant data'!$A$1:$AB$315,15,0)</f>
        <v>1</v>
      </c>
      <c r="U166" s="9" t="str">
        <f>VLOOKUP($B166,'[1]Plant data'!$A$1:$AB$315,19,0)</f>
        <v>NA</v>
      </c>
      <c r="V166" s="8">
        <f>VLOOKUP($B166,'[1]Plant data'!$A$1:$AB$315,20,0)</f>
        <v>0.50800000000000001</v>
      </c>
      <c r="W166" s="8" t="str">
        <f>VLOOKUP($B166,'[1]Plant data'!$A$1:$AB$315,21,0)</f>
        <v>NA</v>
      </c>
      <c r="X166" s="8">
        <f>VLOOKUP($B166,'[1]Plant data'!$A$1:$AB$315,22,0)</f>
        <v>1.2E-2</v>
      </c>
      <c r="Y166" s="8">
        <f>VLOOKUP($B166,'[1]Plant data'!$A$1:$AB$315,23,0)</f>
        <v>4.2000000000000003E-2</v>
      </c>
      <c r="Z166" s="8" t="str">
        <f>VLOOKUP($B166,'[1]Plant data'!$A$1:$AB$315,24,0)</f>
        <v>NA</v>
      </c>
      <c r="AA166" s="8" t="str">
        <f>VLOOKUP($B166,'[1]Plant data'!$A$1:$AB$315,25,0)</f>
        <v>NA</v>
      </c>
      <c r="AB166" s="8">
        <f t="shared" si="13"/>
        <v>5.4000000000000006E-2</v>
      </c>
    </row>
    <row r="167" spans="1:28">
      <c r="A167" s="5" t="s">
        <v>43</v>
      </c>
      <c r="B167" s="14" t="s">
        <v>39</v>
      </c>
      <c r="C167" s="53">
        <v>33</v>
      </c>
      <c r="D167" s="58">
        <v>38.6</v>
      </c>
      <c r="E167" s="8">
        <f>C167/38.6</f>
        <v>0.85492227979274604</v>
      </c>
      <c r="F167" s="54">
        <v>161</v>
      </c>
      <c r="G167" s="9">
        <v>5</v>
      </c>
      <c r="H167" s="23">
        <f t="shared" si="14"/>
        <v>4.2746113989637298</v>
      </c>
      <c r="I167" t="s">
        <v>30</v>
      </c>
      <c r="J167" s="11">
        <v>32.5</v>
      </c>
      <c r="K167" s="11">
        <v>8.9205555560000001</v>
      </c>
      <c r="L167" t="str">
        <f>VLOOKUP(B167,'[1]Plant data'!$A$1:$AB$315,2,0)</f>
        <v>Primulaceae</v>
      </c>
      <c r="M167" s="9">
        <f>VLOOKUP($B167,'[1]Plant data'!$A$1:$AB$315,6,0)</f>
        <v>3.5175000000000001</v>
      </c>
      <c r="N167" s="9">
        <f>VLOOKUP($B167,'[1]Plant data'!$A$1:$AB$315,7,0)</f>
        <v>3.7733333333333334</v>
      </c>
      <c r="O167" s="8">
        <f>VLOOKUP($B167,'[1]Plant data'!$A$1:$AB$315,10,0)</f>
        <v>2.53E-2</v>
      </c>
      <c r="P167" s="8" t="str">
        <f>VLOOKUP($B167,'[1]Plant data'!$A$1:$AB$315,11,0)</f>
        <v>NA</v>
      </c>
      <c r="Q167" s="8">
        <f>VLOOKUP($B167,'[1]Plant data'!$A$1:$AB$315,12,0)</f>
        <v>1.3000000000000001E-2</v>
      </c>
      <c r="R167" s="8">
        <f>VLOOKUP($B167,'[1]Plant data'!$A$1:$AB$315,13,0)</f>
        <v>1.3000000000000001E-2</v>
      </c>
      <c r="S167" s="8">
        <f>VLOOKUP($B167,'[1]Plant data'!$A$1:$AB$315,14,0)</f>
        <v>1.2299999999999997E-2</v>
      </c>
      <c r="T167" s="11">
        <f>VLOOKUP($B167,'[1]Plant data'!$A$1:$AB$315,15,0)</f>
        <v>1</v>
      </c>
      <c r="U167" s="9" t="str">
        <f>VLOOKUP($B167,'[1]Plant data'!$A$1:$AB$315,19,0)</f>
        <v>NA</v>
      </c>
      <c r="V167" s="8">
        <f>VLOOKUP($B167,'[1]Plant data'!$A$1:$AB$315,20,0)</f>
        <v>0.50800000000000001</v>
      </c>
      <c r="W167" s="8" t="str">
        <f>VLOOKUP($B167,'[1]Plant data'!$A$1:$AB$315,21,0)</f>
        <v>NA</v>
      </c>
      <c r="X167" s="8">
        <f>VLOOKUP($B167,'[1]Plant data'!$A$1:$AB$315,22,0)</f>
        <v>1.2E-2</v>
      </c>
      <c r="Y167" s="8">
        <f>VLOOKUP($B167,'[1]Plant data'!$A$1:$AB$315,23,0)</f>
        <v>4.2000000000000003E-2</v>
      </c>
      <c r="Z167" s="8" t="str">
        <f>VLOOKUP($B167,'[1]Plant data'!$A$1:$AB$315,24,0)</f>
        <v>NA</v>
      </c>
      <c r="AA167" s="8" t="str">
        <f>VLOOKUP($B167,'[1]Plant data'!$A$1:$AB$315,25,0)</f>
        <v>NA</v>
      </c>
      <c r="AB167" s="8">
        <f t="shared" si="13"/>
        <v>5.4000000000000006E-2</v>
      </c>
    </row>
    <row r="168" spans="1:28">
      <c r="A168" s="5" t="s">
        <v>43</v>
      </c>
      <c r="B168" s="14" t="s">
        <v>39</v>
      </c>
      <c r="C168" s="53">
        <v>7</v>
      </c>
      <c r="D168" s="11">
        <v>21</v>
      </c>
      <c r="E168" s="8">
        <f>C168/D168</f>
        <v>0.33333333333333331</v>
      </c>
      <c r="F168" s="54">
        <v>22</v>
      </c>
      <c r="G168" s="9">
        <f>F168/C168</f>
        <v>3.1428571428571428</v>
      </c>
      <c r="H168" s="23">
        <f t="shared" si="14"/>
        <v>1.0476190476190474</v>
      </c>
      <c r="I168" t="s">
        <v>30</v>
      </c>
      <c r="J168" s="11">
        <v>32.5</v>
      </c>
      <c r="K168" s="11">
        <v>8.9205555560000001</v>
      </c>
      <c r="L168" t="str">
        <f>VLOOKUP(B168,'[1]Plant data'!$A$1:$AB$315,2,0)</f>
        <v>Primulaceae</v>
      </c>
      <c r="M168" s="9">
        <f>VLOOKUP($B168,'[1]Plant data'!$A$1:$AB$315,6,0)</f>
        <v>3.5175000000000001</v>
      </c>
      <c r="N168" s="9">
        <f>VLOOKUP($B168,'[1]Plant data'!$A$1:$AB$315,7,0)</f>
        <v>3.7733333333333334</v>
      </c>
      <c r="O168" s="8">
        <f>VLOOKUP($B168,'[1]Plant data'!$A$1:$AB$315,10,0)</f>
        <v>2.53E-2</v>
      </c>
      <c r="P168" s="8" t="str">
        <f>VLOOKUP($B168,'[1]Plant data'!$A$1:$AB$315,11,0)</f>
        <v>NA</v>
      </c>
      <c r="Q168" s="8">
        <f>VLOOKUP($B168,'[1]Plant data'!$A$1:$AB$315,12,0)</f>
        <v>1.3000000000000001E-2</v>
      </c>
      <c r="R168" s="8">
        <f>VLOOKUP($B168,'[1]Plant data'!$A$1:$AB$315,13,0)</f>
        <v>1.3000000000000001E-2</v>
      </c>
      <c r="S168" s="8">
        <f>VLOOKUP($B168,'[1]Plant data'!$A$1:$AB$315,14,0)</f>
        <v>1.2299999999999997E-2</v>
      </c>
      <c r="T168" s="11">
        <f>VLOOKUP($B168,'[1]Plant data'!$A$1:$AB$315,15,0)</f>
        <v>1</v>
      </c>
      <c r="U168" s="9" t="str">
        <f>VLOOKUP($B168,'[1]Plant data'!$A$1:$AB$315,19,0)</f>
        <v>NA</v>
      </c>
      <c r="V168" s="8">
        <f>VLOOKUP($B168,'[1]Plant data'!$A$1:$AB$315,20,0)</f>
        <v>0.50800000000000001</v>
      </c>
      <c r="W168" s="8" t="str">
        <f>VLOOKUP($B168,'[1]Plant data'!$A$1:$AB$315,21,0)</f>
        <v>NA</v>
      </c>
      <c r="X168" s="8">
        <f>VLOOKUP($B168,'[1]Plant data'!$A$1:$AB$315,22,0)</f>
        <v>1.2E-2</v>
      </c>
      <c r="Y168" s="8">
        <f>VLOOKUP($B168,'[1]Plant data'!$A$1:$AB$315,23,0)</f>
        <v>4.2000000000000003E-2</v>
      </c>
      <c r="Z168" s="8" t="str">
        <f>VLOOKUP($B168,'[1]Plant data'!$A$1:$AB$315,24,0)</f>
        <v>NA</v>
      </c>
      <c r="AA168" s="8" t="str">
        <f>VLOOKUP($B168,'[1]Plant data'!$A$1:$AB$315,25,0)</f>
        <v>NA</v>
      </c>
      <c r="AB168" s="8">
        <f t="shared" si="13"/>
        <v>5.4000000000000006E-2</v>
      </c>
    </row>
    <row r="169" spans="1:28">
      <c r="A169" s="5" t="s">
        <v>43</v>
      </c>
      <c r="B169" s="14" t="s">
        <v>39</v>
      </c>
      <c r="C169" s="53">
        <v>2</v>
      </c>
      <c r="D169" s="11">
        <v>48</v>
      </c>
      <c r="E169" s="8">
        <f>C169/48</f>
        <v>4.1666666666666664E-2</v>
      </c>
      <c r="F169" s="54" t="s">
        <v>19</v>
      </c>
      <c r="G169" s="19">
        <v>9</v>
      </c>
      <c r="H169" s="23">
        <f t="shared" si="14"/>
        <v>0.375</v>
      </c>
      <c r="I169" t="s">
        <v>30</v>
      </c>
      <c r="J169" s="11">
        <v>32.5</v>
      </c>
      <c r="K169" s="11">
        <v>8.9205555560000001</v>
      </c>
      <c r="L169" t="str">
        <f>VLOOKUP(B169,'[1]Plant data'!$A$1:$AB$315,2,0)</f>
        <v>Primulaceae</v>
      </c>
      <c r="M169" s="9">
        <f>VLOOKUP($B169,'[1]Plant data'!$A$1:$AB$315,6,0)</f>
        <v>3.5175000000000001</v>
      </c>
      <c r="N169" s="9">
        <f>VLOOKUP($B169,'[1]Plant data'!$A$1:$AB$315,7,0)</f>
        <v>3.7733333333333334</v>
      </c>
      <c r="O169" s="8">
        <f>VLOOKUP($B169,'[1]Plant data'!$A$1:$AB$315,10,0)</f>
        <v>2.53E-2</v>
      </c>
      <c r="P169" s="8" t="str">
        <f>VLOOKUP($B169,'[1]Plant data'!$A$1:$AB$315,11,0)</f>
        <v>NA</v>
      </c>
      <c r="Q169" s="8">
        <f>VLOOKUP($B169,'[1]Plant data'!$A$1:$AB$315,12,0)</f>
        <v>1.3000000000000001E-2</v>
      </c>
      <c r="R169" s="8">
        <f>VLOOKUP($B169,'[1]Plant data'!$A$1:$AB$315,13,0)</f>
        <v>1.3000000000000001E-2</v>
      </c>
      <c r="S169" s="8">
        <f>VLOOKUP($B169,'[1]Plant data'!$A$1:$AB$315,14,0)</f>
        <v>1.2299999999999997E-2</v>
      </c>
      <c r="T169" s="11">
        <f>VLOOKUP($B169,'[1]Plant data'!$A$1:$AB$315,15,0)</f>
        <v>1</v>
      </c>
      <c r="U169" s="9" t="str">
        <f>VLOOKUP($B169,'[1]Plant data'!$A$1:$AB$315,19,0)</f>
        <v>NA</v>
      </c>
      <c r="V169" s="8">
        <f>VLOOKUP($B169,'[1]Plant data'!$A$1:$AB$315,20,0)</f>
        <v>0.50800000000000001</v>
      </c>
      <c r="W169" s="8" t="str">
        <f>VLOOKUP($B169,'[1]Plant data'!$A$1:$AB$315,21,0)</f>
        <v>NA</v>
      </c>
      <c r="X169" s="8">
        <f>VLOOKUP($B169,'[1]Plant data'!$A$1:$AB$315,22,0)</f>
        <v>1.2E-2</v>
      </c>
      <c r="Y169" s="8">
        <f>VLOOKUP($B169,'[1]Plant data'!$A$1:$AB$315,23,0)</f>
        <v>4.2000000000000003E-2</v>
      </c>
      <c r="Z169" s="8" t="str">
        <f>VLOOKUP($B169,'[1]Plant data'!$A$1:$AB$315,24,0)</f>
        <v>NA</v>
      </c>
      <c r="AA169" s="8" t="str">
        <f>VLOOKUP($B169,'[1]Plant data'!$A$1:$AB$315,25,0)</f>
        <v>NA</v>
      </c>
      <c r="AB169" s="8">
        <f t="shared" si="13"/>
        <v>5.4000000000000006E-2</v>
      </c>
    </row>
    <row r="170" spans="1:28">
      <c r="A170" s="5" t="s">
        <v>43</v>
      </c>
      <c r="B170" s="6" t="s">
        <v>39</v>
      </c>
      <c r="C170" s="53">
        <v>2</v>
      </c>
      <c r="D170" s="58">
        <v>22.5</v>
      </c>
      <c r="E170" s="8">
        <f>C170/D170</f>
        <v>8.8888888888888892E-2</v>
      </c>
      <c r="F170" s="54" t="s">
        <v>19</v>
      </c>
      <c r="G170" s="41">
        <v>3.1632653061224487</v>
      </c>
      <c r="H170" s="23">
        <f t="shared" si="14"/>
        <v>0.28117913832199543</v>
      </c>
      <c r="I170" t="s">
        <v>30</v>
      </c>
      <c r="J170" s="11">
        <v>32.5</v>
      </c>
      <c r="K170" s="11">
        <v>8.9205555560000001</v>
      </c>
      <c r="L170" t="str">
        <f>VLOOKUP(B170,'[1]Plant data'!$A$1:$AB$315,2,0)</f>
        <v>Primulaceae</v>
      </c>
      <c r="M170" s="9">
        <f>VLOOKUP($B170,'[1]Plant data'!$A$1:$AB$315,6,0)</f>
        <v>3.5175000000000001</v>
      </c>
      <c r="N170" s="9">
        <f>VLOOKUP($B170,'[1]Plant data'!$A$1:$AB$315,7,0)</f>
        <v>3.7733333333333334</v>
      </c>
      <c r="O170" s="8">
        <f>VLOOKUP($B170,'[1]Plant data'!$A$1:$AB$315,10,0)</f>
        <v>2.53E-2</v>
      </c>
      <c r="P170" s="8" t="str">
        <f>VLOOKUP($B170,'[1]Plant data'!$A$1:$AB$315,11,0)</f>
        <v>NA</v>
      </c>
      <c r="Q170" s="8">
        <f>VLOOKUP($B170,'[1]Plant data'!$A$1:$AB$315,12,0)</f>
        <v>1.3000000000000001E-2</v>
      </c>
      <c r="R170" s="8">
        <f>VLOOKUP($B170,'[1]Plant data'!$A$1:$AB$315,13,0)</f>
        <v>1.3000000000000001E-2</v>
      </c>
      <c r="S170" s="8">
        <f>VLOOKUP($B170,'[1]Plant data'!$A$1:$AB$315,14,0)</f>
        <v>1.2299999999999997E-2</v>
      </c>
      <c r="T170" s="11">
        <f>VLOOKUP($B170,'[1]Plant data'!$A$1:$AB$315,15,0)</f>
        <v>1</v>
      </c>
      <c r="U170" s="9" t="str">
        <f>VLOOKUP($B170,'[1]Plant data'!$A$1:$AB$315,19,0)</f>
        <v>NA</v>
      </c>
      <c r="V170" s="8">
        <f>VLOOKUP($B170,'[1]Plant data'!$A$1:$AB$315,20,0)</f>
        <v>0.50800000000000001</v>
      </c>
      <c r="W170" s="8" t="str">
        <f>VLOOKUP($B170,'[1]Plant data'!$A$1:$AB$315,21,0)</f>
        <v>NA</v>
      </c>
      <c r="X170" s="8">
        <f>VLOOKUP($B170,'[1]Plant data'!$A$1:$AB$315,22,0)</f>
        <v>1.2E-2</v>
      </c>
      <c r="Y170" s="8">
        <f>VLOOKUP($B170,'[1]Plant data'!$A$1:$AB$315,23,0)</f>
        <v>4.2000000000000003E-2</v>
      </c>
      <c r="Z170" s="8" t="str">
        <f>VLOOKUP($B170,'[1]Plant data'!$A$1:$AB$315,24,0)</f>
        <v>NA</v>
      </c>
      <c r="AA170" s="8" t="str">
        <f>VLOOKUP($B170,'[1]Plant data'!$A$1:$AB$315,25,0)</f>
        <v>NA</v>
      </c>
      <c r="AB170" s="8">
        <f t="shared" si="13"/>
        <v>5.4000000000000006E-2</v>
      </c>
    </row>
    <row r="171" spans="1:28">
      <c r="A171" s="5" t="s">
        <v>43</v>
      </c>
      <c r="B171" s="14" t="s">
        <v>39</v>
      </c>
      <c r="C171" s="53">
        <v>1</v>
      </c>
      <c r="D171" s="58">
        <v>15</v>
      </c>
      <c r="E171" s="8">
        <f>C171/15</f>
        <v>6.6666666666666666E-2</v>
      </c>
      <c r="F171" s="54" t="s">
        <v>19</v>
      </c>
      <c r="G171" s="9">
        <v>1</v>
      </c>
      <c r="H171" s="23">
        <f t="shared" si="14"/>
        <v>6.6666666666666666E-2</v>
      </c>
      <c r="I171" t="s">
        <v>30</v>
      </c>
      <c r="J171" s="11">
        <v>32.5</v>
      </c>
      <c r="K171" s="11">
        <v>8.9205555560000001</v>
      </c>
      <c r="L171" t="str">
        <f>VLOOKUP(B171,'[1]Plant data'!$A$1:$AB$315,2,0)</f>
        <v>Primulaceae</v>
      </c>
      <c r="M171" s="9">
        <f>VLOOKUP($B171,'[1]Plant data'!$A$1:$AB$315,6,0)</f>
        <v>3.5175000000000001</v>
      </c>
      <c r="N171" s="9">
        <f>VLOOKUP($B171,'[1]Plant data'!$A$1:$AB$315,7,0)</f>
        <v>3.7733333333333334</v>
      </c>
      <c r="O171" s="8">
        <f>VLOOKUP($B171,'[1]Plant data'!$A$1:$AB$315,10,0)</f>
        <v>2.53E-2</v>
      </c>
      <c r="P171" s="8" t="str">
        <f>VLOOKUP($B171,'[1]Plant data'!$A$1:$AB$315,11,0)</f>
        <v>NA</v>
      </c>
      <c r="Q171" s="8">
        <f>VLOOKUP($B171,'[1]Plant data'!$A$1:$AB$315,12,0)</f>
        <v>1.3000000000000001E-2</v>
      </c>
      <c r="R171" s="8">
        <f>VLOOKUP($B171,'[1]Plant data'!$A$1:$AB$315,13,0)</f>
        <v>1.3000000000000001E-2</v>
      </c>
      <c r="S171" s="8">
        <f>VLOOKUP($B171,'[1]Plant data'!$A$1:$AB$315,14,0)</f>
        <v>1.2299999999999997E-2</v>
      </c>
      <c r="T171" s="11">
        <f>VLOOKUP($B171,'[1]Plant data'!$A$1:$AB$315,15,0)</f>
        <v>1</v>
      </c>
      <c r="U171" s="9" t="str">
        <f>VLOOKUP($B171,'[1]Plant data'!$A$1:$AB$315,19,0)</f>
        <v>NA</v>
      </c>
      <c r="V171" s="8">
        <f>VLOOKUP($B171,'[1]Plant data'!$A$1:$AB$315,20,0)</f>
        <v>0.50800000000000001</v>
      </c>
      <c r="W171" s="8" t="str">
        <f>VLOOKUP($B171,'[1]Plant data'!$A$1:$AB$315,21,0)</f>
        <v>NA</v>
      </c>
      <c r="X171" s="8">
        <f>VLOOKUP($B171,'[1]Plant data'!$A$1:$AB$315,22,0)</f>
        <v>1.2E-2</v>
      </c>
      <c r="Y171" s="8">
        <f>VLOOKUP($B171,'[1]Plant data'!$A$1:$AB$315,23,0)</f>
        <v>4.2000000000000003E-2</v>
      </c>
      <c r="Z171" s="8" t="str">
        <f>VLOOKUP($B171,'[1]Plant data'!$A$1:$AB$315,24,0)</f>
        <v>NA</v>
      </c>
      <c r="AA171" s="8" t="str">
        <f>VLOOKUP($B171,'[1]Plant data'!$A$1:$AB$315,25,0)</f>
        <v>NA</v>
      </c>
      <c r="AB171" s="8">
        <f t="shared" si="13"/>
        <v>5.4000000000000006E-2</v>
      </c>
    </row>
    <row r="172" spans="1:28">
      <c r="A172" s="5" t="s">
        <v>43</v>
      </c>
      <c r="B172" s="14" t="s">
        <v>39</v>
      </c>
      <c r="C172" s="53">
        <v>1</v>
      </c>
      <c r="D172" s="17">
        <v>84</v>
      </c>
      <c r="E172" s="8">
        <f>C172/84</f>
        <v>1.1904761904761904E-2</v>
      </c>
      <c r="F172" s="54">
        <v>1</v>
      </c>
      <c r="G172" s="9">
        <f>F172/C172</f>
        <v>1</v>
      </c>
      <c r="H172" s="23">
        <f t="shared" si="14"/>
        <v>1.1904761904761904E-2</v>
      </c>
      <c r="I172" t="s">
        <v>30</v>
      </c>
      <c r="J172" s="17">
        <v>32.5</v>
      </c>
      <c r="K172" s="17">
        <v>8.9205555560000001</v>
      </c>
      <c r="L172" t="str">
        <f>VLOOKUP(B172,'[1]Plant data'!$A$1:$AB$315,2,0)</f>
        <v>Primulaceae</v>
      </c>
      <c r="M172" s="9">
        <f>VLOOKUP($B172,'[1]Plant data'!$A$1:$AB$315,6,0)</f>
        <v>3.5175000000000001</v>
      </c>
      <c r="N172" s="9">
        <f>VLOOKUP($B172,'[1]Plant data'!$A$1:$AB$315,7,0)</f>
        <v>3.7733333333333334</v>
      </c>
      <c r="O172" s="8">
        <f>VLOOKUP($B172,'[1]Plant data'!$A$1:$AB$315,10,0)</f>
        <v>2.53E-2</v>
      </c>
      <c r="P172" s="8" t="str">
        <f>VLOOKUP($B172,'[1]Plant data'!$A$1:$AB$315,11,0)</f>
        <v>NA</v>
      </c>
      <c r="Q172" s="8">
        <f>VLOOKUP($B172,'[1]Plant data'!$A$1:$AB$315,12,0)</f>
        <v>1.3000000000000001E-2</v>
      </c>
      <c r="R172" s="8">
        <f>VLOOKUP($B172,'[1]Plant data'!$A$1:$AB$315,13,0)</f>
        <v>1.3000000000000001E-2</v>
      </c>
      <c r="S172" s="8">
        <f>VLOOKUP($B172,'[1]Plant data'!$A$1:$AB$315,14,0)</f>
        <v>1.2299999999999997E-2</v>
      </c>
      <c r="T172" s="11">
        <f>VLOOKUP($B172,'[1]Plant data'!$A$1:$AB$315,15,0)</f>
        <v>1</v>
      </c>
      <c r="U172" s="9" t="str">
        <f>VLOOKUP($B172,'[1]Plant data'!$A$1:$AB$315,19,0)</f>
        <v>NA</v>
      </c>
      <c r="V172" s="8">
        <f>VLOOKUP($B172,'[1]Plant data'!$A$1:$AB$315,20,0)</f>
        <v>0.50800000000000001</v>
      </c>
      <c r="W172" s="8" t="str">
        <f>VLOOKUP($B172,'[1]Plant data'!$A$1:$AB$315,21,0)</f>
        <v>NA</v>
      </c>
      <c r="X172" s="8">
        <f>VLOOKUP($B172,'[1]Plant data'!$A$1:$AB$315,22,0)</f>
        <v>1.2E-2</v>
      </c>
      <c r="Y172" s="8">
        <f>VLOOKUP($B172,'[1]Plant data'!$A$1:$AB$315,23,0)</f>
        <v>4.2000000000000003E-2</v>
      </c>
      <c r="Z172" s="8" t="str">
        <f>VLOOKUP($B172,'[1]Plant data'!$A$1:$AB$315,24,0)</f>
        <v>NA</v>
      </c>
      <c r="AA172" s="8" t="str">
        <f>VLOOKUP($B172,'[1]Plant data'!$A$1:$AB$315,25,0)</f>
        <v>NA</v>
      </c>
      <c r="AB172" s="8">
        <f t="shared" si="13"/>
        <v>5.4000000000000006E-2</v>
      </c>
    </row>
    <row r="173" spans="1:28">
      <c r="A173" s="5" t="s">
        <v>106</v>
      </c>
      <c r="B173" s="14" t="s">
        <v>39</v>
      </c>
      <c r="C173" s="53">
        <v>3</v>
      </c>
      <c r="D173" s="58">
        <v>38.6</v>
      </c>
      <c r="E173" s="8">
        <f>C173/38.6</f>
        <v>7.7720207253886009E-2</v>
      </c>
      <c r="F173" s="54">
        <v>28</v>
      </c>
      <c r="G173" s="9">
        <v>9</v>
      </c>
      <c r="H173" s="23">
        <f t="shared" si="14"/>
        <v>0.69948186528497414</v>
      </c>
      <c r="I173" t="s">
        <v>75</v>
      </c>
      <c r="J173" s="11">
        <v>68.099999999999994</v>
      </c>
      <c r="K173" s="11">
        <v>16.570370369999999</v>
      </c>
      <c r="L173" t="str">
        <f>VLOOKUP(B173,'[1]Plant data'!$A$1:$AB$315,2,0)</f>
        <v>Primulaceae</v>
      </c>
      <c r="M173" s="9">
        <f>VLOOKUP($B173,'[1]Plant data'!$A$1:$AB$315,6,0)</f>
        <v>3.5175000000000001</v>
      </c>
      <c r="N173" s="9">
        <f>VLOOKUP($B173,'[1]Plant data'!$A$1:$AB$315,7,0)</f>
        <v>3.7733333333333334</v>
      </c>
      <c r="O173" s="8">
        <f>VLOOKUP($B173,'[1]Plant data'!$A$1:$AB$315,10,0)</f>
        <v>2.53E-2</v>
      </c>
      <c r="P173" s="8" t="str">
        <f>VLOOKUP($B173,'[1]Plant data'!$A$1:$AB$315,11,0)</f>
        <v>NA</v>
      </c>
      <c r="Q173" s="8">
        <f>VLOOKUP($B173,'[1]Plant data'!$A$1:$AB$315,12,0)</f>
        <v>1.3000000000000001E-2</v>
      </c>
      <c r="R173" s="8">
        <f>VLOOKUP($B173,'[1]Plant data'!$A$1:$AB$315,13,0)</f>
        <v>1.3000000000000001E-2</v>
      </c>
      <c r="S173" s="8">
        <f>VLOOKUP($B173,'[1]Plant data'!$A$1:$AB$315,14,0)</f>
        <v>1.2299999999999997E-2</v>
      </c>
      <c r="T173" s="11">
        <f>VLOOKUP($B173,'[1]Plant data'!$A$1:$AB$315,15,0)</f>
        <v>1</v>
      </c>
      <c r="U173" s="9" t="str">
        <f>VLOOKUP($B173,'[1]Plant data'!$A$1:$AB$315,19,0)</f>
        <v>NA</v>
      </c>
      <c r="V173" s="8">
        <f>VLOOKUP($B173,'[1]Plant data'!$A$1:$AB$315,20,0)</f>
        <v>0.50800000000000001</v>
      </c>
      <c r="W173" s="8" t="str">
        <f>VLOOKUP($B173,'[1]Plant data'!$A$1:$AB$315,21,0)</f>
        <v>NA</v>
      </c>
      <c r="X173" s="8">
        <f>VLOOKUP($B173,'[1]Plant data'!$A$1:$AB$315,22,0)</f>
        <v>1.2E-2</v>
      </c>
      <c r="Y173" s="8">
        <f>VLOOKUP($B173,'[1]Plant data'!$A$1:$AB$315,23,0)</f>
        <v>4.2000000000000003E-2</v>
      </c>
      <c r="Z173" s="8" t="str">
        <f>VLOOKUP($B173,'[1]Plant data'!$A$1:$AB$315,24,0)</f>
        <v>NA</v>
      </c>
      <c r="AA173" s="8" t="str">
        <f>VLOOKUP($B173,'[1]Plant data'!$A$1:$AB$315,25,0)</f>
        <v>NA</v>
      </c>
      <c r="AB173" s="8">
        <f t="shared" si="13"/>
        <v>5.4000000000000006E-2</v>
      </c>
    </row>
    <row r="174" spans="1:28">
      <c r="A174" s="5" t="s">
        <v>46</v>
      </c>
      <c r="B174" s="14" t="s">
        <v>39</v>
      </c>
      <c r="C174" s="53">
        <v>6</v>
      </c>
      <c r="D174" s="11">
        <v>21</v>
      </c>
      <c r="E174" s="8">
        <f>C174/D174</f>
        <v>0.2857142857142857</v>
      </c>
      <c r="F174" s="54">
        <v>90</v>
      </c>
      <c r="G174" s="9">
        <f>F174/C174</f>
        <v>15</v>
      </c>
      <c r="H174" s="23">
        <f t="shared" si="14"/>
        <v>4.2857142857142856</v>
      </c>
      <c r="I174" t="s">
        <v>47</v>
      </c>
      <c r="J174" s="11">
        <v>54</v>
      </c>
      <c r="K174" s="11">
        <v>11.14875</v>
      </c>
      <c r="L174" t="str">
        <f>VLOOKUP(B174,'[1]Plant data'!$A$1:$AB$315,2,0)</f>
        <v>Primulaceae</v>
      </c>
      <c r="M174" s="9">
        <f>VLOOKUP($B174,'[1]Plant data'!$A$1:$AB$315,6,0)</f>
        <v>3.5175000000000001</v>
      </c>
      <c r="N174" s="9">
        <f>VLOOKUP($B174,'[1]Plant data'!$A$1:$AB$315,7,0)</f>
        <v>3.7733333333333334</v>
      </c>
      <c r="O174" s="8">
        <f>VLOOKUP($B174,'[1]Plant data'!$A$1:$AB$315,10,0)</f>
        <v>2.53E-2</v>
      </c>
      <c r="P174" s="8" t="str">
        <f>VLOOKUP($B174,'[1]Plant data'!$A$1:$AB$315,11,0)</f>
        <v>NA</v>
      </c>
      <c r="Q174" s="8">
        <f>VLOOKUP($B174,'[1]Plant data'!$A$1:$AB$315,12,0)</f>
        <v>1.3000000000000001E-2</v>
      </c>
      <c r="R174" s="8">
        <f>VLOOKUP($B174,'[1]Plant data'!$A$1:$AB$315,13,0)</f>
        <v>1.3000000000000001E-2</v>
      </c>
      <c r="S174" s="8">
        <f>VLOOKUP($B174,'[1]Plant data'!$A$1:$AB$315,14,0)</f>
        <v>1.2299999999999997E-2</v>
      </c>
      <c r="T174" s="11">
        <f>VLOOKUP($B174,'[1]Plant data'!$A$1:$AB$315,15,0)</f>
        <v>1</v>
      </c>
      <c r="U174" s="9" t="str">
        <f>VLOOKUP($B174,'[1]Plant data'!$A$1:$AB$315,19,0)</f>
        <v>NA</v>
      </c>
      <c r="V174" s="8">
        <f>VLOOKUP($B174,'[1]Plant data'!$A$1:$AB$315,20,0)</f>
        <v>0.50800000000000001</v>
      </c>
      <c r="W174" s="8" t="str">
        <f>VLOOKUP($B174,'[1]Plant data'!$A$1:$AB$315,21,0)</f>
        <v>NA</v>
      </c>
      <c r="X174" s="8">
        <f>VLOOKUP($B174,'[1]Plant data'!$A$1:$AB$315,22,0)</f>
        <v>1.2E-2</v>
      </c>
      <c r="Y174" s="8">
        <f>VLOOKUP($B174,'[1]Plant data'!$A$1:$AB$315,23,0)</f>
        <v>4.2000000000000003E-2</v>
      </c>
      <c r="Z174" s="8" t="str">
        <f>VLOOKUP($B174,'[1]Plant data'!$A$1:$AB$315,24,0)</f>
        <v>NA</v>
      </c>
      <c r="AA174" s="8" t="str">
        <f>VLOOKUP($B174,'[1]Plant data'!$A$1:$AB$315,25,0)</f>
        <v>NA</v>
      </c>
      <c r="AB174" s="8">
        <f t="shared" si="13"/>
        <v>5.4000000000000006E-2</v>
      </c>
    </row>
    <row r="175" spans="1:28">
      <c r="A175" s="5" t="s">
        <v>46</v>
      </c>
      <c r="B175" s="14" t="s">
        <v>39</v>
      </c>
      <c r="C175" s="53">
        <v>7</v>
      </c>
      <c r="D175" s="59" t="s">
        <v>19</v>
      </c>
      <c r="E175" s="76">
        <v>0.11001984126984127</v>
      </c>
      <c r="F175" s="54">
        <v>166</v>
      </c>
      <c r="G175" s="9">
        <f>F175/C175</f>
        <v>23.714285714285715</v>
      </c>
      <c r="H175" s="23">
        <f t="shared" si="14"/>
        <v>2.6090419501133786</v>
      </c>
      <c r="I175" t="s">
        <v>47</v>
      </c>
      <c r="J175" s="11">
        <v>54</v>
      </c>
      <c r="K175" s="11">
        <v>11.14875</v>
      </c>
      <c r="L175" t="str">
        <f>VLOOKUP(B175,'[1]Plant data'!$A$1:$AB$315,2,0)</f>
        <v>Primulaceae</v>
      </c>
      <c r="M175" s="9">
        <f>VLOOKUP($B175,'[1]Plant data'!$A$1:$AB$315,6,0)</f>
        <v>3.5175000000000001</v>
      </c>
      <c r="N175" s="9">
        <f>VLOOKUP($B175,'[1]Plant data'!$A$1:$AB$315,7,0)</f>
        <v>3.7733333333333334</v>
      </c>
      <c r="O175" s="8">
        <f>VLOOKUP($B175,'[1]Plant data'!$A$1:$AB$315,10,0)</f>
        <v>2.53E-2</v>
      </c>
      <c r="P175" s="8" t="str">
        <f>VLOOKUP($B175,'[1]Plant data'!$A$1:$AB$315,11,0)</f>
        <v>NA</v>
      </c>
      <c r="Q175" s="8">
        <f>VLOOKUP($B175,'[1]Plant data'!$A$1:$AB$315,12,0)</f>
        <v>1.3000000000000001E-2</v>
      </c>
      <c r="R175" s="8">
        <f>VLOOKUP($B175,'[1]Plant data'!$A$1:$AB$315,13,0)</f>
        <v>1.3000000000000001E-2</v>
      </c>
      <c r="S175" s="8">
        <f>VLOOKUP($B175,'[1]Plant data'!$A$1:$AB$315,14,0)</f>
        <v>1.2299999999999997E-2</v>
      </c>
      <c r="T175" s="11">
        <f>VLOOKUP($B175,'[1]Plant data'!$A$1:$AB$315,15,0)</f>
        <v>1</v>
      </c>
      <c r="U175" s="9" t="str">
        <f>VLOOKUP($B175,'[1]Plant data'!$A$1:$AB$315,19,0)</f>
        <v>NA</v>
      </c>
      <c r="V175" s="8">
        <f>VLOOKUP($B175,'[1]Plant data'!$A$1:$AB$315,20,0)</f>
        <v>0.50800000000000001</v>
      </c>
      <c r="W175" s="8" t="str">
        <f>VLOOKUP($B175,'[1]Plant data'!$A$1:$AB$315,21,0)</f>
        <v>NA</v>
      </c>
      <c r="X175" s="8">
        <f>VLOOKUP($B175,'[1]Plant data'!$A$1:$AB$315,22,0)</f>
        <v>1.2E-2</v>
      </c>
      <c r="Y175" s="8">
        <f>VLOOKUP($B175,'[1]Plant data'!$A$1:$AB$315,23,0)</f>
        <v>4.2000000000000003E-2</v>
      </c>
      <c r="Z175" s="8" t="str">
        <f>VLOOKUP($B175,'[1]Plant data'!$A$1:$AB$315,24,0)</f>
        <v>NA</v>
      </c>
      <c r="AA175" s="8" t="str">
        <f>VLOOKUP($B175,'[1]Plant data'!$A$1:$AB$315,25,0)</f>
        <v>NA</v>
      </c>
      <c r="AB175" s="8">
        <f t="shared" si="13"/>
        <v>5.4000000000000006E-2</v>
      </c>
    </row>
    <row r="176" spans="1:28">
      <c r="A176" s="5" t="s">
        <v>46</v>
      </c>
      <c r="B176" s="6" t="s">
        <v>39</v>
      </c>
      <c r="C176" s="53">
        <v>2</v>
      </c>
      <c r="D176" s="58">
        <v>22.5</v>
      </c>
      <c r="E176" s="8">
        <f>C176/D176</f>
        <v>8.8888888888888892E-2</v>
      </c>
      <c r="F176" s="54" t="s">
        <v>19</v>
      </c>
      <c r="G176" s="41">
        <v>14.303571428571429</v>
      </c>
      <c r="H176" s="23">
        <f t="shared" si="14"/>
        <v>1.2714285714285716</v>
      </c>
      <c r="I176" t="s">
        <v>47</v>
      </c>
      <c r="J176" s="11">
        <v>54</v>
      </c>
      <c r="K176" s="11">
        <v>11.14875</v>
      </c>
      <c r="L176" t="str">
        <f>VLOOKUP(B176,'[1]Plant data'!$A$1:$AB$315,2,0)</f>
        <v>Primulaceae</v>
      </c>
      <c r="M176" s="9">
        <f>VLOOKUP($B176,'[1]Plant data'!$A$1:$AB$315,6,0)</f>
        <v>3.5175000000000001</v>
      </c>
      <c r="N176" s="9">
        <f>VLOOKUP($B176,'[1]Plant data'!$A$1:$AB$315,7,0)</f>
        <v>3.7733333333333334</v>
      </c>
      <c r="O176" s="8">
        <f>VLOOKUP($B176,'[1]Plant data'!$A$1:$AB$315,10,0)</f>
        <v>2.53E-2</v>
      </c>
      <c r="P176" s="8" t="str">
        <f>VLOOKUP($B176,'[1]Plant data'!$A$1:$AB$315,11,0)</f>
        <v>NA</v>
      </c>
      <c r="Q176" s="8">
        <f>VLOOKUP($B176,'[1]Plant data'!$A$1:$AB$315,12,0)</f>
        <v>1.3000000000000001E-2</v>
      </c>
      <c r="R176" s="8">
        <f>VLOOKUP($B176,'[1]Plant data'!$A$1:$AB$315,13,0)</f>
        <v>1.3000000000000001E-2</v>
      </c>
      <c r="S176" s="8">
        <f>VLOOKUP($B176,'[1]Plant data'!$A$1:$AB$315,14,0)</f>
        <v>1.2299999999999997E-2</v>
      </c>
      <c r="T176" s="11">
        <f>VLOOKUP($B176,'[1]Plant data'!$A$1:$AB$315,15,0)</f>
        <v>1</v>
      </c>
      <c r="U176" s="9" t="str">
        <f>VLOOKUP($B176,'[1]Plant data'!$A$1:$AB$315,19,0)</f>
        <v>NA</v>
      </c>
      <c r="V176" s="8">
        <f>VLOOKUP($B176,'[1]Plant data'!$A$1:$AB$315,20,0)</f>
        <v>0.50800000000000001</v>
      </c>
      <c r="W176" s="8" t="str">
        <f>VLOOKUP($B176,'[1]Plant data'!$A$1:$AB$315,21,0)</f>
        <v>NA</v>
      </c>
      <c r="X176" s="8">
        <f>VLOOKUP($B176,'[1]Plant data'!$A$1:$AB$315,22,0)</f>
        <v>1.2E-2</v>
      </c>
      <c r="Y176" s="8">
        <f>VLOOKUP($B176,'[1]Plant data'!$A$1:$AB$315,23,0)</f>
        <v>4.2000000000000003E-2</v>
      </c>
      <c r="Z176" s="8" t="str">
        <f>VLOOKUP($B176,'[1]Plant data'!$A$1:$AB$315,24,0)</f>
        <v>NA</v>
      </c>
      <c r="AA176" s="8" t="str">
        <f>VLOOKUP($B176,'[1]Plant data'!$A$1:$AB$315,25,0)</f>
        <v>NA</v>
      </c>
      <c r="AB176" s="8">
        <f t="shared" si="13"/>
        <v>5.4000000000000006E-2</v>
      </c>
    </row>
    <row r="177" spans="1:28">
      <c r="A177" s="5" t="s">
        <v>46</v>
      </c>
      <c r="B177" s="6" t="s">
        <v>39</v>
      </c>
      <c r="C177" s="53">
        <v>2</v>
      </c>
      <c r="D177" s="11">
        <v>48</v>
      </c>
      <c r="E177" s="8">
        <f>C177/48</f>
        <v>4.1666666666666664E-2</v>
      </c>
      <c r="F177" s="54" t="s">
        <v>19</v>
      </c>
      <c r="G177" s="19">
        <v>8</v>
      </c>
      <c r="H177" s="23">
        <f t="shared" si="14"/>
        <v>0.33333333333333331</v>
      </c>
      <c r="I177" t="s">
        <v>47</v>
      </c>
      <c r="J177" s="11">
        <v>54</v>
      </c>
      <c r="K177" s="11">
        <v>11.14875</v>
      </c>
      <c r="L177" t="str">
        <f>VLOOKUP(B177,'[1]Plant data'!$A$1:$AB$315,2,0)</f>
        <v>Primulaceae</v>
      </c>
      <c r="M177" s="9">
        <f>VLOOKUP($B177,'[1]Plant data'!$A$1:$AB$315,6,0)</f>
        <v>3.5175000000000001</v>
      </c>
      <c r="N177" s="9">
        <f>VLOOKUP($B177,'[1]Plant data'!$A$1:$AB$315,7,0)</f>
        <v>3.7733333333333334</v>
      </c>
      <c r="O177" s="8">
        <f>VLOOKUP($B177,'[1]Plant data'!$A$1:$AB$315,10,0)</f>
        <v>2.53E-2</v>
      </c>
      <c r="P177" s="8" t="str">
        <f>VLOOKUP($B177,'[1]Plant data'!$A$1:$AB$315,11,0)</f>
        <v>NA</v>
      </c>
      <c r="Q177" s="8">
        <f>VLOOKUP($B177,'[1]Plant data'!$A$1:$AB$315,12,0)</f>
        <v>1.3000000000000001E-2</v>
      </c>
      <c r="R177" s="8">
        <f>VLOOKUP($B177,'[1]Plant data'!$A$1:$AB$315,13,0)</f>
        <v>1.3000000000000001E-2</v>
      </c>
      <c r="S177" s="8">
        <f>VLOOKUP($B177,'[1]Plant data'!$A$1:$AB$315,14,0)</f>
        <v>1.2299999999999997E-2</v>
      </c>
      <c r="T177" s="11">
        <f>VLOOKUP($B177,'[1]Plant data'!$A$1:$AB$315,15,0)</f>
        <v>1</v>
      </c>
      <c r="U177" s="9" t="str">
        <f>VLOOKUP($B177,'[1]Plant data'!$A$1:$AB$315,19,0)</f>
        <v>NA</v>
      </c>
      <c r="V177" s="8">
        <f>VLOOKUP($B177,'[1]Plant data'!$A$1:$AB$315,20,0)</f>
        <v>0.50800000000000001</v>
      </c>
      <c r="W177" s="8" t="str">
        <f>VLOOKUP($B177,'[1]Plant data'!$A$1:$AB$315,21,0)</f>
        <v>NA</v>
      </c>
      <c r="X177" s="8">
        <f>VLOOKUP($B177,'[1]Plant data'!$A$1:$AB$315,22,0)</f>
        <v>1.2E-2</v>
      </c>
      <c r="Y177" s="8">
        <f>VLOOKUP($B177,'[1]Plant data'!$A$1:$AB$315,23,0)</f>
        <v>4.2000000000000003E-2</v>
      </c>
      <c r="Z177" s="8" t="str">
        <f>VLOOKUP($B177,'[1]Plant data'!$A$1:$AB$315,24,0)</f>
        <v>NA</v>
      </c>
      <c r="AA177" s="8" t="str">
        <f>VLOOKUP($B177,'[1]Plant data'!$A$1:$AB$315,25,0)</f>
        <v>NA</v>
      </c>
      <c r="AB177" s="8">
        <f t="shared" si="13"/>
        <v>5.4000000000000006E-2</v>
      </c>
    </row>
    <row r="178" spans="1:28">
      <c r="A178" s="5" t="s">
        <v>46</v>
      </c>
      <c r="B178" s="14" t="s">
        <v>39</v>
      </c>
      <c r="C178" s="53">
        <v>2</v>
      </c>
      <c r="D178" s="17">
        <v>84</v>
      </c>
      <c r="E178" s="8">
        <f>C178/84</f>
        <v>2.3809523809523808E-2</v>
      </c>
      <c r="F178" s="54">
        <v>21</v>
      </c>
      <c r="G178" s="9">
        <f>F178/C178</f>
        <v>10.5</v>
      </c>
      <c r="H178" s="23">
        <f t="shared" si="14"/>
        <v>0.25</v>
      </c>
      <c r="I178" t="s">
        <v>47</v>
      </c>
      <c r="J178" s="11">
        <v>54</v>
      </c>
      <c r="K178" s="11">
        <v>11.14875</v>
      </c>
      <c r="L178" t="str">
        <f>VLOOKUP(B178,'[1]Plant data'!$A$1:$AB$315,2,0)</f>
        <v>Primulaceae</v>
      </c>
      <c r="M178" s="9">
        <f>VLOOKUP($B178,'[1]Plant data'!$A$1:$AB$315,6,0)</f>
        <v>3.5175000000000001</v>
      </c>
      <c r="N178" s="9">
        <f>VLOOKUP($B178,'[1]Plant data'!$A$1:$AB$315,7,0)</f>
        <v>3.7733333333333334</v>
      </c>
      <c r="O178" s="8">
        <f>VLOOKUP($B178,'[1]Plant data'!$A$1:$AB$315,10,0)</f>
        <v>2.53E-2</v>
      </c>
      <c r="P178" s="8" t="str">
        <f>VLOOKUP($B178,'[1]Plant data'!$A$1:$AB$315,11,0)</f>
        <v>NA</v>
      </c>
      <c r="Q178" s="8">
        <f>VLOOKUP($B178,'[1]Plant data'!$A$1:$AB$315,12,0)</f>
        <v>1.3000000000000001E-2</v>
      </c>
      <c r="R178" s="8">
        <f>VLOOKUP($B178,'[1]Plant data'!$A$1:$AB$315,13,0)</f>
        <v>1.3000000000000001E-2</v>
      </c>
      <c r="S178" s="8">
        <f>VLOOKUP($B178,'[1]Plant data'!$A$1:$AB$315,14,0)</f>
        <v>1.2299999999999997E-2</v>
      </c>
      <c r="T178" s="11">
        <f>VLOOKUP($B178,'[1]Plant data'!$A$1:$AB$315,15,0)</f>
        <v>1</v>
      </c>
      <c r="U178" s="9" t="str">
        <f>VLOOKUP($B178,'[1]Plant data'!$A$1:$AB$315,19,0)</f>
        <v>NA</v>
      </c>
      <c r="V178" s="8">
        <f>VLOOKUP($B178,'[1]Plant data'!$A$1:$AB$315,20,0)</f>
        <v>0.50800000000000001</v>
      </c>
      <c r="W178" s="8" t="str">
        <f>VLOOKUP($B178,'[1]Plant data'!$A$1:$AB$315,21,0)</f>
        <v>NA</v>
      </c>
      <c r="X178" s="8">
        <f>VLOOKUP($B178,'[1]Plant data'!$A$1:$AB$315,22,0)</f>
        <v>1.2E-2</v>
      </c>
      <c r="Y178" s="8">
        <f>VLOOKUP($B178,'[1]Plant data'!$A$1:$AB$315,23,0)</f>
        <v>4.2000000000000003E-2</v>
      </c>
      <c r="Z178" s="8" t="str">
        <f>VLOOKUP($B178,'[1]Plant data'!$A$1:$AB$315,24,0)</f>
        <v>NA</v>
      </c>
      <c r="AA178" s="8" t="str">
        <f>VLOOKUP($B178,'[1]Plant data'!$A$1:$AB$315,25,0)</f>
        <v>NA</v>
      </c>
      <c r="AB178" s="8">
        <f t="shared" si="13"/>
        <v>5.4000000000000006E-2</v>
      </c>
    </row>
    <row r="179" spans="1:28">
      <c r="A179" s="5" t="s">
        <v>50</v>
      </c>
      <c r="B179" s="14" t="s">
        <v>39</v>
      </c>
      <c r="C179" s="53">
        <v>22</v>
      </c>
      <c r="D179" s="58">
        <v>38.6</v>
      </c>
      <c r="E179" s="8">
        <f>C179/38.6</f>
        <v>0.56994818652849744</v>
      </c>
      <c r="F179" s="54">
        <v>682</v>
      </c>
      <c r="G179" s="9">
        <v>31</v>
      </c>
      <c r="H179" s="23">
        <f t="shared" si="14"/>
        <v>17.668393782383422</v>
      </c>
      <c r="I179" t="s">
        <v>47</v>
      </c>
      <c r="J179" s="11">
        <v>69.5</v>
      </c>
      <c r="K179" s="11">
        <v>13.253214290000001</v>
      </c>
      <c r="L179" t="str">
        <f>VLOOKUP(B179,'[1]Plant data'!$A$1:$AB$315,2,0)</f>
        <v>Primulaceae</v>
      </c>
      <c r="M179" s="9">
        <f>VLOOKUP($B179,'[1]Plant data'!$A$1:$AB$315,6,0)</f>
        <v>3.5175000000000001</v>
      </c>
      <c r="N179" s="9">
        <f>VLOOKUP($B179,'[1]Plant data'!$A$1:$AB$315,7,0)</f>
        <v>3.7733333333333334</v>
      </c>
      <c r="O179" s="8">
        <f>VLOOKUP($B179,'[1]Plant data'!$A$1:$AB$315,10,0)</f>
        <v>2.53E-2</v>
      </c>
      <c r="P179" s="8" t="str">
        <f>VLOOKUP($B179,'[1]Plant data'!$A$1:$AB$315,11,0)</f>
        <v>NA</v>
      </c>
      <c r="Q179" s="8">
        <f>VLOOKUP($B179,'[1]Plant data'!$A$1:$AB$315,12,0)</f>
        <v>1.3000000000000001E-2</v>
      </c>
      <c r="R179" s="8">
        <f>VLOOKUP($B179,'[1]Plant data'!$A$1:$AB$315,13,0)</f>
        <v>1.3000000000000001E-2</v>
      </c>
      <c r="S179" s="8">
        <f>VLOOKUP($B179,'[1]Plant data'!$A$1:$AB$315,14,0)</f>
        <v>1.2299999999999997E-2</v>
      </c>
      <c r="T179" s="11">
        <f>VLOOKUP($B179,'[1]Plant data'!$A$1:$AB$315,15,0)</f>
        <v>1</v>
      </c>
      <c r="U179" s="9" t="str">
        <f>VLOOKUP($B179,'[1]Plant data'!$A$1:$AB$315,19,0)</f>
        <v>NA</v>
      </c>
      <c r="V179" s="8">
        <f>VLOOKUP($B179,'[1]Plant data'!$A$1:$AB$315,20,0)</f>
        <v>0.50800000000000001</v>
      </c>
      <c r="W179" s="8" t="str">
        <f>VLOOKUP($B179,'[1]Plant data'!$A$1:$AB$315,21,0)</f>
        <v>NA</v>
      </c>
      <c r="X179" s="8">
        <f>VLOOKUP($B179,'[1]Plant data'!$A$1:$AB$315,22,0)</f>
        <v>1.2E-2</v>
      </c>
      <c r="Y179" s="8">
        <f>VLOOKUP($B179,'[1]Plant data'!$A$1:$AB$315,23,0)</f>
        <v>4.2000000000000003E-2</v>
      </c>
      <c r="Z179" s="8" t="str">
        <f>VLOOKUP($B179,'[1]Plant data'!$A$1:$AB$315,24,0)</f>
        <v>NA</v>
      </c>
      <c r="AA179" s="8" t="str">
        <f>VLOOKUP($B179,'[1]Plant data'!$A$1:$AB$315,25,0)</f>
        <v>NA</v>
      </c>
      <c r="AB179" s="8">
        <f t="shared" si="13"/>
        <v>5.4000000000000006E-2</v>
      </c>
    </row>
    <row r="180" spans="1:28">
      <c r="A180" s="5" t="s">
        <v>50</v>
      </c>
      <c r="B180" s="14" t="s">
        <v>39</v>
      </c>
      <c r="C180" s="53">
        <v>16</v>
      </c>
      <c r="D180" s="11">
        <v>21</v>
      </c>
      <c r="E180" s="8">
        <f>C180/D180</f>
        <v>0.76190476190476186</v>
      </c>
      <c r="F180" s="54">
        <v>368</v>
      </c>
      <c r="G180" s="9">
        <f>F180/C180</f>
        <v>23</v>
      </c>
      <c r="H180" s="23">
        <f t="shared" si="14"/>
        <v>17.523809523809522</v>
      </c>
      <c r="I180" t="s">
        <v>47</v>
      </c>
      <c r="J180" s="11">
        <v>69.5</v>
      </c>
      <c r="K180" s="11">
        <v>13.253214290000001</v>
      </c>
      <c r="L180" t="str">
        <f>VLOOKUP(B180,'[1]Plant data'!$A$1:$AB$315,2,0)</f>
        <v>Primulaceae</v>
      </c>
      <c r="M180" s="9">
        <f>VLOOKUP($B180,'[1]Plant data'!$A$1:$AB$315,6,0)</f>
        <v>3.5175000000000001</v>
      </c>
      <c r="N180" s="9">
        <f>VLOOKUP($B180,'[1]Plant data'!$A$1:$AB$315,7,0)</f>
        <v>3.7733333333333334</v>
      </c>
      <c r="O180" s="8">
        <f>VLOOKUP($B180,'[1]Plant data'!$A$1:$AB$315,10,0)</f>
        <v>2.53E-2</v>
      </c>
      <c r="P180" s="8" t="str">
        <f>VLOOKUP($B180,'[1]Plant data'!$A$1:$AB$315,11,0)</f>
        <v>NA</v>
      </c>
      <c r="Q180" s="8">
        <f>VLOOKUP($B180,'[1]Plant data'!$A$1:$AB$315,12,0)</f>
        <v>1.3000000000000001E-2</v>
      </c>
      <c r="R180" s="8">
        <f>VLOOKUP($B180,'[1]Plant data'!$A$1:$AB$315,13,0)</f>
        <v>1.3000000000000001E-2</v>
      </c>
      <c r="S180" s="8">
        <f>VLOOKUP($B180,'[1]Plant data'!$A$1:$AB$315,14,0)</f>
        <v>1.2299999999999997E-2</v>
      </c>
      <c r="T180" s="11">
        <f>VLOOKUP($B180,'[1]Plant data'!$A$1:$AB$315,15,0)</f>
        <v>1</v>
      </c>
      <c r="U180" s="9" t="str">
        <f>VLOOKUP($B180,'[1]Plant data'!$A$1:$AB$315,19,0)</f>
        <v>NA</v>
      </c>
      <c r="V180" s="8">
        <f>VLOOKUP($B180,'[1]Plant data'!$A$1:$AB$315,20,0)</f>
        <v>0.50800000000000001</v>
      </c>
      <c r="W180" s="8" t="str">
        <f>VLOOKUP($B180,'[1]Plant data'!$A$1:$AB$315,21,0)</f>
        <v>NA</v>
      </c>
      <c r="X180" s="8">
        <f>VLOOKUP($B180,'[1]Plant data'!$A$1:$AB$315,22,0)</f>
        <v>1.2E-2</v>
      </c>
      <c r="Y180" s="8">
        <f>VLOOKUP($B180,'[1]Plant data'!$A$1:$AB$315,23,0)</f>
        <v>4.2000000000000003E-2</v>
      </c>
      <c r="Z180" s="8" t="str">
        <f>VLOOKUP($B180,'[1]Plant data'!$A$1:$AB$315,24,0)</f>
        <v>NA</v>
      </c>
      <c r="AA180" s="8" t="str">
        <f>VLOOKUP($B180,'[1]Plant data'!$A$1:$AB$315,25,0)</f>
        <v>NA</v>
      </c>
      <c r="AB180" s="8">
        <f t="shared" si="13"/>
        <v>5.4000000000000006E-2</v>
      </c>
    </row>
    <row r="181" spans="1:28">
      <c r="A181" s="5" t="s">
        <v>50</v>
      </c>
      <c r="B181" s="14" t="s">
        <v>39</v>
      </c>
      <c r="C181" s="53">
        <v>13</v>
      </c>
      <c r="D181" s="11">
        <v>48</v>
      </c>
      <c r="E181" s="8">
        <f>C181/48</f>
        <v>0.27083333333333331</v>
      </c>
      <c r="F181" s="54" t="s">
        <v>19</v>
      </c>
      <c r="G181" s="19">
        <v>36.799999999999997</v>
      </c>
      <c r="H181" s="23">
        <f t="shared" si="14"/>
        <v>9.966666666666665</v>
      </c>
      <c r="I181" t="s">
        <v>47</v>
      </c>
      <c r="J181" s="11">
        <v>69.5</v>
      </c>
      <c r="K181" s="11">
        <v>13.253214290000001</v>
      </c>
      <c r="L181" t="str">
        <f>VLOOKUP(B181,'[1]Plant data'!$A$1:$AB$315,2,0)</f>
        <v>Primulaceae</v>
      </c>
      <c r="M181" s="9">
        <f>VLOOKUP($B181,'[1]Plant data'!$A$1:$AB$315,6,0)</f>
        <v>3.5175000000000001</v>
      </c>
      <c r="N181" s="9">
        <f>VLOOKUP($B181,'[1]Plant data'!$A$1:$AB$315,7,0)</f>
        <v>3.7733333333333334</v>
      </c>
      <c r="O181" s="8">
        <f>VLOOKUP($B181,'[1]Plant data'!$A$1:$AB$315,10,0)</f>
        <v>2.53E-2</v>
      </c>
      <c r="P181" s="8" t="str">
        <f>VLOOKUP($B181,'[1]Plant data'!$A$1:$AB$315,11,0)</f>
        <v>NA</v>
      </c>
      <c r="Q181" s="8">
        <f>VLOOKUP($B181,'[1]Plant data'!$A$1:$AB$315,12,0)</f>
        <v>1.3000000000000001E-2</v>
      </c>
      <c r="R181" s="8">
        <f>VLOOKUP($B181,'[1]Plant data'!$A$1:$AB$315,13,0)</f>
        <v>1.3000000000000001E-2</v>
      </c>
      <c r="S181" s="8">
        <f>VLOOKUP($B181,'[1]Plant data'!$A$1:$AB$315,14,0)</f>
        <v>1.2299999999999997E-2</v>
      </c>
      <c r="T181" s="11">
        <f>VLOOKUP($B181,'[1]Plant data'!$A$1:$AB$315,15,0)</f>
        <v>1</v>
      </c>
      <c r="U181" s="9" t="str">
        <f>VLOOKUP($B181,'[1]Plant data'!$A$1:$AB$315,19,0)</f>
        <v>NA</v>
      </c>
      <c r="V181" s="8">
        <f>VLOOKUP($B181,'[1]Plant data'!$A$1:$AB$315,20,0)</f>
        <v>0.50800000000000001</v>
      </c>
      <c r="W181" s="8" t="str">
        <f>VLOOKUP($B181,'[1]Plant data'!$A$1:$AB$315,21,0)</f>
        <v>NA</v>
      </c>
      <c r="X181" s="8">
        <f>VLOOKUP($B181,'[1]Plant data'!$A$1:$AB$315,22,0)</f>
        <v>1.2E-2</v>
      </c>
      <c r="Y181" s="8">
        <f>VLOOKUP($B181,'[1]Plant data'!$A$1:$AB$315,23,0)</f>
        <v>4.2000000000000003E-2</v>
      </c>
      <c r="Z181" s="8" t="str">
        <f>VLOOKUP($B181,'[1]Plant data'!$A$1:$AB$315,24,0)</f>
        <v>NA</v>
      </c>
      <c r="AA181" s="8" t="str">
        <f>VLOOKUP($B181,'[1]Plant data'!$A$1:$AB$315,25,0)</f>
        <v>NA</v>
      </c>
      <c r="AB181" s="8">
        <f t="shared" si="13"/>
        <v>5.4000000000000006E-2</v>
      </c>
    </row>
    <row r="182" spans="1:28">
      <c r="A182" s="5" t="s">
        <v>50</v>
      </c>
      <c r="B182" s="6" t="s">
        <v>39</v>
      </c>
      <c r="C182" s="53">
        <v>4</v>
      </c>
      <c r="D182" s="58">
        <v>22.5</v>
      </c>
      <c r="E182" s="8">
        <f>C182/D182</f>
        <v>0.17777777777777778</v>
      </c>
      <c r="F182" s="54" t="s">
        <v>19</v>
      </c>
      <c r="G182" s="41">
        <v>23.785454545454545</v>
      </c>
      <c r="H182" s="23">
        <f t="shared" si="14"/>
        <v>4.2285252525252526</v>
      </c>
      <c r="I182" t="s">
        <v>47</v>
      </c>
      <c r="J182" s="11">
        <v>69.5</v>
      </c>
      <c r="K182" s="11">
        <v>13.253214290000001</v>
      </c>
      <c r="L182" t="str">
        <f>VLOOKUP(B182,'[1]Plant data'!$A$1:$AB$315,2,0)</f>
        <v>Primulaceae</v>
      </c>
      <c r="M182" s="9">
        <f>VLOOKUP($B182,'[1]Plant data'!$A$1:$AB$315,6,0)</f>
        <v>3.5175000000000001</v>
      </c>
      <c r="N182" s="9">
        <f>VLOOKUP($B182,'[1]Plant data'!$A$1:$AB$315,7,0)</f>
        <v>3.7733333333333334</v>
      </c>
      <c r="O182" s="8">
        <f>VLOOKUP($B182,'[1]Plant data'!$A$1:$AB$315,10,0)</f>
        <v>2.53E-2</v>
      </c>
      <c r="P182" s="8" t="str">
        <f>VLOOKUP($B182,'[1]Plant data'!$A$1:$AB$315,11,0)</f>
        <v>NA</v>
      </c>
      <c r="Q182" s="8">
        <f>VLOOKUP($B182,'[1]Plant data'!$A$1:$AB$315,12,0)</f>
        <v>1.3000000000000001E-2</v>
      </c>
      <c r="R182" s="8">
        <f>VLOOKUP($B182,'[1]Plant data'!$A$1:$AB$315,13,0)</f>
        <v>1.3000000000000001E-2</v>
      </c>
      <c r="S182" s="8">
        <f>VLOOKUP($B182,'[1]Plant data'!$A$1:$AB$315,14,0)</f>
        <v>1.2299999999999997E-2</v>
      </c>
      <c r="T182" s="11">
        <f>VLOOKUP($B182,'[1]Plant data'!$A$1:$AB$315,15,0)</f>
        <v>1</v>
      </c>
      <c r="U182" s="9" t="str">
        <f>VLOOKUP($B182,'[1]Plant data'!$A$1:$AB$315,19,0)</f>
        <v>NA</v>
      </c>
      <c r="V182" s="8">
        <f>VLOOKUP($B182,'[1]Plant data'!$A$1:$AB$315,20,0)</f>
        <v>0.50800000000000001</v>
      </c>
      <c r="W182" s="8" t="str">
        <f>VLOOKUP($B182,'[1]Plant data'!$A$1:$AB$315,21,0)</f>
        <v>NA</v>
      </c>
      <c r="X182" s="8">
        <f>VLOOKUP($B182,'[1]Plant data'!$A$1:$AB$315,22,0)</f>
        <v>1.2E-2</v>
      </c>
      <c r="Y182" s="8">
        <f>VLOOKUP($B182,'[1]Plant data'!$A$1:$AB$315,23,0)</f>
        <v>4.2000000000000003E-2</v>
      </c>
      <c r="Z182" s="8" t="str">
        <f>VLOOKUP($B182,'[1]Plant data'!$A$1:$AB$315,24,0)</f>
        <v>NA</v>
      </c>
      <c r="AA182" s="8" t="str">
        <f>VLOOKUP($B182,'[1]Plant data'!$A$1:$AB$315,25,0)</f>
        <v>NA</v>
      </c>
      <c r="AB182" s="8">
        <f t="shared" si="13"/>
        <v>5.4000000000000006E-2</v>
      </c>
    </row>
    <row r="183" spans="1:28">
      <c r="A183" s="5" t="s">
        <v>50</v>
      </c>
      <c r="B183" s="14" t="s">
        <v>39</v>
      </c>
      <c r="C183" s="53">
        <v>5</v>
      </c>
      <c r="D183" s="59" t="s">
        <v>19</v>
      </c>
      <c r="E183" s="76">
        <v>0.38228328809935025</v>
      </c>
      <c r="F183" s="54">
        <v>47</v>
      </c>
      <c r="G183" s="9">
        <f>F183/C183</f>
        <v>9.4</v>
      </c>
      <c r="H183" s="23">
        <f t="shared" si="14"/>
        <v>3.5934629081338927</v>
      </c>
      <c r="I183" t="s">
        <v>47</v>
      </c>
      <c r="J183" s="11">
        <v>69.5</v>
      </c>
      <c r="K183" s="11">
        <v>13.253214290000001</v>
      </c>
      <c r="L183" t="str">
        <f>VLOOKUP(B183,'[1]Plant data'!$A$1:$AB$315,2,0)</f>
        <v>Primulaceae</v>
      </c>
      <c r="M183" s="9">
        <f>VLOOKUP($B183,'[1]Plant data'!$A$1:$AB$315,6,0)</f>
        <v>3.5175000000000001</v>
      </c>
      <c r="N183" s="9">
        <f>VLOOKUP($B183,'[1]Plant data'!$A$1:$AB$315,7,0)</f>
        <v>3.7733333333333334</v>
      </c>
      <c r="O183" s="8">
        <f>VLOOKUP($B183,'[1]Plant data'!$A$1:$AB$315,10,0)</f>
        <v>2.53E-2</v>
      </c>
      <c r="P183" s="8" t="str">
        <f>VLOOKUP($B183,'[1]Plant data'!$A$1:$AB$315,11,0)</f>
        <v>NA</v>
      </c>
      <c r="Q183" s="8">
        <f>VLOOKUP($B183,'[1]Plant data'!$A$1:$AB$315,12,0)</f>
        <v>1.3000000000000001E-2</v>
      </c>
      <c r="R183" s="8">
        <f>VLOOKUP($B183,'[1]Plant data'!$A$1:$AB$315,13,0)</f>
        <v>1.3000000000000001E-2</v>
      </c>
      <c r="S183" s="8">
        <f>VLOOKUP($B183,'[1]Plant data'!$A$1:$AB$315,14,0)</f>
        <v>1.2299999999999997E-2</v>
      </c>
      <c r="T183" s="11">
        <f>VLOOKUP($B183,'[1]Plant data'!$A$1:$AB$315,15,0)</f>
        <v>1</v>
      </c>
      <c r="U183" s="9" t="str">
        <f>VLOOKUP($B183,'[1]Plant data'!$A$1:$AB$315,19,0)</f>
        <v>NA</v>
      </c>
      <c r="V183" s="8">
        <f>VLOOKUP($B183,'[1]Plant data'!$A$1:$AB$315,20,0)</f>
        <v>0.50800000000000001</v>
      </c>
      <c r="W183" s="8" t="str">
        <f>VLOOKUP($B183,'[1]Plant data'!$A$1:$AB$315,21,0)</f>
        <v>NA</v>
      </c>
      <c r="X183" s="8">
        <f>VLOOKUP($B183,'[1]Plant data'!$A$1:$AB$315,22,0)</f>
        <v>1.2E-2</v>
      </c>
      <c r="Y183" s="8">
        <f>VLOOKUP($B183,'[1]Plant data'!$A$1:$AB$315,23,0)</f>
        <v>4.2000000000000003E-2</v>
      </c>
      <c r="Z183" s="8" t="str">
        <f>VLOOKUP($B183,'[1]Plant data'!$A$1:$AB$315,24,0)</f>
        <v>NA</v>
      </c>
      <c r="AA183" s="8" t="str">
        <f>VLOOKUP($B183,'[1]Plant data'!$A$1:$AB$315,25,0)</f>
        <v>NA</v>
      </c>
      <c r="AB183" s="8">
        <f t="shared" si="13"/>
        <v>5.4000000000000006E-2</v>
      </c>
    </row>
    <row r="184" spans="1:28">
      <c r="A184" s="5" t="s">
        <v>50</v>
      </c>
      <c r="B184" s="14" t="s">
        <v>39</v>
      </c>
      <c r="C184" s="53">
        <v>11</v>
      </c>
      <c r="D184" s="17">
        <v>84</v>
      </c>
      <c r="E184" s="8">
        <f>C184/84</f>
        <v>0.13095238095238096</v>
      </c>
      <c r="F184" s="54">
        <v>206</v>
      </c>
      <c r="G184" s="9">
        <f>F184/C184</f>
        <v>18.727272727272727</v>
      </c>
      <c r="H184" s="23">
        <f t="shared" si="14"/>
        <v>2.4523809523809526</v>
      </c>
      <c r="I184" t="s">
        <v>47</v>
      </c>
      <c r="J184" s="11">
        <v>69.5</v>
      </c>
      <c r="K184" s="11">
        <v>13.253214290000001</v>
      </c>
      <c r="L184" t="str">
        <f>VLOOKUP(B184,'[1]Plant data'!$A$1:$AB$315,2,0)</f>
        <v>Primulaceae</v>
      </c>
      <c r="M184" s="9">
        <f>VLOOKUP($B184,'[1]Plant data'!$A$1:$AB$315,6,0)</f>
        <v>3.5175000000000001</v>
      </c>
      <c r="N184" s="9">
        <f>VLOOKUP($B184,'[1]Plant data'!$A$1:$AB$315,7,0)</f>
        <v>3.7733333333333334</v>
      </c>
      <c r="O184" s="8">
        <f>VLOOKUP($B184,'[1]Plant data'!$A$1:$AB$315,10,0)</f>
        <v>2.53E-2</v>
      </c>
      <c r="P184" s="8" t="str">
        <f>VLOOKUP($B184,'[1]Plant data'!$A$1:$AB$315,11,0)</f>
        <v>NA</v>
      </c>
      <c r="Q184" s="8">
        <f>VLOOKUP($B184,'[1]Plant data'!$A$1:$AB$315,12,0)</f>
        <v>1.3000000000000001E-2</v>
      </c>
      <c r="R184" s="8">
        <f>VLOOKUP($B184,'[1]Plant data'!$A$1:$AB$315,13,0)</f>
        <v>1.3000000000000001E-2</v>
      </c>
      <c r="S184" s="8">
        <f>VLOOKUP($B184,'[1]Plant data'!$A$1:$AB$315,14,0)</f>
        <v>1.2299999999999997E-2</v>
      </c>
      <c r="T184" s="11">
        <f>VLOOKUP($B184,'[1]Plant data'!$A$1:$AB$315,15,0)</f>
        <v>1</v>
      </c>
      <c r="U184" s="9" t="str">
        <f>VLOOKUP($B184,'[1]Plant data'!$A$1:$AB$315,19,0)</f>
        <v>NA</v>
      </c>
      <c r="V184" s="8">
        <f>VLOOKUP($B184,'[1]Plant data'!$A$1:$AB$315,20,0)</f>
        <v>0.50800000000000001</v>
      </c>
      <c r="W184" s="8" t="str">
        <f>VLOOKUP($B184,'[1]Plant data'!$A$1:$AB$315,21,0)</f>
        <v>NA</v>
      </c>
      <c r="X184" s="8">
        <f>VLOOKUP($B184,'[1]Plant data'!$A$1:$AB$315,22,0)</f>
        <v>1.2E-2</v>
      </c>
      <c r="Y184" s="8">
        <f>VLOOKUP($B184,'[1]Plant data'!$A$1:$AB$315,23,0)</f>
        <v>4.2000000000000003E-2</v>
      </c>
      <c r="Z184" s="8" t="str">
        <f>VLOOKUP($B184,'[1]Plant data'!$A$1:$AB$315,24,0)</f>
        <v>NA</v>
      </c>
      <c r="AA184" s="8" t="str">
        <f>VLOOKUP($B184,'[1]Plant data'!$A$1:$AB$315,25,0)</f>
        <v>NA</v>
      </c>
      <c r="AB184" s="8">
        <f t="shared" si="13"/>
        <v>5.4000000000000006E-2</v>
      </c>
    </row>
    <row r="185" spans="1:28">
      <c r="A185" s="5" t="s">
        <v>43</v>
      </c>
      <c r="B185" s="14" t="s">
        <v>129</v>
      </c>
      <c r="C185" s="53">
        <v>54</v>
      </c>
      <c r="D185" s="11">
        <v>60</v>
      </c>
      <c r="E185" s="8">
        <f>C185/60</f>
        <v>0.9</v>
      </c>
      <c r="F185" s="54">
        <v>94</v>
      </c>
      <c r="G185" s="9">
        <f>F185/C185</f>
        <v>1.7407407407407407</v>
      </c>
      <c r="H185" s="23">
        <f t="shared" si="14"/>
        <v>1.5666666666666667</v>
      </c>
      <c r="I185" t="s">
        <v>30</v>
      </c>
      <c r="J185" s="11">
        <v>32.5</v>
      </c>
      <c r="K185" s="11">
        <v>8.9205555560000001</v>
      </c>
      <c r="L185" t="str">
        <f>VLOOKUP(B185,'[1]Plant data'!$A$1:$AB$315,2,0)</f>
        <v>Myrtaceae</v>
      </c>
      <c r="M185" s="9" t="str">
        <f>VLOOKUP($B185,'[1]Plant data'!$A$1:$AB$315,6,0)</f>
        <v>NA</v>
      </c>
      <c r="N185" s="9" t="str">
        <f>VLOOKUP($B185,'[1]Plant data'!$A$1:$AB$315,7,0)</f>
        <v>NA</v>
      </c>
      <c r="O185" s="8" t="str">
        <f>VLOOKUP($B185,'[1]Plant data'!$A$1:$AB$315,10,0)</f>
        <v>NA</v>
      </c>
      <c r="P185" s="8" t="str">
        <f>VLOOKUP($B185,'[1]Plant data'!$A$1:$AB$315,11,0)</f>
        <v>NA</v>
      </c>
      <c r="Q185" s="8" t="str">
        <f>VLOOKUP($B185,'[1]Plant data'!$A$1:$AB$315,12,0)</f>
        <v>NA</v>
      </c>
      <c r="R185" s="8" t="str">
        <f>VLOOKUP($B185,'[1]Plant data'!$A$1:$AB$315,13,0)</f>
        <v>NA</v>
      </c>
      <c r="S185" s="8" t="str">
        <f>VLOOKUP($B185,'[1]Plant data'!$A$1:$AB$315,14,0)</f>
        <v>NA</v>
      </c>
      <c r="T185" s="11" t="str">
        <f>VLOOKUP($B185,'[1]Plant data'!$A$1:$AB$315,15,0)</f>
        <v>NA</v>
      </c>
      <c r="U185" s="9" t="str">
        <f>VLOOKUP($B185,'[1]Plant data'!$A$1:$AB$315,19,0)</f>
        <v>NA</v>
      </c>
      <c r="V185" s="8" t="str">
        <f>VLOOKUP($B185,'[1]Plant data'!$A$1:$AB$315,20,0)</f>
        <v>NA</v>
      </c>
      <c r="W185" s="8" t="str">
        <f>VLOOKUP($B185,'[1]Plant data'!$A$1:$AB$315,21,0)</f>
        <v>NA</v>
      </c>
      <c r="X185" s="8" t="str">
        <f>VLOOKUP($B185,'[1]Plant data'!$A$1:$AB$315,22,0)</f>
        <v>NA</v>
      </c>
      <c r="Y185" s="8" t="str">
        <f>VLOOKUP($B185,'[1]Plant data'!$A$1:$AB$315,23,0)</f>
        <v>NA</v>
      </c>
      <c r="Z185" s="8" t="str">
        <f>VLOOKUP($B185,'[1]Plant data'!$A$1:$AB$315,24,0)</f>
        <v>NA</v>
      </c>
      <c r="AA185" s="8" t="str">
        <f>VLOOKUP($B185,'[1]Plant data'!$A$1:$AB$315,25,0)</f>
        <v>NA</v>
      </c>
      <c r="AB185" s="8" t="s">
        <v>19</v>
      </c>
    </row>
    <row r="186" spans="1:28">
      <c r="A186" s="5" t="s">
        <v>46</v>
      </c>
      <c r="B186" s="6" t="s">
        <v>129</v>
      </c>
      <c r="C186" s="53">
        <v>2</v>
      </c>
      <c r="D186" s="11">
        <v>60</v>
      </c>
      <c r="E186" s="8">
        <f>C186/60</f>
        <v>3.3333333333333333E-2</v>
      </c>
      <c r="F186" s="54">
        <v>3</v>
      </c>
      <c r="G186" s="9">
        <f>F186/C186</f>
        <v>1.5</v>
      </c>
      <c r="H186" s="23">
        <f t="shared" si="14"/>
        <v>0.05</v>
      </c>
      <c r="I186" t="s">
        <v>47</v>
      </c>
      <c r="J186" s="11">
        <v>54</v>
      </c>
      <c r="K186" s="11">
        <v>11.14875</v>
      </c>
      <c r="L186" t="str">
        <f>VLOOKUP(B186,'[1]Plant data'!$A$1:$AB$315,2,0)</f>
        <v>Myrtaceae</v>
      </c>
      <c r="M186" s="9" t="str">
        <f>VLOOKUP($B186,'[1]Plant data'!$A$1:$AB$315,6,0)</f>
        <v>NA</v>
      </c>
      <c r="N186" s="9" t="str">
        <f>VLOOKUP($B186,'[1]Plant data'!$A$1:$AB$315,7,0)</f>
        <v>NA</v>
      </c>
      <c r="O186" s="8" t="str">
        <f>VLOOKUP($B186,'[1]Plant data'!$A$1:$AB$315,10,0)</f>
        <v>NA</v>
      </c>
      <c r="P186" s="8" t="str">
        <f>VLOOKUP($B186,'[1]Plant data'!$A$1:$AB$315,11,0)</f>
        <v>NA</v>
      </c>
      <c r="Q186" s="8" t="str">
        <f>VLOOKUP($B186,'[1]Plant data'!$A$1:$AB$315,12,0)</f>
        <v>NA</v>
      </c>
      <c r="R186" s="8" t="str">
        <f>VLOOKUP($B186,'[1]Plant data'!$A$1:$AB$315,13,0)</f>
        <v>NA</v>
      </c>
      <c r="S186" s="8" t="str">
        <f>VLOOKUP($B186,'[1]Plant data'!$A$1:$AB$315,14,0)</f>
        <v>NA</v>
      </c>
      <c r="T186" s="11" t="str">
        <f>VLOOKUP($B186,'[1]Plant data'!$A$1:$AB$315,15,0)</f>
        <v>NA</v>
      </c>
      <c r="U186" s="9" t="str">
        <f>VLOOKUP($B186,'[1]Plant data'!$A$1:$AB$315,19,0)</f>
        <v>NA</v>
      </c>
      <c r="V186" s="8" t="str">
        <f>VLOOKUP($B186,'[1]Plant data'!$A$1:$AB$315,20,0)</f>
        <v>NA</v>
      </c>
      <c r="W186" s="8" t="str">
        <f>VLOOKUP($B186,'[1]Plant data'!$A$1:$AB$315,21,0)</f>
        <v>NA</v>
      </c>
      <c r="X186" s="8" t="str">
        <f>VLOOKUP($B186,'[1]Plant data'!$A$1:$AB$315,22,0)</f>
        <v>NA</v>
      </c>
      <c r="Y186" s="8" t="str">
        <f>VLOOKUP($B186,'[1]Plant data'!$A$1:$AB$315,23,0)</f>
        <v>NA</v>
      </c>
      <c r="Z186" s="8" t="str">
        <f>VLOOKUP($B186,'[1]Plant data'!$A$1:$AB$315,24,0)</f>
        <v>NA</v>
      </c>
      <c r="AA186" s="8" t="str">
        <f>VLOOKUP($B186,'[1]Plant data'!$A$1:$AB$315,25,0)</f>
        <v>NA</v>
      </c>
      <c r="AB186" s="8" t="s">
        <v>19</v>
      </c>
    </row>
    <row r="187" spans="1:28">
      <c r="A187" s="5" t="s">
        <v>50</v>
      </c>
      <c r="B187" s="14" t="s">
        <v>129</v>
      </c>
      <c r="C187" s="53">
        <v>1</v>
      </c>
      <c r="D187" s="59">
        <v>60</v>
      </c>
      <c r="E187" s="8">
        <f>C187/60</f>
        <v>1.6666666666666666E-2</v>
      </c>
      <c r="F187" s="54">
        <v>1</v>
      </c>
      <c r="G187" s="9">
        <v>1</v>
      </c>
      <c r="H187" s="23">
        <f t="shared" si="14"/>
        <v>1.6666666666666666E-2</v>
      </c>
      <c r="I187" t="s">
        <v>47</v>
      </c>
      <c r="J187" s="11">
        <v>69.5</v>
      </c>
      <c r="K187" s="11">
        <v>13.253214290000001</v>
      </c>
      <c r="L187" t="str">
        <f>VLOOKUP(B187,'[1]Plant data'!$A$1:$AB$315,2,0)</f>
        <v>Myrtaceae</v>
      </c>
      <c r="M187" s="9" t="str">
        <f>VLOOKUP($B187,'[1]Plant data'!$A$1:$AB$315,6,0)</f>
        <v>NA</v>
      </c>
      <c r="N187" s="9" t="str">
        <f>VLOOKUP($B187,'[1]Plant data'!$A$1:$AB$315,7,0)</f>
        <v>NA</v>
      </c>
      <c r="O187" s="8" t="str">
        <f>VLOOKUP($B187,'[1]Plant data'!$A$1:$AB$315,10,0)</f>
        <v>NA</v>
      </c>
      <c r="P187" s="8" t="str">
        <f>VLOOKUP($B187,'[1]Plant data'!$A$1:$AB$315,11,0)</f>
        <v>NA</v>
      </c>
      <c r="Q187" s="8" t="str">
        <f>VLOOKUP($B187,'[1]Plant data'!$A$1:$AB$315,12,0)</f>
        <v>NA</v>
      </c>
      <c r="R187" s="8" t="str">
        <f>VLOOKUP($B187,'[1]Plant data'!$A$1:$AB$315,13,0)</f>
        <v>NA</v>
      </c>
      <c r="S187" s="8" t="str">
        <f>VLOOKUP($B187,'[1]Plant data'!$A$1:$AB$315,14,0)</f>
        <v>NA</v>
      </c>
      <c r="T187" s="11" t="str">
        <f>VLOOKUP($B187,'[1]Plant data'!$A$1:$AB$315,15,0)</f>
        <v>NA</v>
      </c>
      <c r="U187" s="9" t="str">
        <f>VLOOKUP($B187,'[1]Plant data'!$A$1:$AB$315,19,0)</f>
        <v>NA</v>
      </c>
      <c r="V187" s="8" t="str">
        <f>VLOOKUP($B187,'[1]Plant data'!$A$1:$AB$315,20,0)</f>
        <v>NA</v>
      </c>
      <c r="W187" s="8" t="str">
        <f>VLOOKUP($B187,'[1]Plant data'!$A$1:$AB$315,21,0)</f>
        <v>NA</v>
      </c>
      <c r="X187" s="8" t="str">
        <f>VLOOKUP($B187,'[1]Plant data'!$A$1:$AB$315,22,0)</f>
        <v>NA</v>
      </c>
      <c r="Y187" s="8" t="str">
        <f>VLOOKUP($B187,'[1]Plant data'!$A$1:$AB$315,23,0)</f>
        <v>NA</v>
      </c>
      <c r="Z187" s="8" t="str">
        <f>VLOOKUP($B187,'[1]Plant data'!$A$1:$AB$315,24,0)</f>
        <v>NA</v>
      </c>
      <c r="AA187" s="8" t="str">
        <f>VLOOKUP($B187,'[1]Plant data'!$A$1:$AB$315,25,0)</f>
        <v>NA</v>
      </c>
      <c r="AB187" s="8" t="s">
        <v>19</v>
      </c>
    </row>
    <row r="188" spans="1:28">
      <c r="A188" s="18" t="s">
        <v>28</v>
      </c>
      <c r="B188" s="6" t="s">
        <v>190</v>
      </c>
      <c r="C188" s="56">
        <v>1</v>
      </c>
      <c r="D188" s="59">
        <v>1.25</v>
      </c>
      <c r="E188" s="26">
        <f>C188/D188</f>
        <v>0.8</v>
      </c>
      <c r="F188" s="56" t="s">
        <v>19</v>
      </c>
      <c r="G188" s="27" t="s">
        <v>184</v>
      </c>
      <c r="H188" s="23" t="s">
        <v>19</v>
      </c>
      <c r="I188" t="s">
        <v>30</v>
      </c>
      <c r="J188" s="11">
        <v>18</v>
      </c>
      <c r="K188" s="11">
        <v>7.4188405800000004</v>
      </c>
      <c r="L188" t="str">
        <f>VLOOKUP(B188,'[1]Plant data'!$A$1:$AB$315,2,0)</f>
        <v>Myrtaceae</v>
      </c>
      <c r="M188" s="9">
        <f>VLOOKUP($B188,'[1]Plant data'!$A$1:$AB$315,6,0)</f>
        <v>4.2</v>
      </c>
      <c r="N188" s="9">
        <f>VLOOKUP($B188,'[1]Plant data'!$A$1:$AB$315,7,0)</f>
        <v>4.3</v>
      </c>
      <c r="O188" s="8" t="str">
        <f>VLOOKUP($B188,'[1]Plant data'!$A$1:$AB$315,10,0)</f>
        <v>NA</v>
      </c>
      <c r="P188" s="8" t="str">
        <f>VLOOKUP($B188,'[1]Plant data'!$A$1:$AB$315,11,0)</f>
        <v>NA</v>
      </c>
      <c r="Q188" s="8" t="str">
        <f>VLOOKUP($B188,'[1]Plant data'!$A$1:$AB$315,12,0)</f>
        <v>NA</v>
      </c>
      <c r="R188" s="8" t="str">
        <f>VLOOKUP($B188,'[1]Plant data'!$A$1:$AB$315,13,0)</f>
        <v>NA</v>
      </c>
      <c r="S188" s="8" t="str">
        <f>VLOOKUP($B188,'[1]Plant data'!$A$1:$AB$315,14,0)</f>
        <v>NA</v>
      </c>
      <c r="T188" s="11" t="str">
        <f>VLOOKUP($B188,'[1]Plant data'!$A$1:$AB$315,15,0)</f>
        <v>NA</v>
      </c>
      <c r="U188" s="9" t="str">
        <f>VLOOKUP($B188,'[1]Plant data'!$A$1:$AB$315,19,0)</f>
        <v>NA</v>
      </c>
      <c r="V188" s="8" t="str">
        <f>VLOOKUP($B188,'[1]Plant data'!$A$1:$AB$315,20,0)</f>
        <v>NA</v>
      </c>
      <c r="W188" s="8" t="str">
        <f>VLOOKUP($B188,'[1]Plant data'!$A$1:$AB$315,21,0)</f>
        <v>NA</v>
      </c>
      <c r="X188" s="8" t="str">
        <f>VLOOKUP($B188,'[1]Plant data'!$A$1:$AB$315,22,0)</f>
        <v>NA</v>
      </c>
      <c r="Y188" s="8" t="str">
        <f>VLOOKUP($B188,'[1]Plant data'!$A$1:$AB$315,23,0)</f>
        <v>NA</v>
      </c>
      <c r="Z188" s="8" t="str">
        <f>VLOOKUP($B188,'[1]Plant data'!$A$1:$AB$315,24,0)</f>
        <v>NA</v>
      </c>
      <c r="AA188" s="8" t="str">
        <f>VLOOKUP($B188,'[1]Plant data'!$A$1:$AB$315,25,0)</f>
        <v>NA</v>
      </c>
      <c r="AB188" s="8" t="s">
        <v>19</v>
      </c>
    </row>
    <row r="189" spans="1:28">
      <c r="A189" s="5" t="s">
        <v>43</v>
      </c>
      <c r="B189" s="14" t="s">
        <v>190</v>
      </c>
      <c r="C189" s="53">
        <v>6</v>
      </c>
      <c r="D189" s="11">
        <v>1.2</v>
      </c>
      <c r="E189" s="8">
        <f>C189/1.2</f>
        <v>5</v>
      </c>
      <c r="F189" s="54" t="s">
        <v>19</v>
      </c>
      <c r="G189" s="41">
        <f>(2+5)/2</f>
        <v>3.5</v>
      </c>
      <c r="H189" s="23">
        <f>E189*G189</f>
        <v>17.5</v>
      </c>
      <c r="I189" t="s">
        <v>30</v>
      </c>
      <c r="J189" s="11">
        <v>32.5</v>
      </c>
      <c r="K189" s="11">
        <v>8.9205555560000001</v>
      </c>
      <c r="L189" t="str">
        <f>VLOOKUP(B189,'[1]Plant data'!$A$1:$AB$315,2,0)</f>
        <v>Myrtaceae</v>
      </c>
      <c r="M189" s="9">
        <f>VLOOKUP($B189,'[1]Plant data'!$A$1:$AB$315,6,0)</f>
        <v>4.2</v>
      </c>
      <c r="N189" s="9">
        <f>VLOOKUP($B189,'[1]Plant data'!$A$1:$AB$315,7,0)</f>
        <v>4.3</v>
      </c>
      <c r="O189" s="8" t="str">
        <f>VLOOKUP($B189,'[1]Plant data'!$A$1:$AB$315,10,0)</f>
        <v>NA</v>
      </c>
      <c r="P189" s="8" t="str">
        <f>VLOOKUP($B189,'[1]Plant data'!$A$1:$AB$315,11,0)</f>
        <v>NA</v>
      </c>
      <c r="Q189" s="8" t="str">
        <f>VLOOKUP($B189,'[1]Plant data'!$A$1:$AB$315,12,0)</f>
        <v>NA</v>
      </c>
      <c r="R189" s="8" t="str">
        <f>VLOOKUP($B189,'[1]Plant data'!$A$1:$AB$315,13,0)</f>
        <v>NA</v>
      </c>
      <c r="S189" s="8" t="str">
        <f>VLOOKUP($B189,'[1]Plant data'!$A$1:$AB$315,14,0)</f>
        <v>NA</v>
      </c>
      <c r="T189" s="11" t="str">
        <f>VLOOKUP($B189,'[1]Plant data'!$A$1:$AB$315,15,0)</f>
        <v>NA</v>
      </c>
      <c r="U189" s="9" t="str">
        <f>VLOOKUP($B189,'[1]Plant data'!$A$1:$AB$315,19,0)</f>
        <v>NA</v>
      </c>
      <c r="V189" s="8" t="str">
        <f>VLOOKUP($B189,'[1]Plant data'!$A$1:$AB$315,20,0)</f>
        <v>NA</v>
      </c>
      <c r="W189" s="8" t="str">
        <f>VLOOKUP($B189,'[1]Plant data'!$A$1:$AB$315,21,0)</f>
        <v>NA</v>
      </c>
      <c r="X189" s="8" t="str">
        <f>VLOOKUP($B189,'[1]Plant data'!$A$1:$AB$315,22,0)</f>
        <v>NA</v>
      </c>
      <c r="Y189" s="8" t="str">
        <f>VLOOKUP($B189,'[1]Plant data'!$A$1:$AB$315,23,0)</f>
        <v>NA</v>
      </c>
      <c r="Z189" s="8" t="str">
        <f>VLOOKUP($B189,'[1]Plant data'!$A$1:$AB$315,24,0)</f>
        <v>NA</v>
      </c>
      <c r="AA189" s="8" t="str">
        <f>VLOOKUP($B189,'[1]Plant data'!$A$1:$AB$315,25,0)</f>
        <v>NA</v>
      </c>
      <c r="AB189" s="8" t="s">
        <v>19</v>
      </c>
    </row>
    <row r="190" spans="1:28">
      <c r="A190" s="5" t="s">
        <v>96</v>
      </c>
      <c r="B190" s="15" t="s">
        <v>115</v>
      </c>
      <c r="C190" s="53">
        <v>1</v>
      </c>
      <c r="D190" s="58" t="s">
        <v>19</v>
      </c>
      <c r="E190" s="8" t="s">
        <v>19</v>
      </c>
      <c r="F190" s="54" t="s">
        <v>19</v>
      </c>
      <c r="G190" s="8" t="s">
        <v>19</v>
      </c>
      <c r="H190" s="23" t="s">
        <v>19</v>
      </c>
      <c r="I190" t="s">
        <v>101</v>
      </c>
      <c r="J190" s="11">
        <v>1770</v>
      </c>
      <c r="K190" s="11">
        <v>22.349</v>
      </c>
      <c r="L190" t="str">
        <f>VLOOKUP(B190,'[1]Plant data'!$A$1:$AB$315,2,0)</f>
        <v>Myrtaceae</v>
      </c>
      <c r="M190" s="9">
        <f>VLOOKUP($B190,'[1]Plant data'!$A$1:$AB$315,6,0)</f>
        <v>13.1533333333333</v>
      </c>
      <c r="N190" s="9">
        <f>VLOOKUP($B190,'[1]Plant data'!$A$1:$AB$315,7,0)</f>
        <v>15.709999999999999</v>
      </c>
      <c r="O190" s="8">
        <f>VLOOKUP($B190,'[1]Plant data'!$A$1:$AB$315,10,0)</f>
        <v>2.0425999999999997</v>
      </c>
      <c r="P190" s="8" t="str">
        <f>VLOOKUP($B190,'[1]Plant data'!$A$1:$AB$315,11,0)</f>
        <v>NA</v>
      </c>
      <c r="Q190" s="8">
        <f>VLOOKUP($B190,'[1]Plant data'!$A$1:$AB$315,12,0)</f>
        <v>0.19390000000000002</v>
      </c>
      <c r="R190" s="8">
        <f>VLOOKUP($B190,'[1]Plant data'!$A$1:$AB$315,13,0)</f>
        <v>2.6467999999999998</v>
      </c>
      <c r="S190" s="8">
        <f>VLOOKUP($B190,'[1]Plant data'!$A$1:$AB$315,14,0)</f>
        <v>0.43839999999999996</v>
      </c>
      <c r="T190" s="11">
        <f>VLOOKUP($B190,'[1]Plant data'!$A$1:$AB$315,15,0)</f>
        <v>1.8</v>
      </c>
      <c r="U190" s="9" t="str">
        <f>VLOOKUP($B190,'[1]Plant data'!$A$1:$AB$315,19,0)</f>
        <v>NA</v>
      </c>
      <c r="V190" s="8">
        <f>VLOOKUP($B190,'[1]Plant data'!$A$1:$AB$315,20,0)</f>
        <v>8.4000000000000005E-2</v>
      </c>
      <c r="W190" s="8">
        <f>VLOOKUP($B190,'[1]Plant data'!$A$1:$AB$315,21,0)</f>
        <v>6.0837313709109539E-2</v>
      </c>
      <c r="X190" s="8">
        <f>VLOOKUP($B190,'[1]Plant data'!$A$1:$AB$315,22,0)</f>
        <v>0.22800000000000001</v>
      </c>
      <c r="Y190" s="8">
        <f>VLOOKUP($B190,'[1]Plant data'!$A$1:$AB$315,23,0)</f>
        <v>6.7000000000000004E-2</v>
      </c>
      <c r="Z190" s="8" t="str">
        <f>VLOOKUP($B190,'[1]Plant data'!$A$1:$AB$315,24,0)</f>
        <v>NA</v>
      </c>
      <c r="AA190" s="8" t="str">
        <f>VLOOKUP($B190,'[1]Plant data'!$A$1:$AB$315,25,0)</f>
        <v>NA</v>
      </c>
      <c r="AB190" s="8">
        <f t="shared" ref="AB190:AB196" si="16">SUMIF(X190:Y190,"&gt;0.00001")</f>
        <v>0.29500000000000004</v>
      </c>
    </row>
    <row r="191" spans="1:28">
      <c r="A191" s="5" t="s">
        <v>32</v>
      </c>
      <c r="B191" s="6" t="s">
        <v>38</v>
      </c>
      <c r="C191" s="53">
        <v>1</v>
      </c>
      <c r="D191" s="58">
        <v>23</v>
      </c>
      <c r="E191" s="8">
        <f>C191/D191</f>
        <v>4.3478260869565216E-2</v>
      </c>
      <c r="F191" s="54" t="s">
        <v>19</v>
      </c>
      <c r="G191" s="9" t="s">
        <v>19</v>
      </c>
      <c r="H191" s="23" t="s">
        <v>19</v>
      </c>
      <c r="I191" t="s">
        <v>30</v>
      </c>
      <c r="J191" s="11">
        <v>18</v>
      </c>
      <c r="K191" s="11">
        <v>5.1684999999999999</v>
      </c>
      <c r="L191" t="str">
        <f>VLOOKUP(B191,'[1]Plant data'!$A$1:$AB$315,2,0)</f>
        <v>Myrtaceae</v>
      </c>
      <c r="M191" s="9">
        <f>VLOOKUP($B191,'[1]Plant data'!$A$1:$AB$315,6,0)</f>
        <v>7.3000000000000007</v>
      </c>
      <c r="N191" s="9">
        <f>VLOOKUP($B191,'[1]Plant data'!$A$1:$AB$315,7,0)</f>
        <v>9.7666666666666675</v>
      </c>
      <c r="O191" s="8">
        <f>VLOOKUP($B191,'[1]Plant data'!$A$1:$AB$315,10,0)</f>
        <v>0.14000000000000001</v>
      </c>
      <c r="P191" s="8" t="str">
        <f>VLOOKUP($B191,'[1]Plant data'!$A$1:$AB$315,11,0)</f>
        <v>NA</v>
      </c>
      <c r="Q191" s="8">
        <f>VLOOKUP($B191,'[1]Plant data'!$A$1:$AB$315,12,0)</f>
        <v>6.2E-2</v>
      </c>
      <c r="R191" s="8" t="str">
        <f>VLOOKUP($B191,'[1]Plant data'!$A$1:$AB$315,13,0)</f>
        <v>NA</v>
      </c>
      <c r="S191" s="8" t="str">
        <f>VLOOKUP($B191,'[1]Plant data'!$A$1:$AB$315,14,0)</f>
        <v>NA</v>
      </c>
      <c r="T191" s="11">
        <f>VLOOKUP($B191,'[1]Plant data'!$A$1:$AB$315,15,0)</f>
        <v>1</v>
      </c>
      <c r="U191" s="9" t="str">
        <f>VLOOKUP($B191,'[1]Plant data'!$A$1:$AB$315,19,0)</f>
        <v>NA</v>
      </c>
      <c r="V191" s="8">
        <f>VLOOKUP($B191,'[1]Plant data'!$A$1:$AB$315,20,0)</f>
        <v>0.144624167459563</v>
      </c>
      <c r="W191" s="8">
        <f>VLOOKUP($B191,'[1]Plant data'!$A$1:$AB$315,21,0)</f>
        <v>0.1142915</v>
      </c>
      <c r="X191" s="8">
        <f>VLOOKUP($B191,'[1]Plant data'!$A$1:$AB$315,22,0)</f>
        <v>7.5461793365924096E-2</v>
      </c>
      <c r="Y191" s="8">
        <f>VLOOKUP($B191,'[1]Plant data'!$A$1:$AB$315,23,0)</f>
        <v>0.198861875754162</v>
      </c>
      <c r="Z191" s="8" t="str">
        <f>VLOOKUP($B191,'[1]Plant data'!$A$1:$AB$315,24,0)</f>
        <v>NA</v>
      </c>
      <c r="AA191" s="8" t="str">
        <f>VLOOKUP($B191,'[1]Plant data'!$A$1:$AB$315,25,0)</f>
        <v>NA</v>
      </c>
      <c r="AB191" s="8">
        <f t="shared" si="16"/>
        <v>0.2743236691200861</v>
      </c>
    </row>
    <row r="192" spans="1:28">
      <c r="A192" s="5" t="s">
        <v>41</v>
      </c>
      <c r="B192" s="6" t="s">
        <v>38</v>
      </c>
      <c r="C192" s="53">
        <v>8</v>
      </c>
      <c r="D192" s="58">
        <v>23</v>
      </c>
      <c r="E192" s="8">
        <f>C192/D192</f>
        <v>0.34782608695652173</v>
      </c>
      <c r="F192" s="54" t="s">
        <v>19</v>
      </c>
      <c r="G192" s="41">
        <v>1</v>
      </c>
      <c r="H192" s="23">
        <f>E192*G192</f>
        <v>0.34782608695652173</v>
      </c>
      <c r="I192" t="s">
        <v>30</v>
      </c>
      <c r="J192" s="11">
        <v>39</v>
      </c>
      <c r="K192" s="11">
        <v>8.2839869279999991</v>
      </c>
      <c r="L192" t="str">
        <f>VLOOKUP(B192,'[1]Plant data'!$A$1:$AB$315,2,0)</f>
        <v>Myrtaceae</v>
      </c>
      <c r="M192" s="9">
        <f>VLOOKUP($B192,'[1]Plant data'!$A$1:$AB$315,6,0)</f>
        <v>7.3000000000000007</v>
      </c>
      <c r="N192" s="9">
        <f>VLOOKUP($B192,'[1]Plant data'!$A$1:$AB$315,7,0)</f>
        <v>9.7666666666666675</v>
      </c>
      <c r="O192" s="8">
        <f>VLOOKUP($B192,'[1]Plant data'!$A$1:$AB$315,10,0)</f>
        <v>0.14000000000000001</v>
      </c>
      <c r="P192" s="8" t="str">
        <f>VLOOKUP($B192,'[1]Plant data'!$A$1:$AB$315,11,0)</f>
        <v>NA</v>
      </c>
      <c r="Q192" s="8">
        <f>VLOOKUP($B192,'[1]Plant data'!$A$1:$AB$315,12,0)</f>
        <v>6.2E-2</v>
      </c>
      <c r="R192" s="8" t="str">
        <f>VLOOKUP($B192,'[1]Plant data'!$A$1:$AB$315,13,0)</f>
        <v>NA</v>
      </c>
      <c r="S192" s="8" t="str">
        <f>VLOOKUP($B192,'[1]Plant data'!$A$1:$AB$315,14,0)</f>
        <v>NA</v>
      </c>
      <c r="T192" s="11">
        <f>VLOOKUP($B192,'[1]Plant data'!$A$1:$AB$315,15,0)</f>
        <v>1</v>
      </c>
      <c r="U192" s="9" t="str">
        <f>VLOOKUP($B192,'[1]Plant data'!$A$1:$AB$315,19,0)</f>
        <v>NA</v>
      </c>
      <c r="V192" s="8">
        <f>VLOOKUP($B192,'[1]Plant data'!$A$1:$AB$315,20,0)</f>
        <v>0.144624167459563</v>
      </c>
      <c r="W192" s="8">
        <f>VLOOKUP($B192,'[1]Plant data'!$A$1:$AB$315,21,0)</f>
        <v>0.1142915</v>
      </c>
      <c r="X192" s="8">
        <f>VLOOKUP($B192,'[1]Plant data'!$A$1:$AB$315,22,0)</f>
        <v>7.5461793365924096E-2</v>
      </c>
      <c r="Y192" s="8">
        <f>VLOOKUP($B192,'[1]Plant data'!$A$1:$AB$315,23,0)</f>
        <v>0.198861875754162</v>
      </c>
      <c r="Z192" s="8" t="str">
        <f>VLOOKUP($B192,'[1]Plant data'!$A$1:$AB$315,24,0)</f>
        <v>NA</v>
      </c>
      <c r="AA192" s="8" t="str">
        <f>VLOOKUP($B192,'[1]Plant data'!$A$1:$AB$315,25,0)</f>
        <v>NA</v>
      </c>
      <c r="AB192" s="8">
        <f t="shared" si="16"/>
        <v>0.2743236691200861</v>
      </c>
    </row>
    <row r="193" spans="1:28">
      <c r="A193" s="5" t="s">
        <v>41</v>
      </c>
      <c r="B193" s="14" t="s">
        <v>38</v>
      </c>
      <c r="C193" s="53">
        <v>1</v>
      </c>
      <c r="D193" s="58">
        <v>15</v>
      </c>
      <c r="E193" s="8">
        <f>C193/15</f>
        <v>6.6666666666666666E-2</v>
      </c>
      <c r="F193" s="54" t="s">
        <v>19</v>
      </c>
      <c r="G193" s="9">
        <v>1</v>
      </c>
      <c r="H193" s="23">
        <f>E193*G193</f>
        <v>6.6666666666666666E-2</v>
      </c>
      <c r="I193" t="s">
        <v>30</v>
      </c>
      <c r="J193" s="11">
        <v>39</v>
      </c>
      <c r="K193" s="11">
        <v>8.2839869279999991</v>
      </c>
      <c r="L193" t="str">
        <f>VLOOKUP(B193,'[1]Plant data'!$A$1:$AB$315,2,0)</f>
        <v>Myrtaceae</v>
      </c>
      <c r="M193" s="9">
        <f>VLOOKUP($B193,'[1]Plant data'!$A$1:$AB$315,6,0)</f>
        <v>7.3000000000000007</v>
      </c>
      <c r="N193" s="9">
        <f>VLOOKUP($B193,'[1]Plant data'!$A$1:$AB$315,7,0)</f>
        <v>9.7666666666666675</v>
      </c>
      <c r="O193" s="8">
        <f>VLOOKUP($B193,'[1]Plant data'!$A$1:$AB$315,10,0)</f>
        <v>0.14000000000000001</v>
      </c>
      <c r="P193" s="8" t="str">
        <f>VLOOKUP($B193,'[1]Plant data'!$A$1:$AB$315,11,0)</f>
        <v>NA</v>
      </c>
      <c r="Q193" s="8">
        <f>VLOOKUP($B193,'[1]Plant data'!$A$1:$AB$315,12,0)</f>
        <v>6.2E-2</v>
      </c>
      <c r="R193" s="8" t="str">
        <f>VLOOKUP($B193,'[1]Plant data'!$A$1:$AB$315,13,0)</f>
        <v>NA</v>
      </c>
      <c r="S193" s="8" t="str">
        <f>VLOOKUP($B193,'[1]Plant data'!$A$1:$AB$315,14,0)</f>
        <v>NA</v>
      </c>
      <c r="T193" s="11">
        <f>VLOOKUP($B193,'[1]Plant data'!$A$1:$AB$315,15,0)</f>
        <v>1</v>
      </c>
      <c r="U193" s="9" t="str">
        <f>VLOOKUP($B193,'[1]Plant data'!$A$1:$AB$315,19,0)</f>
        <v>NA</v>
      </c>
      <c r="V193" s="8">
        <f>VLOOKUP($B193,'[1]Plant data'!$A$1:$AB$315,20,0)</f>
        <v>0.144624167459563</v>
      </c>
      <c r="W193" s="8">
        <f>VLOOKUP($B193,'[1]Plant data'!$A$1:$AB$315,21,0)</f>
        <v>0.1142915</v>
      </c>
      <c r="X193" s="8">
        <f>VLOOKUP($B193,'[1]Plant data'!$A$1:$AB$315,22,0)</f>
        <v>7.5461793365924096E-2</v>
      </c>
      <c r="Y193" s="8">
        <f>VLOOKUP($B193,'[1]Plant data'!$A$1:$AB$315,23,0)</f>
        <v>0.198861875754162</v>
      </c>
      <c r="Z193" s="8" t="str">
        <f>VLOOKUP($B193,'[1]Plant data'!$A$1:$AB$315,24,0)</f>
        <v>NA</v>
      </c>
      <c r="AA193" s="8" t="str">
        <f>VLOOKUP($B193,'[1]Plant data'!$A$1:$AB$315,25,0)</f>
        <v>NA</v>
      </c>
      <c r="AB193" s="8">
        <f t="shared" si="16"/>
        <v>0.2743236691200861</v>
      </c>
    </row>
    <row r="194" spans="1:28">
      <c r="A194" s="5" t="s">
        <v>43</v>
      </c>
      <c r="B194" s="6" t="s">
        <v>38</v>
      </c>
      <c r="C194" s="53">
        <v>3</v>
      </c>
      <c r="D194" s="58">
        <v>23</v>
      </c>
      <c r="E194" s="8">
        <f>C194/D194</f>
        <v>0.13043478260869565</v>
      </c>
      <c r="F194" s="54" t="s">
        <v>19</v>
      </c>
      <c r="G194" s="27">
        <v>1</v>
      </c>
      <c r="H194" s="23">
        <f>E194*G194</f>
        <v>0.13043478260869565</v>
      </c>
      <c r="I194" t="s">
        <v>30</v>
      </c>
      <c r="J194" s="11">
        <v>32.5</v>
      </c>
      <c r="K194" s="11">
        <v>8.9205555560000001</v>
      </c>
      <c r="L194" t="str">
        <f>VLOOKUP(B194,'[1]Plant data'!$A$1:$AB$315,2,0)</f>
        <v>Myrtaceae</v>
      </c>
      <c r="M194" s="9">
        <f>VLOOKUP($B194,'[1]Plant data'!$A$1:$AB$315,6,0)</f>
        <v>7.3000000000000007</v>
      </c>
      <c r="N194" s="9">
        <f>VLOOKUP($B194,'[1]Plant data'!$A$1:$AB$315,7,0)</f>
        <v>9.7666666666666675</v>
      </c>
      <c r="O194" s="8">
        <f>VLOOKUP($B194,'[1]Plant data'!$A$1:$AB$315,10,0)</f>
        <v>0.14000000000000001</v>
      </c>
      <c r="P194" s="8" t="str">
        <f>VLOOKUP($B194,'[1]Plant data'!$A$1:$AB$315,11,0)</f>
        <v>NA</v>
      </c>
      <c r="Q194" s="8">
        <f>VLOOKUP($B194,'[1]Plant data'!$A$1:$AB$315,12,0)</f>
        <v>6.2E-2</v>
      </c>
      <c r="R194" s="8" t="str">
        <f>VLOOKUP($B194,'[1]Plant data'!$A$1:$AB$315,13,0)</f>
        <v>NA</v>
      </c>
      <c r="S194" s="8" t="str">
        <f>VLOOKUP($B194,'[1]Plant data'!$A$1:$AB$315,14,0)</f>
        <v>NA</v>
      </c>
      <c r="T194" s="11">
        <f>VLOOKUP($B194,'[1]Plant data'!$A$1:$AB$315,15,0)</f>
        <v>1</v>
      </c>
      <c r="U194" s="9" t="str">
        <f>VLOOKUP($B194,'[1]Plant data'!$A$1:$AB$315,19,0)</f>
        <v>NA</v>
      </c>
      <c r="V194" s="8">
        <f>VLOOKUP($B194,'[1]Plant data'!$A$1:$AB$315,20,0)</f>
        <v>0.144624167459563</v>
      </c>
      <c r="W194" s="8">
        <f>VLOOKUP($B194,'[1]Plant data'!$A$1:$AB$315,21,0)</f>
        <v>0.1142915</v>
      </c>
      <c r="X194" s="8">
        <f>VLOOKUP($B194,'[1]Plant data'!$A$1:$AB$315,22,0)</f>
        <v>7.5461793365924096E-2</v>
      </c>
      <c r="Y194" s="8">
        <f>VLOOKUP($B194,'[1]Plant data'!$A$1:$AB$315,23,0)</f>
        <v>0.198861875754162</v>
      </c>
      <c r="Z194" s="8" t="str">
        <f>VLOOKUP($B194,'[1]Plant data'!$A$1:$AB$315,24,0)</f>
        <v>NA</v>
      </c>
      <c r="AA194" s="8" t="str">
        <f>VLOOKUP($B194,'[1]Plant data'!$A$1:$AB$315,25,0)</f>
        <v>NA</v>
      </c>
      <c r="AB194" s="8">
        <f t="shared" si="16"/>
        <v>0.2743236691200861</v>
      </c>
    </row>
    <row r="195" spans="1:28">
      <c r="A195" s="5" t="s">
        <v>46</v>
      </c>
      <c r="B195" s="6" t="s">
        <v>38</v>
      </c>
      <c r="C195" s="53">
        <v>3</v>
      </c>
      <c r="D195" s="58">
        <v>23</v>
      </c>
      <c r="E195" s="8">
        <f>C195/D195</f>
        <v>0.13043478260869565</v>
      </c>
      <c r="F195" s="54" t="s">
        <v>19</v>
      </c>
      <c r="G195" s="9" t="s">
        <v>19</v>
      </c>
      <c r="H195" s="23" t="s">
        <v>19</v>
      </c>
      <c r="I195" t="s">
        <v>47</v>
      </c>
      <c r="J195" s="11">
        <v>54</v>
      </c>
      <c r="K195" s="11">
        <v>11.14875</v>
      </c>
      <c r="L195" t="str">
        <f>VLOOKUP(B195,'[1]Plant data'!$A$1:$AB$315,2,0)</f>
        <v>Myrtaceae</v>
      </c>
      <c r="M195" s="9">
        <f>VLOOKUP($B195,'[1]Plant data'!$A$1:$AB$315,6,0)</f>
        <v>7.3000000000000007</v>
      </c>
      <c r="N195" s="9">
        <f>VLOOKUP($B195,'[1]Plant data'!$A$1:$AB$315,7,0)</f>
        <v>9.7666666666666675</v>
      </c>
      <c r="O195" s="8">
        <f>VLOOKUP($B195,'[1]Plant data'!$A$1:$AB$315,10,0)</f>
        <v>0.14000000000000001</v>
      </c>
      <c r="P195" s="8" t="str">
        <f>VLOOKUP($B195,'[1]Plant data'!$A$1:$AB$315,11,0)</f>
        <v>NA</v>
      </c>
      <c r="Q195" s="8">
        <f>VLOOKUP($B195,'[1]Plant data'!$A$1:$AB$315,12,0)</f>
        <v>6.2E-2</v>
      </c>
      <c r="R195" s="8" t="str">
        <f>VLOOKUP($B195,'[1]Plant data'!$A$1:$AB$315,13,0)</f>
        <v>NA</v>
      </c>
      <c r="S195" s="8" t="str">
        <f>VLOOKUP($B195,'[1]Plant data'!$A$1:$AB$315,14,0)</f>
        <v>NA</v>
      </c>
      <c r="T195" s="11">
        <f>VLOOKUP($B195,'[1]Plant data'!$A$1:$AB$315,15,0)</f>
        <v>1</v>
      </c>
      <c r="U195" s="9" t="str">
        <f>VLOOKUP($B195,'[1]Plant data'!$A$1:$AB$315,19,0)</f>
        <v>NA</v>
      </c>
      <c r="V195" s="8">
        <f>VLOOKUP($B195,'[1]Plant data'!$A$1:$AB$315,20,0)</f>
        <v>0.144624167459563</v>
      </c>
      <c r="W195" s="8">
        <f>VLOOKUP($B195,'[1]Plant data'!$A$1:$AB$315,21,0)</f>
        <v>0.1142915</v>
      </c>
      <c r="X195" s="8">
        <f>VLOOKUP($B195,'[1]Plant data'!$A$1:$AB$315,22,0)</f>
        <v>7.5461793365924096E-2</v>
      </c>
      <c r="Y195" s="8">
        <f>VLOOKUP($B195,'[1]Plant data'!$A$1:$AB$315,23,0)</f>
        <v>0.198861875754162</v>
      </c>
      <c r="Z195" s="8" t="str">
        <f>VLOOKUP($B195,'[1]Plant data'!$A$1:$AB$315,24,0)</f>
        <v>NA</v>
      </c>
      <c r="AA195" s="8" t="str">
        <f>VLOOKUP($B195,'[1]Plant data'!$A$1:$AB$315,25,0)</f>
        <v>NA</v>
      </c>
      <c r="AB195" s="8">
        <f t="shared" si="16"/>
        <v>0.2743236691200861</v>
      </c>
    </row>
    <row r="196" spans="1:28">
      <c r="A196" s="5" t="s">
        <v>50</v>
      </c>
      <c r="B196" s="6" t="s">
        <v>38</v>
      </c>
      <c r="C196" s="53">
        <v>6</v>
      </c>
      <c r="D196" s="58">
        <v>23</v>
      </c>
      <c r="E196" s="8">
        <f>C196/D196</f>
        <v>0.2608695652173913</v>
      </c>
      <c r="F196" s="54" t="s">
        <v>19</v>
      </c>
      <c r="G196" s="9" t="s">
        <v>19</v>
      </c>
      <c r="H196" s="23" t="s">
        <v>19</v>
      </c>
      <c r="I196" t="s">
        <v>47</v>
      </c>
      <c r="J196" s="11">
        <v>69.5</v>
      </c>
      <c r="K196" s="11">
        <v>13.253214290000001</v>
      </c>
      <c r="L196" t="str">
        <f>VLOOKUP(B196,'[1]Plant data'!$A$1:$AB$315,2,0)</f>
        <v>Myrtaceae</v>
      </c>
      <c r="M196" s="9">
        <f>VLOOKUP($B196,'[1]Plant data'!$A$1:$AB$315,6,0)</f>
        <v>7.3000000000000007</v>
      </c>
      <c r="N196" s="9">
        <f>VLOOKUP($B196,'[1]Plant data'!$A$1:$AB$315,7,0)</f>
        <v>9.7666666666666675</v>
      </c>
      <c r="O196" s="8">
        <f>VLOOKUP($B196,'[1]Plant data'!$A$1:$AB$315,10,0)</f>
        <v>0.14000000000000001</v>
      </c>
      <c r="P196" s="8" t="str">
        <f>VLOOKUP($B196,'[1]Plant data'!$A$1:$AB$315,11,0)</f>
        <v>NA</v>
      </c>
      <c r="Q196" s="8">
        <f>VLOOKUP($B196,'[1]Plant data'!$A$1:$AB$315,12,0)</f>
        <v>6.2E-2</v>
      </c>
      <c r="R196" s="8" t="str">
        <f>VLOOKUP($B196,'[1]Plant data'!$A$1:$AB$315,13,0)</f>
        <v>NA</v>
      </c>
      <c r="S196" s="8" t="str">
        <f>VLOOKUP($B196,'[1]Plant data'!$A$1:$AB$315,14,0)</f>
        <v>NA</v>
      </c>
      <c r="T196" s="11">
        <f>VLOOKUP($B196,'[1]Plant data'!$A$1:$AB$315,15,0)</f>
        <v>1</v>
      </c>
      <c r="U196" s="9" t="str">
        <f>VLOOKUP($B196,'[1]Plant data'!$A$1:$AB$315,19,0)</f>
        <v>NA</v>
      </c>
      <c r="V196" s="8">
        <f>VLOOKUP($B196,'[1]Plant data'!$A$1:$AB$315,20,0)</f>
        <v>0.144624167459563</v>
      </c>
      <c r="W196" s="8">
        <f>VLOOKUP($B196,'[1]Plant data'!$A$1:$AB$315,21,0)</f>
        <v>0.1142915</v>
      </c>
      <c r="X196" s="8">
        <f>VLOOKUP($B196,'[1]Plant data'!$A$1:$AB$315,22,0)</f>
        <v>7.5461793365924096E-2</v>
      </c>
      <c r="Y196" s="8">
        <f>VLOOKUP($B196,'[1]Plant data'!$A$1:$AB$315,23,0)</f>
        <v>0.198861875754162</v>
      </c>
      <c r="Z196" s="8" t="str">
        <f>VLOOKUP($B196,'[1]Plant data'!$A$1:$AB$315,24,0)</f>
        <v>NA</v>
      </c>
      <c r="AA196" s="8" t="str">
        <f>VLOOKUP($B196,'[1]Plant data'!$A$1:$AB$315,25,0)</f>
        <v>NA</v>
      </c>
      <c r="AB196" s="8">
        <f t="shared" si="16"/>
        <v>0.2743236691200861</v>
      </c>
    </row>
    <row r="197" spans="1:28">
      <c r="A197" s="5" t="s">
        <v>50</v>
      </c>
      <c r="B197" s="14" t="s">
        <v>239</v>
      </c>
      <c r="C197" s="53">
        <v>1</v>
      </c>
      <c r="D197" s="17">
        <v>12</v>
      </c>
      <c r="E197" s="8">
        <f>C197/12</f>
        <v>8.3333333333333329E-2</v>
      </c>
      <c r="F197" s="54">
        <v>1</v>
      </c>
      <c r="G197" s="9">
        <f>F197/C197</f>
        <v>1</v>
      </c>
      <c r="H197" s="23">
        <f t="shared" ref="H197:H221" si="17">E197*G197</f>
        <v>8.3333333333333329E-2</v>
      </c>
      <c r="I197" t="s">
        <v>47</v>
      </c>
      <c r="J197" s="11">
        <v>69.5</v>
      </c>
      <c r="K197" s="11">
        <v>13.253214290000001</v>
      </c>
      <c r="L197" t="str">
        <f>VLOOKUP(B197,'[1]Plant data'!$A$1:$AB$315,2,0)</f>
        <v>Myrtaceae</v>
      </c>
      <c r="M197" s="9">
        <f>VLOOKUP($B197,'[1]Plant data'!$A$1:$AB$315,6,0)</f>
        <v>10.5</v>
      </c>
      <c r="N197" s="9">
        <f>VLOOKUP($B197,'[1]Plant data'!$A$1:$AB$315,7,0)</f>
        <v>16.5</v>
      </c>
      <c r="O197" s="8">
        <f>VLOOKUP($B197,'[1]Plant data'!$A$1:$AB$315,10,0)</f>
        <v>2</v>
      </c>
      <c r="P197" s="8" t="str">
        <f>VLOOKUP($B197,'[1]Plant data'!$A$1:$AB$315,11,0)</f>
        <v>NA</v>
      </c>
      <c r="Q197" s="8">
        <f>VLOOKUP($B197,'[1]Plant data'!$A$1:$AB$315,12,0)</f>
        <v>0.1</v>
      </c>
      <c r="R197" s="8" t="str">
        <f>VLOOKUP($B197,'[1]Plant data'!$A$1:$AB$315,13,0)</f>
        <v>NA</v>
      </c>
      <c r="S197" s="8" t="str">
        <f>VLOOKUP($B197,'[1]Plant data'!$A$1:$AB$315,14,0)</f>
        <v>NA</v>
      </c>
      <c r="T197" s="11">
        <f>VLOOKUP($B197,'[1]Plant data'!$A$1:$AB$315,15,0)</f>
        <v>2</v>
      </c>
      <c r="U197" s="9">
        <f>VLOOKUP($B197,'[1]Plant data'!$A$1:$AB$315,19,0)</f>
        <v>0.86</v>
      </c>
      <c r="V197" s="8">
        <f>VLOOKUP($B197,'[1]Plant data'!$A$1:$AB$315,20,0)</f>
        <v>5.5999999999999994E-2</v>
      </c>
      <c r="W197" s="8">
        <f>VLOOKUP($B197,'[1]Plant data'!$A$1:$AB$315,21,0)</f>
        <v>9.3000000000000013E-2</v>
      </c>
      <c r="X197" s="8" t="str">
        <f>VLOOKUP($B197,'[1]Plant data'!$A$1:$AB$315,22,0)</f>
        <v>NA</v>
      </c>
      <c r="Y197" s="8" t="str">
        <f>VLOOKUP($B197,'[1]Plant data'!$A$1:$AB$315,23,0)</f>
        <v>NA</v>
      </c>
      <c r="Z197" s="8" t="str">
        <f>VLOOKUP($B197,'[1]Plant data'!$A$1:$AB$315,24,0)</f>
        <v>NA</v>
      </c>
      <c r="AA197" s="8">
        <f>VLOOKUP($B197,'[1]Plant data'!$A$1:$AB$315,25,0)</f>
        <v>0.80099999999999993</v>
      </c>
      <c r="AB197" s="8" t="s">
        <v>19</v>
      </c>
    </row>
    <row r="198" spans="1:28">
      <c r="A198" s="5" t="s">
        <v>28</v>
      </c>
      <c r="B198" s="14" t="s">
        <v>214</v>
      </c>
      <c r="C198" s="53">
        <v>12</v>
      </c>
      <c r="D198" s="58">
        <v>13.3</v>
      </c>
      <c r="E198" s="8">
        <f>C198/D198</f>
        <v>0.90225563909774431</v>
      </c>
      <c r="F198" s="56" t="s">
        <v>19</v>
      </c>
      <c r="G198" s="41">
        <v>8.3333333333333339</v>
      </c>
      <c r="H198" s="23">
        <f t="shared" si="17"/>
        <v>7.518796992481203</v>
      </c>
      <c r="I198" t="s">
        <v>30</v>
      </c>
      <c r="J198" s="11">
        <v>18</v>
      </c>
      <c r="K198" s="11">
        <v>7.4188405800000004</v>
      </c>
      <c r="L198" t="str">
        <f>VLOOKUP(B198,'[1]Plant data'!$A$1:$AB$315,2,0)</f>
        <v>Melastomataceae</v>
      </c>
      <c r="M198" s="9" t="str">
        <f>VLOOKUP($B198,'[1]Plant data'!$A$1:$AB$315,6,0)</f>
        <v>NA</v>
      </c>
      <c r="N198" s="9" t="str">
        <f>VLOOKUP($B198,'[1]Plant data'!$A$1:$AB$315,7,0)</f>
        <v>NA</v>
      </c>
      <c r="O198" s="8" t="str">
        <f>VLOOKUP($B198,'[1]Plant data'!$A$1:$AB$315,10,0)</f>
        <v>NA</v>
      </c>
      <c r="P198" s="8" t="str">
        <f>VLOOKUP($B198,'[1]Plant data'!$A$1:$AB$315,11,0)</f>
        <v>NA</v>
      </c>
      <c r="Q198" s="8" t="str">
        <f>VLOOKUP($B198,'[1]Plant data'!$A$1:$AB$315,12,0)</f>
        <v>NA</v>
      </c>
      <c r="R198" s="8" t="str">
        <f>VLOOKUP($B198,'[1]Plant data'!$A$1:$AB$315,13,0)</f>
        <v>NA</v>
      </c>
      <c r="S198" s="8" t="str">
        <f>VLOOKUP($B198,'[1]Plant data'!$A$1:$AB$315,14,0)</f>
        <v>NA</v>
      </c>
      <c r="T198" s="11" t="str">
        <f>VLOOKUP($B198,'[1]Plant data'!$A$1:$AB$315,15,0)</f>
        <v>NA</v>
      </c>
      <c r="U198" s="9" t="str">
        <f>VLOOKUP($B198,'[1]Plant data'!$A$1:$AB$315,19,0)</f>
        <v>NA</v>
      </c>
      <c r="V198" s="8" t="str">
        <f>VLOOKUP($B198,'[1]Plant data'!$A$1:$AB$315,20,0)</f>
        <v>NA</v>
      </c>
      <c r="W198" s="8" t="str">
        <f>VLOOKUP($B198,'[1]Plant data'!$A$1:$AB$315,21,0)</f>
        <v>NA</v>
      </c>
      <c r="X198" s="8" t="str">
        <f>VLOOKUP($B198,'[1]Plant data'!$A$1:$AB$315,22,0)</f>
        <v>NA</v>
      </c>
      <c r="Y198" s="8" t="str">
        <f>VLOOKUP($B198,'[1]Plant data'!$A$1:$AB$315,23,0)</f>
        <v>NA</v>
      </c>
      <c r="Z198" s="8" t="str">
        <f>VLOOKUP($B198,'[1]Plant data'!$A$1:$AB$315,24,0)</f>
        <v>NA</v>
      </c>
      <c r="AA198" s="8" t="str">
        <f>VLOOKUP($B198,'[1]Plant data'!$A$1:$AB$315,25,0)</f>
        <v>NA</v>
      </c>
      <c r="AB198" s="8" t="s">
        <v>19</v>
      </c>
    </row>
    <row r="199" spans="1:28">
      <c r="A199" s="5" t="s">
        <v>43</v>
      </c>
      <c r="B199" s="14" t="s">
        <v>214</v>
      </c>
      <c r="C199" s="53">
        <v>22</v>
      </c>
      <c r="D199" s="58">
        <v>13.3</v>
      </c>
      <c r="E199" s="8">
        <f>C199/13.3</f>
        <v>1.6541353383458646</v>
      </c>
      <c r="F199" s="56" t="s">
        <v>19</v>
      </c>
      <c r="G199" s="41">
        <v>2.1</v>
      </c>
      <c r="H199" s="23">
        <f t="shared" si="17"/>
        <v>3.4736842105263159</v>
      </c>
      <c r="I199" t="s">
        <v>30</v>
      </c>
      <c r="J199" s="11">
        <v>32.5</v>
      </c>
      <c r="K199" s="11">
        <v>8.9205555560000001</v>
      </c>
      <c r="L199" t="str">
        <f>VLOOKUP(B199,'[1]Plant data'!$A$1:$AB$315,2,0)</f>
        <v>Melastomataceae</v>
      </c>
      <c r="M199" s="9" t="str">
        <f>VLOOKUP($B199,'[1]Plant data'!$A$1:$AB$315,6,0)</f>
        <v>NA</v>
      </c>
      <c r="N199" s="9" t="str">
        <f>VLOOKUP($B199,'[1]Plant data'!$A$1:$AB$315,7,0)</f>
        <v>NA</v>
      </c>
      <c r="O199" s="8" t="str">
        <f>VLOOKUP($B199,'[1]Plant data'!$A$1:$AB$315,10,0)</f>
        <v>NA</v>
      </c>
      <c r="P199" s="8" t="str">
        <f>VLOOKUP($B199,'[1]Plant data'!$A$1:$AB$315,11,0)</f>
        <v>NA</v>
      </c>
      <c r="Q199" s="8" t="str">
        <f>VLOOKUP($B199,'[1]Plant data'!$A$1:$AB$315,12,0)</f>
        <v>NA</v>
      </c>
      <c r="R199" s="8" t="str">
        <f>VLOOKUP($B199,'[1]Plant data'!$A$1:$AB$315,13,0)</f>
        <v>NA</v>
      </c>
      <c r="S199" s="8" t="str">
        <f>VLOOKUP($B199,'[1]Plant data'!$A$1:$AB$315,14,0)</f>
        <v>NA</v>
      </c>
      <c r="T199" s="11" t="str">
        <f>VLOOKUP($B199,'[1]Plant data'!$A$1:$AB$315,15,0)</f>
        <v>NA</v>
      </c>
      <c r="U199" s="9" t="str">
        <f>VLOOKUP($B199,'[1]Plant data'!$A$1:$AB$315,19,0)</f>
        <v>NA</v>
      </c>
      <c r="V199" s="8" t="str">
        <f>VLOOKUP($B199,'[1]Plant data'!$A$1:$AB$315,20,0)</f>
        <v>NA</v>
      </c>
      <c r="W199" s="8" t="str">
        <f>VLOOKUP($B199,'[1]Plant data'!$A$1:$AB$315,21,0)</f>
        <v>NA</v>
      </c>
      <c r="X199" s="8" t="str">
        <f>VLOOKUP($B199,'[1]Plant data'!$A$1:$AB$315,22,0)</f>
        <v>NA</v>
      </c>
      <c r="Y199" s="8" t="str">
        <f>VLOOKUP($B199,'[1]Plant data'!$A$1:$AB$315,23,0)</f>
        <v>NA</v>
      </c>
      <c r="Z199" s="8" t="str">
        <f>VLOOKUP($B199,'[1]Plant data'!$A$1:$AB$315,24,0)</f>
        <v>NA</v>
      </c>
      <c r="AA199" s="8" t="str">
        <f>VLOOKUP($B199,'[1]Plant data'!$A$1:$AB$315,25,0)</f>
        <v>NA</v>
      </c>
      <c r="AB199" s="8" t="s">
        <v>19</v>
      </c>
    </row>
    <row r="200" spans="1:28">
      <c r="A200" s="5" t="s">
        <v>50</v>
      </c>
      <c r="B200" s="14" t="s">
        <v>214</v>
      </c>
      <c r="C200" s="53">
        <v>3</v>
      </c>
      <c r="D200" s="58">
        <v>13.3</v>
      </c>
      <c r="E200" s="8">
        <f>C200/13.3</f>
        <v>0.22556390977443608</v>
      </c>
      <c r="F200" s="56" t="s">
        <v>19</v>
      </c>
      <c r="G200" s="41">
        <v>10.029292929292929</v>
      </c>
      <c r="H200" s="23">
        <f t="shared" si="17"/>
        <v>2.2622465254044197</v>
      </c>
      <c r="I200" t="s">
        <v>47</v>
      </c>
      <c r="J200" s="11">
        <v>69.5</v>
      </c>
      <c r="K200" s="11">
        <v>13.253214290000001</v>
      </c>
      <c r="L200" t="str">
        <f>VLOOKUP(B200,'[1]Plant data'!$A$1:$AB$315,2,0)</f>
        <v>Melastomataceae</v>
      </c>
      <c r="M200" s="9" t="str">
        <f>VLOOKUP($B200,'[1]Plant data'!$A$1:$AB$315,6,0)</f>
        <v>NA</v>
      </c>
      <c r="N200" s="9" t="str">
        <f>VLOOKUP($B200,'[1]Plant data'!$A$1:$AB$315,7,0)</f>
        <v>NA</v>
      </c>
      <c r="O200" s="8" t="str">
        <f>VLOOKUP($B200,'[1]Plant data'!$A$1:$AB$315,10,0)</f>
        <v>NA</v>
      </c>
      <c r="P200" s="8" t="str">
        <f>VLOOKUP($B200,'[1]Plant data'!$A$1:$AB$315,11,0)</f>
        <v>NA</v>
      </c>
      <c r="Q200" s="8" t="str">
        <f>VLOOKUP($B200,'[1]Plant data'!$A$1:$AB$315,12,0)</f>
        <v>NA</v>
      </c>
      <c r="R200" s="8" t="str">
        <f>VLOOKUP($B200,'[1]Plant data'!$A$1:$AB$315,13,0)</f>
        <v>NA</v>
      </c>
      <c r="S200" s="8" t="str">
        <f>VLOOKUP($B200,'[1]Plant data'!$A$1:$AB$315,14,0)</f>
        <v>NA</v>
      </c>
      <c r="T200" s="11" t="str">
        <f>VLOOKUP($B200,'[1]Plant data'!$A$1:$AB$315,15,0)</f>
        <v>NA</v>
      </c>
      <c r="U200" s="9" t="str">
        <f>VLOOKUP($B200,'[1]Plant data'!$A$1:$AB$315,19,0)</f>
        <v>NA</v>
      </c>
      <c r="V200" s="8" t="str">
        <f>VLOOKUP($B200,'[1]Plant data'!$A$1:$AB$315,20,0)</f>
        <v>NA</v>
      </c>
      <c r="W200" s="8" t="str">
        <f>VLOOKUP($B200,'[1]Plant data'!$A$1:$AB$315,21,0)</f>
        <v>NA</v>
      </c>
      <c r="X200" s="8" t="str">
        <f>VLOOKUP($B200,'[1]Plant data'!$A$1:$AB$315,22,0)</f>
        <v>NA</v>
      </c>
      <c r="Y200" s="8" t="str">
        <f>VLOOKUP($B200,'[1]Plant data'!$A$1:$AB$315,23,0)</f>
        <v>NA</v>
      </c>
      <c r="Z200" s="8" t="str">
        <f>VLOOKUP($B200,'[1]Plant data'!$A$1:$AB$315,24,0)</f>
        <v>NA</v>
      </c>
      <c r="AA200" s="8" t="str">
        <f>VLOOKUP($B200,'[1]Plant data'!$A$1:$AB$315,25,0)</f>
        <v>NA</v>
      </c>
      <c r="AB200" s="8" t="s">
        <v>19</v>
      </c>
    </row>
    <row r="201" spans="1:28">
      <c r="A201" s="5" t="s">
        <v>46</v>
      </c>
      <c r="B201" s="6" t="s">
        <v>250</v>
      </c>
      <c r="C201" s="53">
        <v>5</v>
      </c>
      <c r="D201" s="74">
        <v>85.3</v>
      </c>
      <c r="E201" s="8">
        <f>C201/85.3</f>
        <v>5.8616647127784291E-2</v>
      </c>
      <c r="F201" s="54" t="s">
        <v>19</v>
      </c>
      <c r="G201" s="41">
        <v>10.029292929292929</v>
      </c>
      <c r="H201" s="23">
        <f t="shared" si="17"/>
        <v>0.58788352457754567</v>
      </c>
      <c r="I201" t="s">
        <v>47</v>
      </c>
      <c r="J201" s="11">
        <v>54</v>
      </c>
      <c r="K201" s="11">
        <v>11.14875</v>
      </c>
      <c r="L201" t="str">
        <f>VLOOKUP(B201,'[1]Plant data'!$A$1:$AB$315,2,0)</f>
        <v>Melastomataceae</v>
      </c>
      <c r="M201" s="9">
        <f>VLOOKUP($B201,'[1]Plant data'!$A$1:$AB$315,6,0)</f>
        <v>3.4749999999999996</v>
      </c>
      <c r="N201" s="9">
        <f>VLOOKUP($B201,'[1]Plant data'!$A$1:$AB$315,7,0)</f>
        <v>3.8</v>
      </c>
      <c r="O201" s="8">
        <f>VLOOKUP($B201,'[1]Plant data'!$A$1:$AB$315,10,0)</f>
        <v>0.11349999999999998</v>
      </c>
      <c r="P201" s="8" t="str">
        <f>VLOOKUP($B201,'[1]Plant data'!$A$1:$AB$315,11,0)</f>
        <v>NA</v>
      </c>
      <c r="Q201" s="8" t="str">
        <f>VLOOKUP($B201,'[1]Plant data'!$A$1:$AB$315,12,0)</f>
        <v>NA</v>
      </c>
      <c r="R201" s="8">
        <f>VLOOKUP($B201,'[1]Plant data'!$A$1:$AB$315,13,0)</f>
        <v>0.10700000000000001</v>
      </c>
      <c r="S201" s="8" t="str">
        <f>VLOOKUP($B201,'[1]Plant data'!$A$1:$AB$315,14,0)</f>
        <v>NA</v>
      </c>
      <c r="T201" s="11">
        <f>VLOOKUP($B201,'[1]Plant data'!$A$1:$AB$315,15,0)</f>
        <v>6.5</v>
      </c>
      <c r="U201" s="9" t="str">
        <f>VLOOKUP($B201,'[1]Plant data'!$A$1:$AB$315,19,0)</f>
        <v>NA</v>
      </c>
      <c r="V201" s="8" t="str">
        <f>VLOOKUP($B201,'[1]Plant data'!$A$1:$AB$315,20,0)</f>
        <v>NA</v>
      </c>
      <c r="W201" s="8" t="str">
        <f>VLOOKUP($B201,'[1]Plant data'!$A$1:$AB$315,21,0)</f>
        <v>NA</v>
      </c>
      <c r="X201" s="8" t="str">
        <f>VLOOKUP($B201,'[1]Plant data'!$A$1:$AB$315,22,0)</f>
        <v>NA</v>
      </c>
      <c r="Y201" s="8" t="str">
        <f>VLOOKUP($B201,'[1]Plant data'!$A$1:$AB$315,23,0)</f>
        <v>NA</v>
      </c>
      <c r="Z201" s="8" t="str">
        <f>VLOOKUP($B201,'[1]Plant data'!$A$1:$AB$315,24,0)</f>
        <v>NA</v>
      </c>
      <c r="AA201" s="8" t="str">
        <f>VLOOKUP($B201,'[1]Plant data'!$A$1:$AB$315,25,0)</f>
        <v>NA</v>
      </c>
      <c r="AB201" s="8" t="s">
        <v>19</v>
      </c>
    </row>
    <row r="202" spans="1:28">
      <c r="A202" s="5" t="s">
        <v>50</v>
      </c>
      <c r="B202" s="14" t="s">
        <v>250</v>
      </c>
      <c r="C202" s="53">
        <v>4</v>
      </c>
      <c r="D202" s="17">
        <v>85.3</v>
      </c>
      <c r="E202" s="8">
        <f>C202/85.3</f>
        <v>4.6893317702227433E-2</v>
      </c>
      <c r="F202" s="54" t="s">
        <v>19</v>
      </c>
      <c r="G202" s="41">
        <v>10.029292929292929</v>
      </c>
      <c r="H202" s="23">
        <f t="shared" si="17"/>
        <v>0.47030681966203652</v>
      </c>
      <c r="I202" t="s">
        <v>47</v>
      </c>
      <c r="J202" s="11">
        <v>69.5</v>
      </c>
      <c r="K202" s="11">
        <v>13.253214290000001</v>
      </c>
      <c r="L202" t="str">
        <f>VLOOKUP(B202,'[1]Plant data'!$A$1:$AB$315,2,0)</f>
        <v>Melastomataceae</v>
      </c>
      <c r="M202" s="9">
        <f>VLOOKUP($B202,'[1]Plant data'!$A$1:$AB$315,6,0)</f>
        <v>3.4749999999999996</v>
      </c>
      <c r="N202" s="9">
        <f>VLOOKUP($B202,'[1]Plant data'!$A$1:$AB$315,7,0)</f>
        <v>3.8</v>
      </c>
      <c r="O202" s="8">
        <f>VLOOKUP($B202,'[1]Plant data'!$A$1:$AB$315,10,0)</f>
        <v>0.11349999999999998</v>
      </c>
      <c r="P202" s="8" t="str">
        <f>VLOOKUP($B202,'[1]Plant data'!$A$1:$AB$315,11,0)</f>
        <v>NA</v>
      </c>
      <c r="Q202" s="8" t="str">
        <f>VLOOKUP($B202,'[1]Plant data'!$A$1:$AB$315,12,0)</f>
        <v>NA</v>
      </c>
      <c r="R202" s="8">
        <f>VLOOKUP($B202,'[1]Plant data'!$A$1:$AB$315,13,0)</f>
        <v>0.10700000000000001</v>
      </c>
      <c r="S202" s="8" t="str">
        <f>VLOOKUP($B202,'[1]Plant data'!$A$1:$AB$315,14,0)</f>
        <v>NA</v>
      </c>
      <c r="T202" s="11">
        <f>VLOOKUP($B202,'[1]Plant data'!$A$1:$AB$315,15,0)</f>
        <v>6.5</v>
      </c>
      <c r="U202" s="9" t="str">
        <f>VLOOKUP($B202,'[1]Plant data'!$A$1:$AB$315,19,0)</f>
        <v>NA</v>
      </c>
      <c r="V202" s="8" t="str">
        <f>VLOOKUP($B202,'[1]Plant data'!$A$1:$AB$315,20,0)</f>
        <v>NA</v>
      </c>
      <c r="W202" s="8" t="str">
        <f>VLOOKUP($B202,'[1]Plant data'!$A$1:$AB$315,21,0)</f>
        <v>NA</v>
      </c>
      <c r="X202" s="8" t="str">
        <f>VLOOKUP($B202,'[1]Plant data'!$A$1:$AB$315,22,0)</f>
        <v>NA</v>
      </c>
      <c r="Y202" s="8" t="str">
        <f>VLOOKUP($B202,'[1]Plant data'!$A$1:$AB$315,23,0)</f>
        <v>NA</v>
      </c>
      <c r="Z202" s="8" t="str">
        <f>VLOOKUP($B202,'[1]Plant data'!$A$1:$AB$315,24,0)</f>
        <v>NA</v>
      </c>
      <c r="AA202" s="8" t="str">
        <f>VLOOKUP($B202,'[1]Plant data'!$A$1:$AB$315,25,0)</f>
        <v>NA</v>
      </c>
      <c r="AB202" s="8" t="s">
        <v>19</v>
      </c>
    </row>
    <row r="203" spans="1:28">
      <c r="A203" s="5" t="s">
        <v>43</v>
      </c>
      <c r="B203" s="14" t="s">
        <v>249</v>
      </c>
      <c r="C203" s="53">
        <v>2</v>
      </c>
      <c r="D203" s="75">
        <v>14.2</v>
      </c>
      <c r="E203" s="8">
        <f>C203/14.2</f>
        <v>0.14084507042253522</v>
      </c>
      <c r="F203" s="54" t="s">
        <v>19</v>
      </c>
      <c r="G203" s="41">
        <v>2.1</v>
      </c>
      <c r="H203" s="23">
        <f t="shared" si="17"/>
        <v>0.29577464788732399</v>
      </c>
      <c r="I203" t="s">
        <v>30</v>
      </c>
      <c r="J203" s="11">
        <v>32.5</v>
      </c>
      <c r="K203" s="11">
        <v>8.9205555560000001</v>
      </c>
      <c r="L203" t="str">
        <f>VLOOKUP(B203,'[1]Plant data'!$A$1:$AB$315,2,0)</f>
        <v>Melastomataceae</v>
      </c>
      <c r="M203" s="9">
        <f>VLOOKUP($B203,'[1]Plant data'!$A$1:$AB$315,6,0)</f>
        <v>3.2</v>
      </c>
      <c r="N203" s="9">
        <f>VLOOKUP($B203,'[1]Plant data'!$A$1:$AB$315,7,0)</f>
        <v>3.355</v>
      </c>
      <c r="O203" s="8">
        <f>VLOOKUP($B203,'[1]Plant data'!$A$1:$AB$315,10,0)</f>
        <v>5.4700000000000006E-2</v>
      </c>
      <c r="P203" s="8" t="str">
        <f>VLOOKUP($B203,'[1]Plant data'!$A$1:$AB$315,11,0)</f>
        <v>NA</v>
      </c>
      <c r="Q203" s="8">
        <f>VLOOKUP($B203,'[1]Plant data'!$A$1:$AB$315,12,0)</f>
        <v>5.0449134199134207E-4</v>
      </c>
      <c r="R203" s="8">
        <f>VLOOKUP($B203,'[1]Plant data'!$A$1:$AB$315,13,0)</f>
        <v>5.2777777777777778E-2</v>
      </c>
      <c r="S203" s="8">
        <f>VLOOKUP($B203,'[1]Plant data'!$A$1:$AB$315,14,0)</f>
        <v>5.7777777777777784E-3</v>
      </c>
      <c r="T203" s="11">
        <f>VLOOKUP($B203,'[1]Plant data'!$A$1:$AB$315,15,0)</f>
        <v>12.6</v>
      </c>
      <c r="U203" s="9" t="str">
        <f>VLOOKUP($B203,'[1]Plant data'!$A$1:$AB$315,19,0)</f>
        <v>NA</v>
      </c>
      <c r="V203" s="8" t="str">
        <f>VLOOKUP($B203,'[1]Plant data'!$A$1:$AB$315,20,0)</f>
        <v>NA</v>
      </c>
      <c r="W203" s="8" t="str">
        <f>VLOOKUP($B203,'[1]Plant data'!$A$1:$AB$315,21,0)</f>
        <v>NA</v>
      </c>
      <c r="X203" s="8" t="str">
        <f>VLOOKUP($B203,'[1]Plant data'!$A$1:$AB$315,22,0)</f>
        <v>NA</v>
      </c>
      <c r="Y203" s="8" t="str">
        <f>VLOOKUP($B203,'[1]Plant data'!$A$1:$AB$315,23,0)</f>
        <v>NA</v>
      </c>
      <c r="Z203" s="8" t="str">
        <f>VLOOKUP($B203,'[1]Plant data'!$A$1:$AB$315,24,0)</f>
        <v>NA</v>
      </c>
      <c r="AA203" s="8" t="str">
        <f>VLOOKUP($B203,'[1]Plant data'!$A$1:$AB$315,25,0)</f>
        <v>NA</v>
      </c>
      <c r="AB203" s="8" t="s">
        <v>19</v>
      </c>
    </row>
    <row r="204" spans="1:28">
      <c r="A204" s="5" t="s">
        <v>46</v>
      </c>
      <c r="B204" s="6" t="s">
        <v>249</v>
      </c>
      <c r="C204" s="53">
        <v>2</v>
      </c>
      <c r="D204" s="74">
        <v>14.2</v>
      </c>
      <c r="E204" s="8">
        <f>C204/14.2</f>
        <v>0.14084507042253522</v>
      </c>
      <c r="F204" s="54" t="s">
        <v>19</v>
      </c>
      <c r="G204" s="41">
        <v>10.029292929292929</v>
      </c>
      <c r="H204" s="23">
        <f t="shared" si="17"/>
        <v>1.4125764689144971</v>
      </c>
      <c r="I204" t="s">
        <v>47</v>
      </c>
      <c r="J204" s="11">
        <v>54</v>
      </c>
      <c r="K204" s="11">
        <v>11.14875</v>
      </c>
      <c r="L204" t="str">
        <f>VLOOKUP(B204,'[1]Plant data'!$A$1:$AB$315,2,0)</f>
        <v>Melastomataceae</v>
      </c>
      <c r="M204" s="9">
        <f>VLOOKUP($B204,'[1]Plant data'!$A$1:$AB$315,6,0)</f>
        <v>3.2</v>
      </c>
      <c r="N204" s="9">
        <f>VLOOKUP($B204,'[1]Plant data'!$A$1:$AB$315,7,0)</f>
        <v>3.355</v>
      </c>
      <c r="O204" s="8">
        <f>VLOOKUP($B204,'[1]Plant data'!$A$1:$AB$315,10,0)</f>
        <v>5.4700000000000006E-2</v>
      </c>
      <c r="P204" s="8" t="str">
        <f>VLOOKUP($B204,'[1]Plant data'!$A$1:$AB$315,11,0)</f>
        <v>NA</v>
      </c>
      <c r="Q204" s="8">
        <f>VLOOKUP($B204,'[1]Plant data'!$A$1:$AB$315,12,0)</f>
        <v>5.0449134199134207E-4</v>
      </c>
      <c r="R204" s="8">
        <f>VLOOKUP($B204,'[1]Plant data'!$A$1:$AB$315,13,0)</f>
        <v>5.2777777777777778E-2</v>
      </c>
      <c r="S204" s="8">
        <f>VLOOKUP($B204,'[1]Plant data'!$A$1:$AB$315,14,0)</f>
        <v>5.7777777777777784E-3</v>
      </c>
      <c r="T204" s="11">
        <f>VLOOKUP($B204,'[1]Plant data'!$A$1:$AB$315,15,0)</f>
        <v>12.6</v>
      </c>
      <c r="U204" s="9" t="str">
        <f>VLOOKUP($B204,'[1]Plant data'!$A$1:$AB$315,19,0)</f>
        <v>NA</v>
      </c>
      <c r="V204" s="8" t="str">
        <f>VLOOKUP($B204,'[1]Plant data'!$A$1:$AB$315,20,0)</f>
        <v>NA</v>
      </c>
      <c r="W204" s="8" t="str">
        <f>VLOOKUP($B204,'[1]Plant data'!$A$1:$AB$315,21,0)</f>
        <v>NA</v>
      </c>
      <c r="X204" s="8" t="str">
        <f>VLOOKUP($B204,'[1]Plant data'!$A$1:$AB$315,22,0)</f>
        <v>NA</v>
      </c>
      <c r="Y204" s="8" t="str">
        <f>VLOOKUP($B204,'[1]Plant data'!$A$1:$AB$315,23,0)</f>
        <v>NA</v>
      </c>
      <c r="Z204" s="8" t="str">
        <f>VLOOKUP($B204,'[1]Plant data'!$A$1:$AB$315,24,0)</f>
        <v>NA</v>
      </c>
      <c r="AA204" s="8" t="str">
        <f>VLOOKUP($B204,'[1]Plant data'!$A$1:$AB$315,25,0)</f>
        <v>NA</v>
      </c>
      <c r="AB204" s="8" t="s">
        <v>19</v>
      </c>
    </row>
    <row r="205" spans="1:28">
      <c r="A205" s="5" t="s">
        <v>46</v>
      </c>
      <c r="B205" s="6" t="s">
        <v>249</v>
      </c>
      <c r="C205" s="53">
        <v>1</v>
      </c>
      <c r="D205" s="74">
        <v>7.4</v>
      </c>
      <c r="E205" s="8">
        <f>C205/7.4</f>
        <v>0.13513513513513511</v>
      </c>
      <c r="F205" s="54" t="s">
        <v>19</v>
      </c>
      <c r="G205" s="41">
        <v>10.029292929292929</v>
      </c>
      <c r="H205" s="23">
        <f t="shared" si="17"/>
        <v>1.355309855309855</v>
      </c>
      <c r="I205" t="s">
        <v>47</v>
      </c>
      <c r="J205" s="11">
        <v>54</v>
      </c>
      <c r="K205" s="11">
        <v>11.14875</v>
      </c>
      <c r="L205" t="str">
        <f>VLOOKUP(B205,'[1]Plant data'!$A$1:$AB$315,2,0)</f>
        <v>Melastomataceae</v>
      </c>
      <c r="M205" s="9">
        <f>VLOOKUP($B205,'[1]Plant data'!$A$1:$AB$315,6,0)</f>
        <v>3.2</v>
      </c>
      <c r="N205" s="9">
        <f>VLOOKUP($B205,'[1]Plant data'!$A$1:$AB$315,7,0)</f>
        <v>3.355</v>
      </c>
      <c r="O205" s="8">
        <f>VLOOKUP($B205,'[1]Plant data'!$A$1:$AB$315,10,0)</f>
        <v>5.4700000000000006E-2</v>
      </c>
      <c r="P205" s="8" t="str">
        <f>VLOOKUP($B205,'[1]Plant data'!$A$1:$AB$315,11,0)</f>
        <v>NA</v>
      </c>
      <c r="Q205" s="8">
        <f>VLOOKUP($B205,'[1]Plant data'!$A$1:$AB$315,12,0)</f>
        <v>5.0449134199134207E-4</v>
      </c>
      <c r="R205" s="8">
        <f>VLOOKUP($B205,'[1]Plant data'!$A$1:$AB$315,13,0)</f>
        <v>5.2777777777777778E-2</v>
      </c>
      <c r="S205" s="8">
        <f>VLOOKUP($B205,'[1]Plant data'!$A$1:$AB$315,14,0)</f>
        <v>5.7777777777777784E-3</v>
      </c>
      <c r="T205" s="11">
        <f>VLOOKUP($B205,'[1]Plant data'!$A$1:$AB$315,15,0)</f>
        <v>12.6</v>
      </c>
      <c r="U205" s="9" t="str">
        <f>VLOOKUP($B205,'[1]Plant data'!$A$1:$AB$315,19,0)</f>
        <v>NA</v>
      </c>
      <c r="V205" s="8" t="str">
        <f>VLOOKUP($B205,'[1]Plant data'!$A$1:$AB$315,20,0)</f>
        <v>NA</v>
      </c>
      <c r="W205" s="8" t="str">
        <f>VLOOKUP($B205,'[1]Plant data'!$A$1:$AB$315,21,0)</f>
        <v>NA</v>
      </c>
      <c r="X205" s="8" t="str">
        <f>VLOOKUP($B205,'[1]Plant data'!$A$1:$AB$315,22,0)</f>
        <v>NA</v>
      </c>
      <c r="Y205" s="8" t="str">
        <f>VLOOKUP($B205,'[1]Plant data'!$A$1:$AB$315,23,0)</f>
        <v>NA</v>
      </c>
      <c r="Z205" s="8" t="str">
        <f>VLOOKUP($B205,'[1]Plant data'!$A$1:$AB$315,24,0)</f>
        <v>NA</v>
      </c>
      <c r="AA205" s="8" t="str">
        <f>VLOOKUP($B205,'[1]Plant data'!$A$1:$AB$315,25,0)</f>
        <v>NA</v>
      </c>
      <c r="AB205" s="8" t="s">
        <v>19</v>
      </c>
    </row>
    <row r="206" spans="1:28">
      <c r="A206" s="5" t="s">
        <v>46</v>
      </c>
      <c r="B206" s="33" t="s">
        <v>249</v>
      </c>
      <c r="C206" s="53">
        <v>1</v>
      </c>
      <c r="D206" s="58">
        <v>85.3</v>
      </c>
      <c r="E206" s="8">
        <f>C206/85.3</f>
        <v>1.1723329425556858E-2</v>
      </c>
      <c r="F206" s="54" t="s">
        <v>19</v>
      </c>
      <c r="G206" s="41">
        <v>10.029292929292929</v>
      </c>
      <c r="H206" s="23">
        <f t="shared" si="17"/>
        <v>0.11757670491550913</v>
      </c>
      <c r="I206" t="s">
        <v>47</v>
      </c>
      <c r="J206" s="11">
        <v>54</v>
      </c>
      <c r="K206" s="11">
        <v>11.14875</v>
      </c>
      <c r="L206" t="str">
        <f>VLOOKUP(B206,'[1]Plant data'!$A$1:$AB$315,2,0)</f>
        <v>Melastomataceae</v>
      </c>
      <c r="M206" s="9">
        <f>VLOOKUP($B206,'[1]Plant data'!$A$1:$AB$315,6,0)</f>
        <v>3.2</v>
      </c>
      <c r="N206" s="9">
        <f>VLOOKUP($B206,'[1]Plant data'!$A$1:$AB$315,7,0)</f>
        <v>3.355</v>
      </c>
      <c r="O206" s="8">
        <f>VLOOKUP($B206,'[1]Plant data'!$A$1:$AB$315,10,0)</f>
        <v>5.4700000000000006E-2</v>
      </c>
      <c r="P206" s="8" t="str">
        <f>VLOOKUP($B206,'[1]Plant data'!$A$1:$AB$315,11,0)</f>
        <v>NA</v>
      </c>
      <c r="Q206" s="8">
        <f>VLOOKUP($B206,'[1]Plant data'!$A$1:$AB$315,12,0)</f>
        <v>5.0449134199134207E-4</v>
      </c>
      <c r="R206" s="8">
        <f>VLOOKUP($B206,'[1]Plant data'!$A$1:$AB$315,13,0)</f>
        <v>5.2777777777777778E-2</v>
      </c>
      <c r="S206" s="8">
        <f>VLOOKUP($B206,'[1]Plant data'!$A$1:$AB$315,14,0)</f>
        <v>5.7777777777777784E-3</v>
      </c>
      <c r="T206" s="11">
        <f>VLOOKUP($B206,'[1]Plant data'!$A$1:$AB$315,15,0)</f>
        <v>12.6</v>
      </c>
      <c r="U206" s="9" t="str">
        <f>VLOOKUP($B206,'[1]Plant data'!$A$1:$AB$315,19,0)</f>
        <v>NA</v>
      </c>
      <c r="V206" s="8" t="str">
        <f>VLOOKUP($B206,'[1]Plant data'!$A$1:$AB$315,20,0)</f>
        <v>NA</v>
      </c>
      <c r="W206" s="8" t="str">
        <f>VLOOKUP($B206,'[1]Plant data'!$A$1:$AB$315,21,0)</f>
        <v>NA</v>
      </c>
      <c r="X206" s="8" t="str">
        <f>VLOOKUP($B206,'[1]Plant data'!$A$1:$AB$315,22,0)</f>
        <v>NA</v>
      </c>
      <c r="Y206" s="8" t="str">
        <f>VLOOKUP($B206,'[1]Plant data'!$A$1:$AB$315,23,0)</f>
        <v>NA</v>
      </c>
      <c r="Z206" s="8" t="str">
        <f>VLOOKUP($B206,'[1]Plant data'!$A$1:$AB$315,24,0)</f>
        <v>NA</v>
      </c>
      <c r="AA206" s="8" t="str">
        <f>VLOOKUP($B206,'[1]Plant data'!$A$1:$AB$315,25,0)</f>
        <v>NA</v>
      </c>
      <c r="AB206" s="8" t="s">
        <v>19</v>
      </c>
    </row>
    <row r="207" spans="1:28">
      <c r="A207" s="5" t="s">
        <v>50</v>
      </c>
      <c r="B207" s="32" t="s">
        <v>249</v>
      </c>
      <c r="C207" s="53">
        <v>3</v>
      </c>
      <c r="D207" s="74">
        <v>14.2</v>
      </c>
      <c r="E207" s="8">
        <f>C207/14.2</f>
        <v>0.21126760563380284</v>
      </c>
      <c r="F207" s="54" t="s">
        <v>19</v>
      </c>
      <c r="G207" s="41">
        <v>10.029292929292929</v>
      </c>
      <c r="H207" s="23">
        <f t="shared" si="17"/>
        <v>2.1188647033717456</v>
      </c>
      <c r="I207" t="s">
        <v>47</v>
      </c>
      <c r="J207" s="11">
        <v>69.5</v>
      </c>
      <c r="K207" s="11">
        <v>13.253214290000001</v>
      </c>
      <c r="L207" t="str">
        <f>VLOOKUP(B207,'[1]Plant data'!$A$1:$AB$315,2,0)</f>
        <v>Melastomataceae</v>
      </c>
      <c r="M207" s="9">
        <f>VLOOKUP($B207,'[1]Plant data'!$A$1:$AB$315,6,0)</f>
        <v>3.2</v>
      </c>
      <c r="N207" s="9">
        <f>VLOOKUP($B207,'[1]Plant data'!$A$1:$AB$315,7,0)</f>
        <v>3.355</v>
      </c>
      <c r="O207" s="8">
        <f>VLOOKUP($B207,'[1]Plant data'!$A$1:$AB$315,10,0)</f>
        <v>5.4700000000000006E-2</v>
      </c>
      <c r="P207" s="8" t="str">
        <f>VLOOKUP($B207,'[1]Plant data'!$A$1:$AB$315,11,0)</f>
        <v>NA</v>
      </c>
      <c r="Q207" s="8">
        <f>VLOOKUP($B207,'[1]Plant data'!$A$1:$AB$315,12,0)</f>
        <v>5.0449134199134207E-4</v>
      </c>
      <c r="R207" s="8">
        <f>VLOOKUP($B207,'[1]Plant data'!$A$1:$AB$315,13,0)</f>
        <v>5.2777777777777778E-2</v>
      </c>
      <c r="S207" s="8">
        <f>VLOOKUP($B207,'[1]Plant data'!$A$1:$AB$315,14,0)</f>
        <v>5.7777777777777784E-3</v>
      </c>
      <c r="T207" s="11">
        <f>VLOOKUP($B207,'[1]Plant data'!$A$1:$AB$315,15,0)</f>
        <v>12.6</v>
      </c>
      <c r="U207" s="9" t="str">
        <f>VLOOKUP($B207,'[1]Plant data'!$A$1:$AB$315,19,0)</f>
        <v>NA</v>
      </c>
      <c r="V207" s="8" t="str">
        <f>VLOOKUP($B207,'[1]Plant data'!$A$1:$AB$315,20,0)</f>
        <v>NA</v>
      </c>
      <c r="W207" s="8" t="str">
        <f>VLOOKUP($B207,'[1]Plant data'!$A$1:$AB$315,21,0)</f>
        <v>NA</v>
      </c>
      <c r="X207" s="8" t="str">
        <f>VLOOKUP($B207,'[1]Plant data'!$A$1:$AB$315,22,0)</f>
        <v>NA</v>
      </c>
      <c r="Y207" s="8" t="str">
        <f>VLOOKUP($B207,'[1]Plant data'!$A$1:$AB$315,23,0)</f>
        <v>NA</v>
      </c>
      <c r="Z207" s="8" t="str">
        <f>VLOOKUP($B207,'[1]Plant data'!$A$1:$AB$315,24,0)</f>
        <v>NA</v>
      </c>
      <c r="AA207" s="8" t="str">
        <f>VLOOKUP($B207,'[1]Plant data'!$A$1:$AB$315,25,0)</f>
        <v>NA</v>
      </c>
      <c r="AB207" s="8" t="s">
        <v>19</v>
      </c>
    </row>
    <row r="208" spans="1:28">
      <c r="A208" s="5" t="s">
        <v>50</v>
      </c>
      <c r="B208" s="32" t="s">
        <v>249</v>
      </c>
      <c r="C208" s="53">
        <v>1</v>
      </c>
      <c r="D208" s="74">
        <v>7.4</v>
      </c>
      <c r="E208" s="8">
        <f>C208/7.4</f>
        <v>0.13513513513513511</v>
      </c>
      <c r="F208" s="54" t="s">
        <v>19</v>
      </c>
      <c r="G208" s="41">
        <v>10.029292929292929</v>
      </c>
      <c r="H208" s="23">
        <f t="shared" si="17"/>
        <v>1.355309855309855</v>
      </c>
      <c r="I208" t="s">
        <v>47</v>
      </c>
      <c r="J208" s="11">
        <v>69.5</v>
      </c>
      <c r="K208" s="11">
        <v>13.253214290000001</v>
      </c>
      <c r="L208" t="str">
        <f>VLOOKUP(B208,'[1]Plant data'!$A$1:$AB$315,2,0)</f>
        <v>Melastomataceae</v>
      </c>
      <c r="M208" s="9">
        <f>VLOOKUP($B208,'[1]Plant data'!$A$1:$AB$315,6,0)</f>
        <v>3.2</v>
      </c>
      <c r="N208" s="9">
        <f>VLOOKUP($B208,'[1]Plant data'!$A$1:$AB$315,7,0)</f>
        <v>3.355</v>
      </c>
      <c r="O208" s="8">
        <f>VLOOKUP($B208,'[1]Plant data'!$A$1:$AB$315,10,0)</f>
        <v>5.4700000000000006E-2</v>
      </c>
      <c r="P208" s="8" t="str">
        <f>VLOOKUP($B208,'[1]Plant data'!$A$1:$AB$315,11,0)</f>
        <v>NA</v>
      </c>
      <c r="Q208" s="8">
        <f>VLOOKUP($B208,'[1]Plant data'!$A$1:$AB$315,12,0)</f>
        <v>5.0449134199134207E-4</v>
      </c>
      <c r="R208" s="8">
        <f>VLOOKUP($B208,'[1]Plant data'!$A$1:$AB$315,13,0)</f>
        <v>5.2777777777777778E-2</v>
      </c>
      <c r="S208" s="8">
        <f>VLOOKUP($B208,'[1]Plant data'!$A$1:$AB$315,14,0)</f>
        <v>5.7777777777777784E-3</v>
      </c>
      <c r="T208" s="11">
        <f>VLOOKUP($B208,'[1]Plant data'!$A$1:$AB$315,15,0)</f>
        <v>12.6</v>
      </c>
      <c r="U208" s="9" t="str">
        <f>VLOOKUP($B208,'[1]Plant data'!$A$1:$AB$315,19,0)</f>
        <v>NA</v>
      </c>
      <c r="V208" s="8" t="str">
        <f>VLOOKUP($B208,'[1]Plant data'!$A$1:$AB$315,20,0)</f>
        <v>NA</v>
      </c>
      <c r="W208" s="8" t="str">
        <f>VLOOKUP($B208,'[1]Plant data'!$A$1:$AB$315,21,0)</f>
        <v>NA</v>
      </c>
      <c r="X208" s="8" t="str">
        <f>VLOOKUP($B208,'[1]Plant data'!$A$1:$AB$315,22,0)</f>
        <v>NA</v>
      </c>
      <c r="Y208" s="8" t="str">
        <f>VLOOKUP($B208,'[1]Plant data'!$A$1:$AB$315,23,0)</f>
        <v>NA</v>
      </c>
      <c r="Z208" s="8" t="str">
        <f>VLOOKUP($B208,'[1]Plant data'!$A$1:$AB$315,24,0)</f>
        <v>NA</v>
      </c>
      <c r="AA208" s="8" t="str">
        <f>VLOOKUP($B208,'[1]Plant data'!$A$1:$AB$315,25,0)</f>
        <v>NA</v>
      </c>
      <c r="AB208" s="8" t="s">
        <v>19</v>
      </c>
    </row>
    <row r="209" spans="1:28">
      <c r="A209" s="5" t="s">
        <v>50</v>
      </c>
      <c r="B209" s="32" t="s">
        <v>249</v>
      </c>
      <c r="C209" s="53">
        <v>1</v>
      </c>
      <c r="D209" s="17">
        <v>85.3</v>
      </c>
      <c r="E209" s="8">
        <f>C209/85.3</f>
        <v>1.1723329425556858E-2</v>
      </c>
      <c r="F209" s="54" t="s">
        <v>19</v>
      </c>
      <c r="G209" s="41">
        <v>10.029292929292929</v>
      </c>
      <c r="H209" s="23">
        <f t="shared" si="17"/>
        <v>0.11757670491550913</v>
      </c>
      <c r="I209" t="s">
        <v>47</v>
      </c>
      <c r="J209" s="11">
        <v>69.5</v>
      </c>
      <c r="K209" s="11">
        <v>13.253214290000001</v>
      </c>
      <c r="L209" t="str">
        <f>VLOOKUP(B209,'[1]Plant data'!$A$1:$AB$315,2,0)</f>
        <v>Melastomataceae</v>
      </c>
      <c r="M209" s="9">
        <f>VLOOKUP($B209,'[1]Plant data'!$A$1:$AB$315,6,0)</f>
        <v>3.2</v>
      </c>
      <c r="N209" s="9">
        <f>VLOOKUP($B209,'[1]Plant data'!$A$1:$AB$315,7,0)</f>
        <v>3.355</v>
      </c>
      <c r="O209" s="8">
        <f>VLOOKUP($B209,'[1]Plant data'!$A$1:$AB$315,10,0)</f>
        <v>5.4700000000000006E-2</v>
      </c>
      <c r="P209" s="8" t="str">
        <f>VLOOKUP($B209,'[1]Plant data'!$A$1:$AB$315,11,0)</f>
        <v>NA</v>
      </c>
      <c r="Q209" s="8">
        <f>VLOOKUP($B209,'[1]Plant data'!$A$1:$AB$315,12,0)</f>
        <v>5.0449134199134207E-4</v>
      </c>
      <c r="R209" s="8">
        <f>VLOOKUP($B209,'[1]Plant data'!$A$1:$AB$315,13,0)</f>
        <v>5.2777777777777778E-2</v>
      </c>
      <c r="S209" s="8">
        <f>VLOOKUP($B209,'[1]Plant data'!$A$1:$AB$315,14,0)</f>
        <v>5.7777777777777784E-3</v>
      </c>
      <c r="T209" s="11">
        <f>VLOOKUP($B209,'[1]Plant data'!$A$1:$AB$315,15,0)</f>
        <v>12.6</v>
      </c>
      <c r="U209" s="9" t="str">
        <f>VLOOKUP($B209,'[1]Plant data'!$A$1:$AB$315,19,0)</f>
        <v>NA</v>
      </c>
      <c r="V209" s="8" t="str">
        <f>VLOOKUP($B209,'[1]Plant data'!$A$1:$AB$315,20,0)</f>
        <v>NA</v>
      </c>
      <c r="W209" s="8" t="str">
        <f>VLOOKUP($B209,'[1]Plant data'!$A$1:$AB$315,21,0)</f>
        <v>NA</v>
      </c>
      <c r="X209" s="8" t="str">
        <f>VLOOKUP($B209,'[1]Plant data'!$A$1:$AB$315,22,0)</f>
        <v>NA</v>
      </c>
      <c r="Y209" s="8" t="str">
        <f>VLOOKUP($B209,'[1]Plant data'!$A$1:$AB$315,23,0)</f>
        <v>NA</v>
      </c>
      <c r="Z209" s="8" t="str">
        <f>VLOOKUP($B209,'[1]Plant data'!$A$1:$AB$315,24,0)</f>
        <v>NA</v>
      </c>
      <c r="AA209" s="8" t="str">
        <f>VLOOKUP($B209,'[1]Plant data'!$A$1:$AB$315,25,0)</f>
        <v>NA</v>
      </c>
      <c r="AB209" s="8" t="s">
        <v>19</v>
      </c>
    </row>
    <row r="210" spans="1:28">
      <c r="A210" s="5" t="s">
        <v>50</v>
      </c>
      <c r="B210" s="32" t="s">
        <v>251</v>
      </c>
      <c r="C210" s="53">
        <v>1</v>
      </c>
      <c r="D210" s="17">
        <v>85.3</v>
      </c>
      <c r="E210" s="8">
        <f>C210/85.3</f>
        <v>1.1723329425556858E-2</v>
      </c>
      <c r="F210" s="54" t="s">
        <v>19</v>
      </c>
      <c r="G210" s="41">
        <v>10.029292929292929</v>
      </c>
      <c r="H210" s="23">
        <f t="shared" si="17"/>
        <v>0.11757670491550913</v>
      </c>
      <c r="I210" t="s">
        <v>47</v>
      </c>
      <c r="J210" s="11">
        <v>69.5</v>
      </c>
      <c r="K210" s="11">
        <v>13.253214290000001</v>
      </c>
      <c r="L210" t="str">
        <f>VLOOKUP(B210,'[1]Plant data'!$A$1:$AB$315,2,0)</f>
        <v>Melastomataceae</v>
      </c>
      <c r="M210" s="9">
        <f>VLOOKUP($B210,'[1]Plant data'!$A$1:$AB$315,6,0)</f>
        <v>4.2433333333333332</v>
      </c>
      <c r="N210" s="9">
        <f>VLOOKUP($B210,'[1]Plant data'!$A$1:$AB$315,7,0)</f>
        <v>4.1900000000000004</v>
      </c>
      <c r="O210" s="8">
        <f>VLOOKUP($B210,'[1]Plant data'!$A$1:$AB$315,10,0)</f>
        <v>6.3400000000000012E-2</v>
      </c>
      <c r="P210" s="8" t="str">
        <f>VLOOKUP($B210,'[1]Plant data'!$A$1:$AB$315,11,0)</f>
        <v>NA</v>
      </c>
      <c r="Q210" s="8">
        <f>VLOOKUP($B210,'[1]Plant data'!$A$1:$AB$315,12,0)</f>
        <v>6.899999999999999E-3</v>
      </c>
      <c r="R210" s="8">
        <f>VLOOKUP($B210,'[1]Plant data'!$A$1:$AB$315,13,0)</f>
        <v>5.6499999999999995E-2</v>
      </c>
      <c r="S210" s="8">
        <f>VLOOKUP($B210,'[1]Plant data'!$A$1:$AB$315,14,0)</f>
        <v>1.25345</v>
      </c>
      <c r="T210" s="11">
        <f>VLOOKUP($B210,'[1]Plant data'!$A$1:$AB$315,15,0)</f>
        <v>2.6</v>
      </c>
      <c r="U210" s="9" t="str">
        <f>VLOOKUP($B210,'[1]Plant data'!$A$1:$AB$315,19,0)</f>
        <v>NA</v>
      </c>
      <c r="V210" s="8">
        <f>VLOOKUP($B210,'[1]Plant data'!$A$1:$AB$315,20,0)</f>
        <v>0.111</v>
      </c>
      <c r="W210" s="8">
        <f>VLOOKUP($B210,'[1]Plant data'!$A$1:$AB$315,21,0)</f>
        <v>0.14122825912113343</v>
      </c>
      <c r="X210" s="8">
        <f>VLOOKUP($B210,'[1]Plant data'!$A$1:$AB$315,22,0)</f>
        <v>8.900000000000001E-2</v>
      </c>
      <c r="Y210" s="8">
        <f>VLOOKUP($B210,'[1]Plant data'!$A$1:$AB$315,23,0)</f>
        <v>7.0000000000000007E-2</v>
      </c>
      <c r="Z210" s="8" t="str">
        <f>VLOOKUP($B210,'[1]Plant data'!$A$1:$AB$315,24,0)</f>
        <v>NA</v>
      </c>
      <c r="AA210" s="8" t="str">
        <f>VLOOKUP($B210,'[1]Plant data'!$A$1:$AB$315,25,0)</f>
        <v>NA</v>
      </c>
      <c r="AB210" s="8">
        <f>SUMIF(X210:Y210,"&gt;0.00001")</f>
        <v>0.15900000000000003</v>
      </c>
    </row>
    <row r="211" spans="1:28">
      <c r="A211" s="5" t="s">
        <v>70</v>
      </c>
      <c r="B211" s="33" t="s">
        <v>135</v>
      </c>
      <c r="C211" s="53">
        <v>4</v>
      </c>
      <c r="D211" s="58">
        <v>15</v>
      </c>
      <c r="E211" s="23">
        <f>(C211/15)*6</f>
        <v>1.6</v>
      </c>
      <c r="F211" s="54" t="s">
        <v>19</v>
      </c>
      <c r="G211" s="9">
        <v>5.25</v>
      </c>
      <c r="H211" s="23">
        <f t="shared" si="17"/>
        <v>8.4</v>
      </c>
      <c r="I211" t="s">
        <v>23</v>
      </c>
      <c r="J211" s="11">
        <v>15</v>
      </c>
      <c r="K211" s="11">
        <v>6.9235714289999999</v>
      </c>
      <c r="L211" t="str">
        <f>VLOOKUP(B211,'[1]Plant data'!$A$1:$AB$315,2,0)</f>
        <v>Melastomataceae</v>
      </c>
      <c r="M211" s="9">
        <f>VLOOKUP($B211,'[1]Plant data'!$A$1:$AB$315,6,0)</f>
        <v>5.44</v>
      </c>
      <c r="N211" s="9">
        <f>VLOOKUP($B211,'[1]Plant data'!$A$1:$AB$315,7,0)</f>
        <v>4.706666666666667</v>
      </c>
      <c r="O211" s="8">
        <f>VLOOKUP($B211,'[1]Plant data'!$A$1:$AB$315,10,0)</f>
        <v>0.12</v>
      </c>
      <c r="P211" s="8" t="str">
        <f>VLOOKUP($B211,'[1]Plant data'!$A$1:$AB$315,11,0)</f>
        <v>NA</v>
      </c>
      <c r="Q211" s="8" t="str">
        <f>VLOOKUP($B211,'[1]Plant data'!$A$1:$AB$315,12,0)</f>
        <v>NA</v>
      </c>
      <c r="R211" s="8" t="str">
        <f>VLOOKUP($B211,'[1]Plant data'!$A$1:$AB$315,13,0)</f>
        <v>NA</v>
      </c>
      <c r="S211" s="8" t="str">
        <f>VLOOKUP($B211,'[1]Plant data'!$A$1:$AB$315,14,0)</f>
        <v>NA</v>
      </c>
      <c r="T211" s="11">
        <f>VLOOKUP($B211,'[1]Plant data'!$A$1:$AB$315,15,0)</f>
        <v>50</v>
      </c>
      <c r="U211" s="9" t="str">
        <f>VLOOKUP($B211,'[1]Plant data'!$A$1:$AB$315,19,0)</f>
        <v>NA</v>
      </c>
      <c r="V211" s="8">
        <f>VLOOKUP($B211,'[1]Plant data'!$A$1:$AB$315,20,0)</f>
        <v>2.2000000000000002E-2</v>
      </c>
      <c r="W211" s="8">
        <f>VLOOKUP($B211,'[1]Plant data'!$A$1:$AB$315,21,0)</f>
        <v>3.5000000000000003E-2</v>
      </c>
      <c r="X211" s="8" t="str">
        <f>VLOOKUP($B211,'[1]Plant data'!$A$1:$AB$315,22,0)</f>
        <v>NA</v>
      </c>
      <c r="Y211" s="8" t="str">
        <f>VLOOKUP($B211,'[1]Plant data'!$A$1:$AB$315,23,0)</f>
        <v>NA</v>
      </c>
      <c r="Z211" s="8" t="str">
        <f>VLOOKUP($B211,'[1]Plant data'!$A$1:$AB$315,24,0)</f>
        <v>NA</v>
      </c>
      <c r="AA211" s="8" t="str">
        <f>VLOOKUP($B211,'[1]Plant data'!$A$1:$AB$315,25,0)</f>
        <v>NA</v>
      </c>
      <c r="AB211" s="8" t="s">
        <v>19</v>
      </c>
    </row>
    <row r="212" spans="1:28">
      <c r="A212" s="5" t="s">
        <v>41</v>
      </c>
      <c r="B212" s="32" t="s">
        <v>135</v>
      </c>
      <c r="C212" s="53">
        <v>1</v>
      </c>
      <c r="D212" s="58">
        <v>15</v>
      </c>
      <c r="E212" s="23">
        <f>(C212/15)*2</f>
        <v>0.13333333333333333</v>
      </c>
      <c r="F212" s="54" t="s">
        <v>19</v>
      </c>
      <c r="G212" s="9">
        <v>1</v>
      </c>
      <c r="H212" s="23">
        <f t="shared" si="17"/>
        <v>0.13333333333333333</v>
      </c>
      <c r="I212" t="s">
        <v>30</v>
      </c>
      <c r="J212" s="11">
        <v>39</v>
      </c>
      <c r="K212" s="11">
        <v>8.2839869279999991</v>
      </c>
      <c r="L212" t="str">
        <f>VLOOKUP(B212,'[1]Plant data'!$A$1:$AB$315,2,0)</f>
        <v>Melastomataceae</v>
      </c>
      <c r="M212" s="9">
        <f>VLOOKUP($B212,'[1]Plant data'!$A$1:$AB$315,6,0)</f>
        <v>5.44</v>
      </c>
      <c r="N212" s="9">
        <f>VLOOKUP($B212,'[1]Plant data'!$A$1:$AB$315,7,0)</f>
        <v>4.706666666666667</v>
      </c>
      <c r="O212" s="8">
        <f>VLOOKUP($B212,'[1]Plant data'!$A$1:$AB$315,10,0)</f>
        <v>0.12</v>
      </c>
      <c r="P212" s="8" t="str">
        <f>VLOOKUP($B212,'[1]Plant data'!$A$1:$AB$315,11,0)</f>
        <v>NA</v>
      </c>
      <c r="Q212" s="8" t="str">
        <f>VLOOKUP($B212,'[1]Plant data'!$A$1:$AB$315,12,0)</f>
        <v>NA</v>
      </c>
      <c r="R212" s="8" t="str">
        <f>VLOOKUP($B212,'[1]Plant data'!$A$1:$AB$315,13,0)</f>
        <v>NA</v>
      </c>
      <c r="S212" s="8" t="str">
        <f>VLOOKUP($B212,'[1]Plant data'!$A$1:$AB$315,14,0)</f>
        <v>NA</v>
      </c>
      <c r="T212" s="11">
        <f>VLOOKUP($B212,'[1]Plant data'!$A$1:$AB$315,15,0)</f>
        <v>50</v>
      </c>
      <c r="U212" s="9" t="str">
        <f>VLOOKUP($B212,'[1]Plant data'!$A$1:$AB$315,19,0)</f>
        <v>NA</v>
      </c>
      <c r="V212" s="8">
        <f>VLOOKUP($B212,'[1]Plant data'!$A$1:$AB$315,20,0)</f>
        <v>2.2000000000000002E-2</v>
      </c>
      <c r="W212" s="8">
        <f>VLOOKUP($B212,'[1]Plant data'!$A$1:$AB$315,21,0)</f>
        <v>3.5000000000000003E-2</v>
      </c>
      <c r="X212" s="8" t="str">
        <f>VLOOKUP($B212,'[1]Plant data'!$A$1:$AB$315,22,0)</f>
        <v>NA</v>
      </c>
      <c r="Y212" s="8" t="str">
        <f>VLOOKUP($B212,'[1]Plant data'!$A$1:$AB$315,23,0)</f>
        <v>NA</v>
      </c>
      <c r="Z212" s="8" t="str">
        <f>VLOOKUP($B212,'[1]Plant data'!$A$1:$AB$315,24,0)</f>
        <v>NA</v>
      </c>
      <c r="AA212" s="8" t="str">
        <f>VLOOKUP($B212,'[1]Plant data'!$A$1:$AB$315,25,0)</f>
        <v>NA</v>
      </c>
      <c r="AB212" s="8" t="s">
        <v>19</v>
      </c>
    </row>
    <row r="213" spans="1:28">
      <c r="A213" s="5" t="s">
        <v>43</v>
      </c>
      <c r="B213" s="32" t="s">
        <v>135</v>
      </c>
      <c r="C213" s="53">
        <v>2</v>
      </c>
      <c r="D213" s="58">
        <v>15</v>
      </c>
      <c r="E213" s="23">
        <f>C213/15</f>
        <v>0.13333333333333333</v>
      </c>
      <c r="F213" s="54" t="s">
        <v>19</v>
      </c>
      <c r="G213" s="9">
        <v>1</v>
      </c>
      <c r="H213" s="23">
        <f t="shared" si="17"/>
        <v>0.13333333333333333</v>
      </c>
      <c r="I213" t="s">
        <v>30</v>
      </c>
      <c r="J213" s="11">
        <v>32.5</v>
      </c>
      <c r="K213" s="11">
        <v>8.9205555560000001</v>
      </c>
      <c r="L213" t="str">
        <f>VLOOKUP(B213,'[1]Plant data'!$A$1:$AB$315,2,0)</f>
        <v>Melastomataceae</v>
      </c>
      <c r="M213" s="9">
        <f>VLOOKUP($B213,'[1]Plant data'!$A$1:$AB$315,6,0)</f>
        <v>5.44</v>
      </c>
      <c r="N213" s="9">
        <f>VLOOKUP($B213,'[1]Plant data'!$A$1:$AB$315,7,0)</f>
        <v>4.706666666666667</v>
      </c>
      <c r="O213" s="8">
        <f>VLOOKUP($B213,'[1]Plant data'!$A$1:$AB$315,10,0)</f>
        <v>0.12</v>
      </c>
      <c r="P213" s="8" t="str">
        <f>VLOOKUP($B213,'[1]Plant data'!$A$1:$AB$315,11,0)</f>
        <v>NA</v>
      </c>
      <c r="Q213" s="8" t="str">
        <f>VLOOKUP($B213,'[1]Plant data'!$A$1:$AB$315,12,0)</f>
        <v>NA</v>
      </c>
      <c r="R213" s="8" t="str">
        <f>VLOOKUP($B213,'[1]Plant data'!$A$1:$AB$315,13,0)</f>
        <v>NA</v>
      </c>
      <c r="S213" s="8" t="str">
        <f>VLOOKUP($B213,'[1]Plant data'!$A$1:$AB$315,14,0)</f>
        <v>NA</v>
      </c>
      <c r="T213" s="11">
        <f>VLOOKUP($B213,'[1]Plant data'!$A$1:$AB$315,15,0)</f>
        <v>50</v>
      </c>
      <c r="U213" s="9" t="str">
        <f>VLOOKUP($B213,'[1]Plant data'!$A$1:$AB$315,19,0)</f>
        <v>NA</v>
      </c>
      <c r="V213" s="8">
        <f>VLOOKUP($B213,'[1]Plant data'!$A$1:$AB$315,20,0)</f>
        <v>2.2000000000000002E-2</v>
      </c>
      <c r="W213" s="8">
        <f>VLOOKUP($B213,'[1]Plant data'!$A$1:$AB$315,21,0)</f>
        <v>3.5000000000000003E-2</v>
      </c>
      <c r="X213" s="8" t="str">
        <f>VLOOKUP($B213,'[1]Plant data'!$A$1:$AB$315,22,0)</f>
        <v>NA</v>
      </c>
      <c r="Y213" s="8" t="str">
        <f>VLOOKUP($B213,'[1]Plant data'!$A$1:$AB$315,23,0)</f>
        <v>NA</v>
      </c>
      <c r="Z213" s="8" t="str">
        <f>VLOOKUP($B213,'[1]Plant data'!$A$1:$AB$315,24,0)</f>
        <v>NA</v>
      </c>
      <c r="AA213" s="8" t="str">
        <f>VLOOKUP($B213,'[1]Plant data'!$A$1:$AB$315,25,0)</f>
        <v>NA</v>
      </c>
      <c r="AB213" s="8" t="s">
        <v>19</v>
      </c>
    </row>
    <row r="214" spans="1:28">
      <c r="A214" s="21" t="s">
        <v>50</v>
      </c>
      <c r="B214" s="31" t="s">
        <v>233</v>
      </c>
      <c r="C214" s="55">
        <v>1</v>
      </c>
      <c r="D214" s="17">
        <v>32</v>
      </c>
      <c r="E214" s="23">
        <f>C214/32</f>
        <v>3.125E-2</v>
      </c>
      <c r="F214" s="55">
        <v>20</v>
      </c>
      <c r="G214" s="19">
        <v>20</v>
      </c>
      <c r="H214" s="23">
        <f t="shared" si="17"/>
        <v>0.625</v>
      </c>
      <c r="I214" s="16" t="s">
        <v>47</v>
      </c>
      <c r="J214" s="17">
        <v>69.5</v>
      </c>
      <c r="K214" s="17">
        <v>13.253214290000001</v>
      </c>
      <c r="L214" t="str">
        <f>VLOOKUP(B214,'[1]Plant data'!$A$1:$AB$315,2,0)</f>
        <v>Melastomataceae</v>
      </c>
      <c r="M214" s="9">
        <f>VLOOKUP($B214,'[1]Plant data'!$A$1:$AB$315,6,0)</f>
        <v>2.5499999999999998</v>
      </c>
      <c r="N214" s="9">
        <f>VLOOKUP($B214,'[1]Plant data'!$A$1:$AB$315,7,0)</f>
        <v>2.4</v>
      </c>
      <c r="O214" s="8">
        <f>VLOOKUP($B214,'[1]Plant data'!$A$1:$AB$315,10,0)</f>
        <v>0.03</v>
      </c>
      <c r="P214" s="8" t="str">
        <f>VLOOKUP($B214,'[1]Plant data'!$A$1:$AB$315,11,0)</f>
        <v>NA</v>
      </c>
      <c r="Q214" s="8" t="str">
        <f>VLOOKUP($B214,'[1]Plant data'!$A$1:$AB$315,12,0)</f>
        <v>NA</v>
      </c>
      <c r="R214" s="8" t="str">
        <f>VLOOKUP($B214,'[1]Plant data'!$A$1:$AB$315,13,0)</f>
        <v>NA</v>
      </c>
      <c r="S214" s="8" t="str">
        <f>VLOOKUP($B214,'[1]Plant data'!$A$1:$AB$315,14,0)</f>
        <v>NA</v>
      </c>
      <c r="T214" s="11">
        <f>VLOOKUP($B214,'[1]Plant data'!$A$1:$AB$315,15,0)</f>
        <v>2</v>
      </c>
      <c r="U214" s="9">
        <f>VLOOKUP($B214,'[1]Plant data'!$A$1:$AB$315,19,0)</f>
        <v>0.84899999999999998</v>
      </c>
      <c r="V214" s="8">
        <f>VLOOKUP($B214,'[1]Plant data'!$A$1:$AB$315,20,0)</f>
        <v>1.4999999999999999E-2</v>
      </c>
      <c r="W214" s="8" t="str">
        <f>VLOOKUP($B214,'[1]Plant data'!$A$1:$AB$315,21,0)</f>
        <v>NA</v>
      </c>
      <c r="X214" s="8" t="str">
        <f>VLOOKUP($B214,'[1]Plant data'!$A$1:$AB$315,22,0)</f>
        <v>NA</v>
      </c>
      <c r="Y214" s="8" t="str">
        <f>VLOOKUP($B214,'[1]Plant data'!$A$1:$AB$315,23,0)</f>
        <v>NA</v>
      </c>
      <c r="Z214" s="8" t="str">
        <f>VLOOKUP($B214,'[1]Plant data'!$A$1:$AB$315,24,0)</f>
        <v>NA</v>
      </c>
      <c r="AA214" s="8" t="str">
        <f>VLOOKUP($B214,'[1]Plant data'!$A$1:$AB$315,25,0)</f>
        <v>NA</v>
      </c>
      <c r="AB214" s="8" t="s">
        <v>19</v>
      </c>
    </row>
    <row r="215" spans="1:28">
      <c r="A215" s="18" t="s">
        <v>28</v>
      </c>
      <c r="B215" s="32" t="s">
        <v>57</v>
      </c>
      <c r="C215" s="53">
        <v>6</v>
      </c>
      <c r="D215" s="11">
        <v>254</v>
      </c>
      <c r="E215" s="8">
        <f>C215/D215</f>
        <v>2.3622047244094488E-2</v>
      </c>
      <c r="F215" s="54" t="s">
        <v>19</v>
      </c>
      <c r="G215" s="41">
        <v>8.3333333333333339</v>
      </c>
      <c r="H215" s="23">
        <f t="shared" si="17"/>
        <v>0.19685039370078741</v>
      </c>
      <c r="I215" t="s">
        <v>30</v>
      </c>
      <c r="J215" s="11">
        <v>18</v>
      </c>
      <c r="K215" s="11">
        <v>7.4188405800000004</v>
      </c>
      <c r="L215" t="str">
        <f>VLOOKUP(B215,'[1]Plant data'!$A$1:$AB$315,2,0)</f>
        <v>Melastomataceae</v>
      </c>
      <c r="M215" s="9">
        <f>VLOOKUP($B215,'[1]Plant data'!$A$1:$AB$315,6,0)</f>
        <v>3.27</v>
      </c>
      <c r="N215" s="9">
        <f>VLOOKUP($B215,'[1]Plant data'!$A$1:$AB$315,7,0)</f>
        <v>3.4350000000000001</v>
      </c>
      <c r="O215" s="8" t="str">
        <f>VLOOKUP($B215,'[1]Plant data'!$A$1:$AB$315,10,0)</f>
        <v>NA</v>
      </c>
      <c r="P215" s="8" t="str">
        <f>VLOOKUP($B215,'[1]Plant data'!$A$1:$AB$315,11,0)</f>
        <v>NA</v>
      </c>
      <c r="Q215" s="8" t="str">
        <f>VLOOKUP($B215,'[1]Plant data'!$A$1:$AB$315,12,0)</f>
        <v>NA</v>
      </c>
      <c r="R215" s="8" t="str">
        <f>VLOOKUP($B215,'[1]Plant data'!$A$1:$AB$315,13,0)</f>
        <v>NA</v>
      </c>
      <c r="S215" s="8" t="str">
        <f>VLOOKUP($B215,'[1]Plant data'!$A$1:$AB$315,14,0)</f>
        <v>NA</v>
      </c>
      <c r="T215" s="11" t="str">
        <f>VLOOKUP($B215,'[1]Plant data'!$A$1:$AB$315,15,0)</f>
        <v>NA</v>
      </c>
      <c r="U215" s="9" t="str">
        <f>VLOOKUP($B215,'[1]Plant data'!$A$1:$AB$315,19,0)</f>
        <v>NA</v>
      </c>
      <c r="V215" s="8" t="str">
        <f>VLOOKUP($B215,'[1]Plant data'!$A$1:$AB$315,20,0)</f>
        <v>NA</v>
      </c>
      <c r="W215" s="8" t="str">
        <f>VLOOKUP($B215,'[1]Plant data'!$A$1:$AB$315,21,0)</f>
        <v>NA</v>
      </c>
      <c r="X215" s="8" t="str">
        <f>VLOOKUP($B215,'[1]Plant data'!$A$1:$AB$315,22,0)</f>
        <v>NA</v>
      </c>
      <c r="Y215" s="8" t="str">
        <f>VLOOKUP($B215,'[1]Plant data'!$A$1:$AB$315,23,0)</f>
        <v>NA</v>
      </c>
      <c r="Z215" s="8" t="str">
        <f>VLOOKUP($B215,'[1]Plant data'!$A$1:$AB$315,24,0)</f>
        <v>NA</v>
      </c>
      <c r="AA215" s="8" t="str">
        <f>VLOOKUP($B215,'[1]Plant data'!$A$1:$AB$315,25,0)</f>
        <v>NA</v>
      </c>
      <c r="AB215" s="8" t="s">
        <v>19</v>
      </c>
    </row>
    <row r="216" spans="1:28">
      <c r="A216" s="5" t="s">
        <v>41</v>
      </c>
      <c r="B216" s="32" t="s">
        <v>57</v>
      </c>
      <c r="C216" s="53">
        <v>56</v>
      </c>
      <c r="D216" s="11">
        <v>254</v>
      </c>
      <c r="E216" s="8">
        <f>C216/D216</f>
        <v>0.22047244094488189</v>
      </c>
      <c r="F216" s="54" t="s">
        <v>19</v>
      </c>
      <c r="G216" s="41">
        <v>2.1</v>
      </c>
      <c r="H216" s="23">
        <f t="shared" si="17"/>
        <v>0.46299212598425199</v>
      </c>
      <c r="I216" t="s">
        <v>30</v>
      </c>
      <c r="J216" s="11">
        <v>39</v>
      </c>
      <c r="K216" s="11">
        <v>8.2839869279999991</v>
      </c>
      <c r="L216" t="str">
        <f>VLOOKUP(B216,'[1]Plant data'!$A$1:$AB$315,2,0)</f>
        <v>Melastomataceae</v>
      </c>
      <c r="M216" s="9">
        <f>VLOOKUP($B216,'[1]Plant data'!$A$1:$AB$315,6,0)</f>
        <v>3.27</v>
      </c>
      <c r="N216" s="9">
        <f>VLOOKUP($B216,'[1]Plant data'!$A$1:$AB$315,7,0)</f>
        <v>3.4350000000000001</v>
      </c>
      <c r="O216" s="8" t="str">
        <f>VLOOKUP($B216,'[1]Plant data'!$A$1:$AB$315,10,0)</f>
        <v>NA</v>
      </c>
      <c r="P216" s="8" t="str">
        <f>VLOOKUP($B216,'[1]Plant data'!$A$1:$AB$315,11,0)</f>
        <v>NA</v>
      </c>
      <c r="Q216" s="8" t="str">
        <f>VLOOKUP($B216,'[1]Plant data'!$A$1:$AB$315,12,0)</f>
        <v>NA</v>
      </c>
      <c r="R216" s="8" t="str">
        <f>VLOOKUP($B216,'[1]Plant data'!$A$1:$AB$315,13,0)</f>
        <v>NA</v>
      </c>
      <c r="S216" s="8" t="str">
        <f>VLOOKUP($B216,'[1]Plant data'!$A$1:$AB$315,14,0)</f>
        <v>NA</v>
      </c>
      <c r="T216" s="11" t="str">
        <f>VLOOKUP($B216,'[1]Plant data'!$A$1:$AB$315,15,0)</f>
        <v>NA</v>
      </c>
      <c r="U216" s="9" t="str">
        <f>VLOOKUP($B216,'[1]Plant data'!$A$1:$AB$315,19,0)</f>
        <v>NA</v>
      </c>
      <c r="V216" s="8" t="str">
        <f>VLOOKUP($B216,'[1]Plant data'!$A$1:$AB$315,20,0)</f>
        <v>NA</v>
      </c>
      <c r="W216" s="8" t="str">
        <f>VLOOKUP($B216,'[1]Plant data'!$A$1:$AB$315,21,0)</f>
        <v>NA</v>
      </c>
      <c r="X216" s="8" t="str">
        <f>VLOOKUP($B216,'[1]Plant data'!$A$1:$AB$315,22,0)</f>
        <v>NA</v>
      </c>
      <c r="Y216" s="8" t="str">
        <f>VLOOKUP($B216,'[1]Plant data'!$A$1:$AB$315,23,0)</f>
        <v>NA</v>
      </c>
      <c r="Z216" s="8" t="str">
        <f>VLOOKUP($B216,'[1]Plant data'!$A$1:$AB$315,24,0)</f>
        <v>NA</v>
      </c>
      <c r="AA216" s="8" t="str">
        <f>VLOOKUP($B216,'[1]Plant data'!$A$1:$AB$315,25,0)</f>
        <v>NA</v>
      </c>
      <c r="AB216" s="8" t="s">
        <v>19</v>
      </c>
    </row>
    <row r="217" spans="1:28">
      <c r="A217" s="5" t="s">
        <v>43</v>
      </c>
      <c r="B217" s="32" t="s">
        <v>57</v>
      </c>
      <c r="C217" s="53">
        <v>5</v>
      </c>
      <c r="D217" s="11">
        <v>254</v>
      </c>
      <c r="E217" s="8">
        <f>C217/D217</f>
        <v>1.968503937007874E-2</v>
      </c>
      <c r="F217" s="54" t="s">
        <v>19</v>
      </c>
      <c r="G217" s="41">
        <v>2.1</v>
      </c>
      <c r="H217" s="23">
        <f t="shared" si="17"/>
        <v>4.1338582677165357E-2</v>
      </c>
      <c r="I217" t="s">
        <v>30</v>
      </c>
      <c r="J217" s="11">
        <v>32.5</v>
      </c>
      <c r="K217" s="11">
        <v>8.9205555560000001</v>
      </c>
      <c r="L217" t="str">
        <f>VLOOKUP(B217,'[1]Plant data'!$A$1:$AB$315,2,0)</f>
        <v>Melastomataceae</v>
      </c>
      <c r="M217" s="9">
        <f>VLOOKUP($B217,'[1]Plant data'!$A$1:$AB$315,6,0)</f>
        <v>3.27</v>
      </c>
      <c r="N217" s="9">
        <f>VLOOKUP($B217,'[1]Plant data'!$A$1:$AB$315,7,0)</f>
        <v>3.4350000000000001</v>
      </c>
      <c r="O217" s="8" t="str">
        <f>VLOOKUP($B217,'[1]Plant data'!$A$1:$AB$315,10,0)</f>
        <v>NA</v>
      </c>
      <c r="P217" s="8" t="str">
        <f>VLOOKUP($B217,'[1]Plant data'!$A$1:$AB$315,11,0)</f>
        <v>NA</v>
      </c>
      <c r="Q217" s="8" t="str">
        <f>VLOOKUP($B217,'[1]Plant data'!$A$1:$AB$315,12,0)</f>
        <v>NA</v>
      </c>
      <c r="R217" s="8" t="str">
        <f>VLOOKUP($B217,'[1]Plant data'!$A$1:$AB$315,13,0)</f>
        <v>NA</v>
      </c>
      <c r="S217" s="8" t="str">
        <f>VLOOKUP($B217,'[1]Plant data'!$A$1:$AB$315,14,0)</f>
        <v>NA</v>
      </c>
      <c r="T217" s="11" t="str">
        <f>VLOOKUP($B217,'[1]Plant data'!$A$1:$AB$315,15,0)</f>
        <v>NA</v>
      </c>
      <c r="U217" s="9" t="str">
        <f>VLOOKUP($B217,'[1]Plant data'!$A$1:$AB$315,19,0)</f>
        <v>NA</v>
      </c>
      <c r="V217" s="8" t="str">
        <f>VLOOKUP($B217,'[1]Plant data'!$A$1:$AB$315,20,0)</f>
        <v>NA</v>
      </c>
      <c r="W217" s="8" t="str">
        <f>VLOOKUP($B217,'[1]Plant data'!$A$1:$AB$315,21,0)</f>
        <v>NA</v>
      </c>
      <c r="X217" s="8" t="str">
        <f>VLOOKUP($B217,'[1]Plant data'!$A$1:$AB$315,22,0)</f>
        <v>NA</v>
      </c>
      <c r="Y217" s="8" t="str">
        <f>VLOOKUP($B217,'[1]Plant data'!$A$1:$AB$315,23,0)</f>
        <v>NA</v>
      </c>
      <c r="Z217" s="8" t="str">
        <f>VLOOKUP($B217,'[1]Plant data'!$A$1:$AB$315,24,0)</f>
        <v>NA</v>
      </c>
      <c r="AA217" s="8" t="str">
        <f>VLOOKUP($B217,'[1]Plant data'!$A$1:$AB$315,25,0)</f>
        <v>NA</v>
      </c>
      <c r="AB217" s="8" t="s">
        <v>19</v>
      </c>
    </row>
    <row r="218" spans="1:28">
      <c r="A218" s="5" t="s">
        <v>50</v>
      </c>
      <c r="B218" s="32" t="s">
        <v>57</v>
      </c>
      <c r="C218" s="53">
        <v>2</v>
      </c>
      <c r="D218" s="11">
        <v>254</v>
      </c>
      <c r="E218" s="8">
        <f>C218/D218</f>
        <v>7.874015748031496E-3</v>
      </c>
      <c r="F218" s="54" t="s">
        <v>19</v>
      </c>
      <c r="G218" s="41">
        <v>10.029292929292929</v>
      </c>
      <c r="H218" s="23">
        <f t="shared" si="17"/>
        <v>7.8970810466873459E-2</v>
      </c>
      <c r="I218" t="s">
        <v>47</v>
      </c>
      <c r="J218" s="11">
        <v>69.5</v>
      </c>
      <c r="K218" s="11">
        <v>13.253214290000001</v>
      </c>
      <c r="L218" t="str">
        <f>VLOOKUP(B218,'[1]Plant data'!$A$1:$AB$315,2,0)</f>
        <v>Melastomataceae</v>
      </c>
      <c r="M218" s="9">
        <f>VLOOKUP($B218,'[1]Plant data'!$A$1:$AB$315,6,0)</f>
        <v>3.27</v>
      </c>
      <c r="N218" s="9">
        <f>VLOOKUP($B218,'[1]Plant data'!$A$1:$AB$315,7,0)</f>
        <v>3.4350000000000001</v>
      </c>
      <c r="O218" s="8" t="str">
        <f>VLOOKUP($B218,'[1]Plant data'!$A$1:$AB$315,10,0)</f>
        <v>NA</v>
      </c>
      <c r="P218" s="8" t="str">
        <f>VLOOKUP($B218,'[1]Plant data'!$A$1:$AB$315,11,0)</f>
        <v>NA</v>
      </c>
      <c r="Q218" s="8" t="str">
        <f>VLOOKUP($B218,'[1]Plant data'!$A$1:$AB$315,12,0)</f>
        <v>NA</v>
      </c>
      <c r="R218" s="8" t="str">
        <f>VLOOKUP($B218,'[1]Plant data'!$A$1:$AB$315,13,0)</f>
        <v>NA</v>
      </c>
      <c r="S218" s="8" t="str">
        <f>VLOOKUP($B218,'[1]Plant data'!$A$1:$AB$315,14,0)</f>
        <v>NA</v>
      </c>
      <c r="T218" s="11" t="str">
        <f>VLOOKUP($B218,'[1]Plant data'!$A$1:$AB$315,15,0)</f>
        <v>NA</v>
      </c>
      <c r="U218" s="9" t="str">
        <f>VLOOKUP($B218,'[1]Plant data'!$A$1:$AB$315,19,0)</f>
        <v>NA</v>
      </c>
      <c r="V218" s="8" t="str">
        <f>VLOOKUP($B218,'[1]Plant data'!$A$1:$AB$315,20,0)</f>
        <v>NA</v>
      </c>
      <c r="W218" s="8" t="str">
        <f>VLOOKUP($B218,'[1]Plant data'!$A$1:$AB$315,21,0)</f>
        <v>NA</v>
      </c>
      <c r="X218" s="8" t="str">
        <f>VLOOKUP($B218,'[1]Plant data'!$A$1:$AB$315,22,0)</f>
        <v>NA</v>
      </c>
      <c r="Y218" s="8" t="str">
        <f>VLOOKUP($B218,'[1]Plant data'!$A$1:$AB$315,23,0)</f>
        <v>NA</v>
      </c>
      <c r="Z218" s="8" t="str">
        <f>VLOOKUP($B218,'[1]Plant data'!$A$1:$AB$315,24,0)</f>
        <v>NA</v>
      </c>
      <c r="AA218" s="8" t="str">
        <f>VLOOKUP($B218,'[1]Plant data'!$A$1:$AB$315,25,0)</f>
        <v>NA</v>
      </c>
      <c r="AB218" s="8" t="s">
        <v>19</v>
      </c>
    </row>
    <row r="219" spans="1:28">
      <c r="A219" s="18" t="s">
        <v>28</v>
      </c>
      <c r="B219" s="33" t="s">
        <v>186</v>
      </c>
      <c r="C219" s="56">
        <v>4</v>
      </c>
      <c r="D219" s="59">
        <v>2.25</v>
      </c>
      <c r="E219" s="26">
        <f>C219/D219</f>
        <v>1.7777777777777777</v>
      </c>
      <c r="F219" s="56" t="s">
        <v>19</v>
      </c>
      <c r="G219" s="19">
        <v>10</v>
      </c>
      <c r="H219" s="23">
        <f t="shared" si="17"/>
        <v>17.777777777777779</v>
      </c>
      <c r="I219" t="s">
        <v>30</v>
      </c>
      <c r="J219" s="11">
        <v>18</v>
      </c>
      <c r="K219" s="11">
        <v>7.4188405800000004</v>
      </c>
      <c r="L219" t="str">
        <f>VLOOKUP(B219,'[1]Plant data'!$A$1:$AB$315,2,0)</f>
        <v>Melastomataceae</v>
      </c>
      <c r="M219" s="9">
        <f>VLOOKUP($B219,'[1]Plant data'!$A$1:$AB$315,6,0)</f>
        <v>4.3650000000000002</v>
      </c>
      <c r="N219" s="9">
        <f>VLOOKUP($B219,'[1]Plant data'!$A$1:$AB$315,7,0)</f>
        <v>3.7650000000000001</v>
      </c>
      <c r="O219" s="8">
        <f>VLOOKUP($B219,'[1]Plant data'!$A$1:$AB$315,10,0)</f>
        <v>0.10500000000000001</v>
      </c>
      <c r="P219" s="8" t="str">
        <f>VLOOKUP($B219,'[1]Plant data'!$A$1:$AB$315,11,0)</f>
        <v>NA</v>
      </c>
      <c r="Q219" s="8">
        <f>VLOOKUP($B219,'[1]Plant data'!$A$1:$AB$315,12,0)</f>
        <v>1E-4</v>
      </c>
      <c r="R219" s="8" t="str">
        <f>VLOOKUP($B219,'[1]Plant data'!$A$1:$AB$315,13,0)</f>
        <v>NA</v>
      </c>
      <c r="S219" s="8" t="str">
        <f>VLOOKUP($B219,'[1]Plant data'!$A$1:$AB$315,14,0)</f>
        <v>NA</v>
      </c>
      <c r="T219" s="11">
        <f>VLOOKUP($B219,'[1]Plant data'!$A$1:$AB$315,15,0)</f>
        <v>19.484999999999999</v>
      </c>
      <c r="U219" s="9" t="str">
        <f>VLOOKUP($B219,'[1]Plant data'!$A$1:$AB$315,19,0)</f>
        <v>NA</v>
      </c>
      <c r="V219" s="8" t="str">
        <f>VLOOKUP($B219,'[1]Plant data'!$A$1:$AB$315,20,0)</f>
        <v>NA</v>
      </c>
      <c r="W219" s="8" t="str">
        <f>VLOOKUP($B219,'[1]Plant data'!$A$1:$AB$315,21,0)</f>
        <v>NA</v>
      </c>
      <c r="X219" s="8" t="str">
        <f>VLOOKUP($B219,'[1]Plant data'!$A$1:$AB$315,22,0)</f>
        <v>NA</v>
      </c>
      <c r="Y219" s="8" t="str">
        <f>VLOOKUP($B219,'[1]Plant data'!$A$1:$AB$315,23,0)</f>
        <v>NA</v>
      </c>
      <c r="Z219" s="8" t="str">
        <f>VLOOKUP($B219,'[1]Plant data'!$A$1:$AB$315,24,0)</f>
        <v>NA</v>
      </c>
      <c r="AA219" s="8" t="str">
        <f>VLOOKUP($B219,'[1]Plant data'!$A$1:$AB$315,25,0)</f>
        <v>NA</v>
      </c>
      <c r="AB219" s="8" t="s">
        <v>19</v>
      </c>
    </row>
    <row r="220" spans="1:28">
      <c r="A220" s="5" t="s">
        <v>43</v>
      </c>
      <c r="B220" s="32" t="s">
        <v>186</v>
      </c>
      <c r="C220" s="53">
        <v>1</v>
      </c>
      <c r="D220" s="11">
        <v>2.2000000000000002</v>
      </c>
      <c r="E220" s="8">
        <f>C220/2.2</f>
        <v>0.45454545454545453</v>
      </c>
      <c r="F220" s="54" t="s">
        <v>19</v>
      </c>
      <c r="G220" s="19">
        <v>15</v>
      </c>
      <c r="H220" s="23">
        <f t="shared" si="17"/>
        <v>6.8181818181818183</v>
      </c>
      <c r="I220" t="s">
        <v>30</v>
      </c>
      <c r="J220" s="11">
        <v>32.5</v>
      </c>
      <c r="K220" s="11">
        <v>8.9205555560000001</v>
      </c>
      <c r="L220" t="str">
        <f>VLOOKUP(B220,'[1]Plant data'!$A$1:$AB$315,2,0)</f>
        <v>Melastomataceae</v>
      </c>
      <c r="M220" s="9">
        <f>VLOOKUP($B220,'[1]Plant data'!$A$1:$AB$315,6,0)</f>
        <v>4.3650000000000002</v>
      </c>
      <c r="N220" s="9">
        <f>VLOOKUP($B220,'[1]Plant data'!$A$1:$AB$315,7,0)</f>
        <v>3.7650000000000001</v>
      </c>
      <c r="O220" s="8">
        <f>VLOOKUP($B220,'[1]Plant data'!$A$1:$AB$315,10,0)</f>
        <v>0.10500000000000001</v>
      </c>
      <c r="P220" s="8" t="str">
        <f>VLOOKUP($B220,'[1]Plant data'!$A$1:$AB$315,11,0)</f>
        <v>NA</v>
      </c>
      <c r="Q220" s="8">
        <f>VLOOKUP($B220,'[1]Plant data'!$A$1:$AB$315,12,0)</f>
        <v>1E-4</v>
      </c>
      <c r="R220" s="8" t="str">
        <f>VLOOKUP($B220,'[1]Plant data'!$A$1:$AB$315,13,0)</f>
        <v>NA</v>
      </c>
      <c r="S220" s="8" t="str">
        <f>VLOOKUP($B220,'[1]Plant data'!$A$1:$AB$315,14,0)</f>
        <v>NA</v>
      </c>
      <c r="T220" s="11">
        <f>VLOOKUP($B220,'[1]Plant data'!$A$1:$AB$315,15,0)</f>
        <v>19.484999999999999</v>
      </c>
      <c r="U220" s="9" t="str">
        <f>VLOOKUP($B220,'[1]Plant data'!$A$1:$AB$315,19,0)</f>
        <v>NA</v>
      </c>
      <c r="V220" s="8" t="str">
        <f>VLOOKUP($B220,'[1]Plant data'!$A$1:$AB$315,20,0)</f>
        <v>NA</v>
      </c>
      <c r="W220" s="8" t="str">
        <f>VLOOKUP($B220,'[1]Plant data'!$A$1:$AB$315,21,0)</f>
        <v>NA</v>
      </c>
      <c r="X220" s="8" t="str">
        <f>VLOOKUP($B220,'[1]Plant data'!$A$1:$AB$315,22,0)</f>
        <v>NA</v>
      </c>
      <c r="Y220" s="8" t="str">
        <f>VLOOKUP($B220,'[1]Plant data'!$A$1:$AB$315,23,0)</f>
        <v>NA</v>
      </c>
      <c r="Z220" s="8" t="str">
        <f>VLOOKUP($B220,'[1]Plant data'!$A$1:$AB$315,24,0)</f>
        <v>NA</v>
      </c>
      <c r="AA220" s="8" t="str">
        <f>VLOOKUP($B220,'[1]Plant data'!$A$1:$AB$315,25,0)</f>
        <v>NA</v>
      </c>
      <c r="AB220" s="8" t="s">
        <v>19</v>
      </c>
    </row>
    <row r="221" spans="1:28">
      <c r="A221" s="21" t="s">
        <v>43</v>
      </c>
      <c r="B221" s="31" t="s">
        <v>229</v>
      </c>
      <c r="C221" s="55">
        <v>7</v>
      </c>
      <c r="D221" s="17">
        <v>32</v>
      </c>
      <c r="E221" s="23">
        <f>C221/32</f>
        <v>0.21875</v>
      </c>
      <c r="F221" s="55">
        <v>26</v>
      </c>
      <c r="G221" s="19">
        <v>4.3</v>
      </c>
      <c r="H221" s="23">
        <f t="shared" si="17"/>
        <v>0.94062499999999993</v>
      </c>
      <c r="I221" s="16" t="s">
        <v>30</v>
      </c>
      <c r="J221" s="17">
        <v>32.5</v>
      </c>
      <c r="K221" s="17">
        <v>8.9205555560000001</v>
      </c>
      <c r="L221" t="str">
        <f>VLOOKUP(B221,'[1]Plant data'!$A$1:$AB$315,2,0)</f>
        <v>Melastomataceae</v>
      </c>
      <c r="M221" s="9">
        <f>VLOOKUP($B221,'[1]Plant data'!$A$1:$AB$315,6,0)</f>
        <v>4.25</v>
      </c>
      <c r="N221" s="9">
        <f>VLOOKUP($B221,'[1]Plant data'!$A$1:$AB$315,7,0)</f>
        <v>3.9000000000000004</v>
      </c>
      <c r="O221" s="8">
        <f>VLOOKUP($B221,'[1]Plant data'!$A$1:$AB$315,10,0)</f>
        <v>0.06</v>
      </c>
      <c r="P221" s="8" t="str">
        <f>VLOOKUP($B221,'[1]Plant data'!$A$1:$AB$315,11,0)</f>
        <v>NA</v>
      </c>
      <c r="Q221" s="8" t="str">
        <f>VLOOKUP($B221,'[1]Plant data'!$A$1:$AB$315,12,0)</f>
        <v>NA</v>
      </c>
      <c r="R221" s="8" t="str">
        <f>VLOOKUP($B221,'[1]Plant data'!$A$1:$AB$315,13,0)</f>
        <v>NA</v>
      </c>
      <c r="S221" s="8" t="str">
        <f>VLOOKUP($B221,'[1]Plant data'!$A$1:$AB$315,14,0)</f>
        <v>NA</v>
      </c>
      <c r="T221" s="11">
        <f>VLOOKUP($B221,'[1]Plant data'!$A$1:$AB$315,15,0)</f>
        <v>29.3</v>
      </c>
      <c r="U221" s="9">
        <f>VLOOKUP($B221,'[1]Plant data'!$A$1:$AB$315,19,0)</f>
        <v>0.63900000000000001</v>
      </c>
      <c r="V221" s="8">
        <f>VLOOKUP($B221,'[1]Plant data'!$A$1:$AB$315,20,0)</f>
        <v>0.15</v>
      </c>
      <c r="W221" s="8" t="str">
        <f>VLOOKUP($B221,'[1]Plant data'!$A$1:$AB$315,21,0)</f>
        <v>NA</v>
      </c>
      <c r="X221" s="8" t="str">
        <f>VLOOKUP($B221,'[1]Plant data'!$A$1:$AB$315,22,0)</f>
        <v>NA</v>
      </c>
      <c r="Y221" s="8" t="str">
        <f>VLOOKUP($B221,'[1]Plant data'!$A$1:$AB$315,23,0)</f>
        <v>NA</v>
      </c>
      <c r="Z221" s="8" t="str">
        <f>VLOOKUP($B221,'[1]Plant data'!$A$1:$AB$315,24,0)</f>
        <v>NA</v>
      </c>
      <c r="AA221" s="8" t="str">
        <f>VLOOKUP($B221,'[1]Plant data'!$A$1:$AB$315,25,0)</f>
        <v>NA</v>
      </c>
      <c r="AB221" s="8" t="s">
        <v>19</v>
      </c>
    </row>
    <row r="222" spans="1:28">
      <c r="A222" s="5" t="s">
        <v>144</v>
      </c>
      <c r="B222" s="34" t="s">
        <v>37</v>
      </c>
      <c r="C222" s="53">
        <v>2</v>
      </c>
      <c r="D222" s="11">
        <v>250</v>
      </c>
      <c r="E222" s="8">
        <f>C222/250</f>
        <v>8.0000000000000002E-3</v>
      </c>
      <c r="F222" s="54" t="s">
        <v>19</v>
      </c>
      <c r="G222" s="9" t="s">
        <v>19</v>
      </c>
      <c r="H222" s="23" t="s">
        <v>19</v>
      </c>
      <c r="I222" t="s">
        <v>94</v>
      </c>
      <c r="J222" s="11">
        <v>146</v>
      </c>
      <c r="K222" s="11">
        <v>23.6</v>
      </c>
      <c r="L222" t="str">
        <f>VLOOKUP(B222,'[1]Plant data'!$A$1:$AB$315,2,0)</f>
        <v>Melastomataceae</v>
      </c>
      <c r="M222" s="9">
        <f>VLOOKUP($B222,'[1]Plant data'!$A$1:$AB$315,6,0)</f>
        <v>3.16</v>
      </c>
      <c r="N222" s="9">
        <f>VLOOKUP($B222,'[1]Plant data'!$A$1:$AB$315,7,0)</f>
        <v>4.0274999999999999</v>
      </c>
      <c r="O222" s="8" t="str">
        <f>VLOOKUP($B222,'[1]Plant data'!$A$1:$AB$315,10,0)</f>
        <v>NA</v>
      </c>
      <c r="P222" s="8" t="str">
        <f>VLOOKUP($B222,'[1]Plant data'!$A$1:$AB$315,11,0)</f>
        <v>NA</v>
      </c>
      <c r="Q222" s="8" t="str">
        <f>VLOOKUP($B222,'[1]Plant data'!$A$1:$AB$315,12,0)</f>
        <v>NA</v>
      </c>
      <c r="R222" s="8" t="str">
        <f>VLOOKUP($B222,'[1]Plant data'!$A$1:$AB$315,13,0)</f>
        <v>NA</v>
      </c>
      <c r="S222" s="8" t="str">
        <f>VLOOKUP($B222,'[1]Plant data'!$A$1:$AB$315,14,0)</f>
        <v>NA</v>
      </c>
      <c r="T222" s="11" t="str">
        <f>VLOOKUP($B222,'[1]Plant data'!$A$1:$AB$315,15,0)</f>
        <v>NA</v>
      </c>
      <c r="U222" s="9" t="str">
        <f>VLOOKUP($B222,'[1]Plant data'!$A$1:$AB$315,19,0)</f>
        <v>NA</v>
      </c>
      <c r="V222" s="8" t="str">
        <f>VLOOKUP($B222,'[1]Plant data'!$A$1:$AB$315,20,0)</f>
        <v>NA</v>
      </c>
      <c r="W222" s="8" t="str">
        <f>VLOOKUP($B222,'[1]Plant data'!$A$1:$AB$315,21,0)</f>
        <v>NA</v>
      </c>
      <c r="X222" s="8" t="str">
        <f>VLOOKUP($B222,'[1]Plant data'!$A$1:$AB$315,22,0)</f>
        <v>NA</v>
      </c>
      <c r="Y222" s="8" t="str">
        <f>VLOOKUP($B222,'[1]Plant data'!$A$1:$AB$315,23,0)</f>
        <v>NA</v>
      </c>
      <c r="Z222" s="8" t="str">
        <f>VLOOKUP($B222,'[1]Plant data'!$A$1:$AB$315,24,0)</f>
        <v>NA</v>
      </c>
      <c r="AA222" s="8" t="str">
        <f>VLOOKUP($B222,'[1]Plant data'!$A$1:$AB$315,25,0)</f>
        <v>NA</v>
      </c>
      <c r="AB222" s="8" t="s">
        <v>19</v>
      </c>
    </row>
    <row r="223" spans="1:28">
      <c r="A223" s="5" t="s">
        <v>144</v>
      </c>
      <c r="B223" s="34" t="s">
        <v>37</v>
      </c>
      <c r="C223" s="53">
        <v>2</v>
      </c>
      <c r="D223" s="58">
        <v>177.8</v>
      </c>
      <c r="E223" s="8">
        <f>C223/177.8</f>
        <v>1.1248593925759279E-2</v>
      </c>
      <c r="F223" s="56" t="s">
        <v>19</v>
      </c>
      <c r="G223" s="9" t="s">
        <v>19</v>
      </c>
      <c r="H223" s="23" t="s">
        <v>19</v>
      </c>
      <c r="I223" t="s">
        <v>94</v>
      </c>
      <c r="J223" s="11">
        <v>146</v>
      </c>
      <c r="K223" s="11">
        <v>23.6</v>
      </c>
      <c r="L223" t="str">
        <f>VLOOKUP(B223,'[1]Plant data'!$A$1:$AB$315,2,0)</f>
        <v>Melastomataceae</v>
      </c>
      <c r="M223" s="9">
        <f>VLOOKUP($B223,'[1]Plant data'!$A$1:$AB$315,6,0)</f>
        <v>3.16</v>
      </c>
      <c r="N223" s="9">
        <f>VLOOKUP($B223,'[1]Plant data'!$A$1:$AB$315,7,0)</f>
        <v>4.0274999999999999</v>
      </c>
      <c r="O223" s="8" t="str">
        <f>VLOOKUP($B223,'[1]Plant data'!$A$1:$AB$315,10,0)</f>
        <v>NA</v>
      </c>
      <c r="P223" s="8" t="str">
        <f>VLOOKUP($B223,'[1]Plant data'!$A$1:$AB$315,11,0)</f>
        <v>NA</v>
      </c>
      <c r="Q223" s="8" t="str">
        <f>VLOOKUP($B223,'[1]Plant data'!$A$1:$AB$315,12,0)</f>
        <v>NA</v>
      </c>
      <c r="R223" s="8" t="str">
        <f>VLOOKUP($B223,'[1]Plant data'!$A$1:$AB$315,13,0)</f>
        <v>NA</v>
      </c>
      <c r="S223" s="8" t="str">
        <f>VLOOKUP($B223,'[1]Plant data'!$A$1:$AB$315,14,0)</f>
        <v>NA</v>
      </c>
      <c r="T223" s="11" t="str">
        <f>VLOOKUP($B223,'[1]Plant data'!$A$1:$AB$315,15,0)</f>
        <v>NA</v>
      </c>
      <c r="U223" s="9" t="str">
        <f>VLOOKUP($B223,'[1]Plant data'!$A$1:$AB$315,19,0)</f>
        <v>NA</v>
      </c>
      <c r="V223" s="8" t="str">
        <f>VLOOKUP($B223,'[1]Plant data'!$A$1:$AB$315,20,0)</f>
        <v>NA</v>
      </c>
      <c r="W223" s="8" t="str">
        <f>VLOOKUP($B223,'[1]Plant data'!$A$1:$AB$315,21,0)</f>
        <v>NA</v>
      </c>
      <c r="X223" s="8" t="str">
        <f>VLOOKUP($B223,'[1]Plant data'!$A$1:$AB$315,22,0)</f>
        <v>NA</v>
      </c>
      <c r="Y223" s="8" t="str">
        <f>VLOOKUP($B223,'[1]Plant data'!$A$1:$AB$315,23,0)</f>
        <v>NA</v>
      </c>
      <c r="Z223" s="8" t="str">
        <f>VLOOKUP($B223,'[1]Plant data'!$A$1:$AB$315,24,0)</f>
        <v>NA</v>
      </c>
      <c r="AA223" s="8" t="str">
        <f>VLOOKUP($B223,'[1]Plant data'!$A$1:$AB$315,25,0)</f>
        <v>NA</v>
      </c>
      <c r="AB223" s="8" t="s">
        <v>19</v>
      </c>
    </row>
    <row r="224" spans="1:28">
      <c r="A224" s="5" t="s">
        <v>70</v>
      </c>
      <c r="B224" s="33" t="s">
        <v>37</v>
      </c>
      <c r="C224" s="53">
        <v>4</v>
      </c>
      <c r="D224" s="17">
        <v>85.3</v>
      </c>
      <c r="E224" s="8">
        <f>C224/85.3</f>
        <v>4.6893317702227433E-2</v>
      </c>
      <c r="F224" s="54" t="s">
        <v>19</v>
      </c>
      <c r="G224" s="41">
        <v>3.125</v>
      </c>
      <c r="H224" s="23">
        <f>G224*E224</f>
        <v>0.14654161781946073</v>
      </c>
      <c r="I224" t="s">
        <v>23</v>
      </c>
      <c r="J224" s="11">
        <v>15</v>
      </c>
      <c r="K224" s="11">
        <v>6.9235714289999999</v>
      </c>
      <c r="L224" t="str">
        <f>VLOOKUP(B224,'[1]Plant data'!$A$1:$AB$315,2,0)</f>
        <v>Melastomataceae</v>
      </c>
      <c r="M224" s="9">
        <f>VLOOKUP($B224,'[1]Plant data'!$A$1:$AB$315,6,0)</f>
        <v>3.16</v>
      </c>
      <c r="N224" s="9">
        <f>VLOOKUP($B224,'[1]Plant data'!$A$1:$AB$315,7,0)</f>
        <v>4.0274999999999999</v>
      </c>
      <c r="O224" s="8" t="str">
        <f>VLOOKUP($B224,'[1]Plant data'!$A$1:$AB$315,10,0)</f>
        <v>NA</v>
      </c>
      <c r="P224" s="8" t="str">
        <f>VLOOKUP($B224,'[1]Plant data'!$A$1:$AB$315,11,0)</f>
        <v>NA</v>
      </c>
      <c r="Q224" s="8" t="str">
        <f>VLOOKUP($B224,'[1]Plant data'!$A$1:$AB$315,12,0)</f>
        <v>NA</v>
      </c>
      <c r="R224" s="8" t="str">
        <f>VLOOKUP($B224,'[1]Plant data'!$A$1:$AB$315,13,0)</f>
        <v>NA</v>
      </c>
      <c r="S224" s="8" t="str">
        <f>VLOOKUP($B224,'[1]Plant data'!$A$1:$AB$315,14,0)</f>
        <v>NA</v>
      </c>
      <c r="T224" s="11" t="str">
        <f>VLOOKUP($B224,'[1]Plant data'!$A$1:$AB$315,15,0)</f>
        <v>NA</v>
      </c>
      <c r="U224" s="9" t="str">
        <f>VLOOKUP($B224,'[1]Plant data'!$A$1:$AB$315,19,0)</f>
        <v>NA</v>
      </c>
      <c r="V224" s="8" t="str">
        <f>VLOOKUP($B224,'[1]Plant data'!$A$1:$AB$315,20,0)</f>
        <v>NA</v>
      </c>
      <c r="W224" s="8" t="str">
        <f>VLOOKUP($B224,'[1]Plant data'!$A$1:$AB$315,21,0)</f>
        <v>NA</v>
      </c>
      <c r="X224" s="8" t="str">
        <f>VLOOKUP($B224,'[1]Plant data'!$A$1:$AB$315,22,0)</f>
        <v>NA</v>
      </c>
      <c r="Y224" s="8" t="str">
        <f>VLOOKUP($B224,'[1]Plant data'!$A$1:$AB$315,23,0)</f>
        <v>NA</v>
      </c>
      <c r="Z224" s="8" t="str">
        <f>VLOOKUP($B224,'[1]Plant data'!$A$1:$AB$315,24,0)</f>
        <v>NA</v>
      </c>
      <c r="AA224" s="8" t="str">
        <f>VLOOKUP($B224,'[1]Plant data'!$A$1:$AB$315,25,0)</f>
        <v>NA</v>
      </c>
      <c r="AB224" s="8" t="s">
        <v>19</v>
      </c>
    </row>
    <row r="225" spans="1:28">
      <c r="A225" s="5" t="s">
        <v>96</v>
      </c>
      <c r="B225" s="34" t="s">
        <v>37</v>
      </c>
      <c r="C225" s="53">
        <v>2</v>
      </c>
      <c r="D225" s="58">
        <v>250</v>
      </c>
      <c r="E225" s="8">
        <f>C225/250</f>
        <v>8.0000000000000002E-3</v>
      </c>
      <c r="F225" s="54" t="s">
        <v>19</v>
      </c>
      <c r="G225" s="9" t="s">
        <v>19</v>
      </c>
      <c r="H225" s="23" t="s">
        <v>19</v>
      </c>
      <c r="I225" t="s">
        <v>101</v>
      </c>
      <c r="J225" s="11">
        <v>1770</v>
      </c>
      <c r="K225" s="11">
        <v>22.349</v>
      </c>
      <c r="L225" t="str">
        <f>VLOOKUP(B225,'[1]Plant data'!$A$1:$AB$315,2,0)</f>
        <v>Melastomataceae</v>
      </c>
      <c r="M225" s="9">
        <f>VLOOKUP($B225,'[1]Plant data'!$A$1:$AB$315,6,0)</f>
        <v>3.16</v>
      </c>
      <c r="N225" s="9">
        <f>VLOOKUP($B225,'[1]Plant data'!$A$1:$AB$315,7,0)</f>
        <v>4.0274999999999999</v>
      </c>
      <c r="O225" s="8" t="str">
        <f>VLOOKUP($B225,'[1]Plant data'!$A$1:$AB$315,10,0)</f>
        <v>NA</v>
      </c>
      <c r="P225" s="8" t="str">
        <f>VLOOKUP($B225,'[1]Plant data'!$A$1:$AB$315,11,0)</f>
        <v>NA</v>
      </c>
      <c r="Q225" s="8" t="str">
        <f>VLOOKUP($B225,'[1]Plant data'!$A$1:$AB$315,12,0)</f>
        <v>NA</v>
      </c>
      <c r="R225" s="8" t="str">
        <f>VLOOKUP($B225,'[1]Plant data'!$A$1:$AB$315,13,0)</f>
        <v>NA</v>
      </c>
      <c r="S225" s="8" t="str">
        <f>VLOOKUP($B225,'[1]Plant data'!$A$1:$AB$315,14,0)</f>
        <v>NA</v>
      </c>
      <c r="T225" s="11" t="str">
        <f>VLOOKUP($B225,'[1]Plant data'!$A$1:$AB$315,15,0)</f>
        <v>NA</v>
      </c>
      <c r="U225" s="9" t="str">
        <f>VLOOKUP($B225,'[1]Plant data'!$A$1:$AB$315,19,0)</f>
        <v>NA</v>
      </c>
      <c r="V225" s="8" t="str">
        <f>VLOOKUP($B225,'[1]Plant data'!$A$1:$AB$315,20,0)</f>
        <v>NA</v>
      </c>
      <c r="W225" s="8" t="str">
        <f>VLOOKUP($B225,'[1]Plant data'!$A$1:$AB$315,21,0)</f>
        <v>NA</v>
      </c>
      <c r="X225" s="8" t="str">
        <f>VLOOKUP($B225,'[1]Plant data'!$A$1:$AB$315,22,0)</f>
        <v>NA</v>
      </c>
      <c r="Y225" s="8" t="str">
        <f>VLOOKUP($B225,'[1]Plant data'!$A$1:$AB$315,23,0)</f>
        <v>NA</v>
      </c>
      <c r="Z225" s="8" t="str">
        <f>VLOOKUP($B225,'[1]Plant data'!$A$1:$AB$315,24,0)</f>
        <v>NA</v>
      </c>
      <c r="AA225" s="8" t="str">
        <f>VLOOKUP($B225,'[1]Plant data'!$A$1:$AB$315,25,0)</f>
        <v>NA</v>
      </c>
      <c r="AB225" s="8" t="s">
        <v>19</v>
      </c>
    </row>
    <row r="226" spans="1:28">
      <c r="A226" s="5" t="s">
        <v>90</v>
      </c>
      <c r="B226" s="33" t="s">
        <v>37</v>
      </c>
      <c r="C226" s="56">
        <v>27</v>
      </c>
      <c r="D226" s="59">
        <v>177.8</v>
      </c>
      <c r="E226" s="26">
        <f>C226/177.8</f>
        <v>0.15185601799775028</v>
      </c>
      <c r="F226" s="56" t="s">
        <v>19</v>
      </c>
      <c r="G226" s="41">
        <v>3</v>
      </c>
      <c r="H226" s="23">
        <f>G226*E226</f>
        <v>0.45556805399325084</v>
      </c>
      <c r="I226" t="s">
        <v>94</v>
      </c>
      <c r="J226" s="11">
        <v>331</v>
      </c>
      <c r="K226" s="11">
        <v>30.7</v>
      </c>
      <c r="L226" t="str">
        <f>VLOOKUP(B226,'[1]Plant data'!$A$1:$AB$315,2,0)</f>
        <v>Melastomataceae</v>
      </c>
      <c r="M226" s="9">
        <f>VLOOKUP($B226,'[1]Plant data'!$A$1:$AB$315,6,0)</f>
        <v>3.16</v>
      </c>
      <c r="N226" s="9">
        <f>VLOOKUP($B226,'[1]Plant data'!$A$1:$AB$315,7,0)</f>
        <v>4.0274999999999999</v>
      </c>
      <c r="O226" s="8" t="str">
        <f>VLOOKUP($B226,'[1]Plant data'!$A$1:$AB$315,10,0)</f>
        <v>NA</v>
      </c>
      <c r="P226" s="8" t="str">
        <f>VLOOKUP($B226,'[1]Plant data'!$A$1:$AB$315,11,0)</f>
        <v>NA</v>
      </c>
      <c r="Q226" s="8" t="str">
        <f>VLOOKUP($B226,'[1]Plant data'!$A$1:$AB$315,12,0)</f>
        <v>NA</v>
      </c>
      <c r="R226" s="8" t="str">
        <f>VLOOKUP($B226,'[1]Plant data'!$A$1:$AB$315,13,0)</f>
        <v>NA</v>
      </c>
      <c r="S226" s="8" t="str">
        <f>VLOOKUP($B226,'[1]Plant data'!$A$1:$AB$315,14,0)</f>
        <v>NA</v>
      </c>
      <c r="T226" s="11" t="str">
        <f>VLOOKUP($B226,'[1]Plant data'!$A$1:$AB$315,15,0)</f>
        <v>NA</v>
      </c>
      <c r="U226" s="9" t="str">
        <f>VLOOKUP($B226,'[1]Plant data'!$A$1:$AB$315,19,0)</f>
        <v>NA</v>
      </c>
      <c r="V226" s="8" t="str">
        <f>VLOOKUP($B226,'[1]Plant data'!$A$1:$AB$315,20,0)</f>
        <v>NA</v>
      </c>
      <c r="W226" s="8" t="str">
        <f>VLOOKUP($B226,'[1]Plant data'!$A$1:$AB$315,21,0)</f>
        <v>NA</v>
      </c>
      <c r="X226" s="8" t="str">
        <f>VLOOKUP($B226,'[1]Plant data'!$A$1:$AB$315,22,0)</f>
        <v>NA</v>
      </c>
      <c r="Y226" s="8" t="str">
        <f>VLOOKUP($B226,'[1]Plant data'!$A$1:$AB$315,23,0)</f>
        <v>NA</v>
      </c>
      <c r="Z226" s="8" t="str">
        <f>VLOOKUP($B226,'[1]Plant data'!$A$1:$AB$315,24,0)</f>
        <v>NA</v>
      </c>
      <c r="AA226" s="8" t="str">
        <f>VLOOKUP($B226,'[1]Plant data'!$A$1:$AB$315,25,0)</f>
        <v>NA</v>
      </c>
      <c r="AB226" s="8" t="s">
        <v>19</v>
      </c>
    </row>
    <row r="227" spans="1:28">
      <c r="A227" s="5" t="s">
        <v>105</v>
      </c>
      <c r="B227" s="32" t="s">
        <v>37</v>
      </c>
      <c r="C227" s="53">
        <v>4</v>
      </c>
      <c r="D227" s="58">
        <v>85.3</v>
      </c>
      <c r="E227" s="8">
        <f>C227/85.3</f>
        <v>4.6893317702227433E-2</v>
      </c>
      <c r="F227" s="54" t="s">
        <v>19</v>
      </c>
      <c r="G227" s="9" t="s">
        <v>19</v>
      </c>
      <c r="H227" s="23" t="s">
        <v>19</v>
      </c>
      <c r="I227" t="s">
        <v>94</v>
      </c>
      <c r="J227" s="11">
        <v>164</v>
      </c>
      <c r="K227" s="11">
        <v>25.039000000000001</v>
      </c>
      <c r="L227" t="str">
        <f>VLOOKUP(B227,'[1]Plant data'!$A$1:$AB$315,2,0)</f>
        <v>Melastomataceae</v>
      </c>
      <c r="M227" s="9">
        <f>VLOOKUP($B227,'[1]Plant data'!$A$1:$AB$315,6,0)</f>
        <v>3.16</v>
      </c>
      <c r="N227" s="9">
        <f>VLOOKUP($B227,'[1]Plant data'!$A$1:$AB$315,7,0)</f>
        <v>4.0274999999999999</v>
      </c>
      <c r="O227" s="8" t="str">
        <f>VLOOKUP($B227,'[1]Plant data'!$A$1:$AB$315,10,0)</f>
        <v>NA</v>
      </c>
      <c r="P227" s="8" t="str">
        <f>VLOOKUP($B227,'[1]Plant data'!$A$1:$AB$315,11,0)</f>
        <v>NA</v>
      </c>
      <c r="Q227" s="8" t="str">
        <f>VLOOKUP($B227,'[1]Plant data'!$A$1:$AB$315,12,0)</f>
        <v>NA</v>
      </c>
      <c r="R227" s="8" t="str">
        <f>VLOOKUP($B227,'[1]Plant data'!$A$1:$AB$315,13,0)</f>
        <v>NA</v>
      </c>
      <c r="S227" s="8" t="str">
        <f>VLOOKUP($B227,'[1]Plant data'!$A$1:$AB$315,14,0)</f>
        <v>NA</v>
      </c>
      <c r="T227" s="11" t="str">
        <f>VLOOKUP($B227,'[1]Plant data'!$A$1:$AB$315,15,0)</f>
        <v>NA</v>
      </c>
      <c r="U227" s="9" t="str">
        <f>VLOOKUP($B227,'[1]Plant data'!$A$1:$AB$315,19,0)</f>
        <v>NA</v>
      </c>
      <c r="V227" s="8" t="str">
        <f>VLOOKUP($B227,'[1]Plant data'!$A$1:$AB$315,20,0)</f>
        <v>NA</v>
      </c>
      <c r="W227" s="8" t="str">
        <f>VLOOKUP($B227,'[1]Plant data'!$A$1:$AB$315,21,0)</f>
        <v>NA</v>
      </c>
      <c r="X227" s="8" t="str">
        <f>VLOOKUP($B227,'[1]Plant data'!$A$1:$AB$315,22,0)</f>
        <v>NA</v>
      </c>
      <c r="Y227" s="8" t="str">
        <f>VLOOKUP($B227,'[1]Plant data'!$A$1:$AB$315,23,0)</f>
        <v>NA</v>
      </c>
      <c r="Z227" s="8" t="str">
        <f>VLOOKUP($B227,'[1]Plant data'!$A$1:$AB$315,24,0)</f>
        <v>NA</v>
      </c>
      <c r="AA227" s="8" t="str">
        <f>VLOOKUP($B227,'[1]Plant data'!$A$1:$AB$315,25,0)</f>
        <v>NA</v>
      </c>
      <c r="AB227" s="8" t="s">
        <v>19</v>
      </c>
    </row>
    <row r="228" spans="1:28">
      <c r="A228" s="5" t="s">
        <v>32</v>
      </c>
      <c r="B228" s="33" t="s">
        <v>37</v>
      </c>
      <c r="C228" s="53">
        <v>3</v>
      </c>
      <c r="D228" s="58">
        <v>6.1</v>
      </c>
      <c r="E228" s="8">
        <f>C228/D228</f>
        <v>0.49180327868852464</v>
      </c>
      <c r="F228" s="54" t="s">
        <v>19</v>
      </c>
      <c r="G228" s="41">
        <v>8.3333333333333339</v>
      </c>
      <c r="H228" s="23">
        <f t="shared" ref="H228:H241" si="18">E228*G228</f>
        <v>4.0983606557377055</v>
      </c>
      <c r="I228" t="s">
        <v>30</v>
      </c>
      <c r="J228" s="11">
        <v>18</v>
      </c>
      <c r="K228" s="11">
        <v>5.1684999999999999</v>
      </c>
      <c r="L228" t="str">
        <f>VLOOKUP(B228,'[1]Plant data'!$A$1:$AB$315,2,0)</f>
        <v>Melastomataceae</v>
      </c>
      <c r="M228" s="9">
        <f>VLOOKUP($B228,'[1]Plant data'!$A$1:$AB$315,6,0)</f>
        <v>3.16</v>
      </c>
      <c r="N228" s="9">
        <f>VLOOKUP($B228,'[1]Plant data'!$A$1:$AB$315,7,0)</f>
        <v>4.0274999999999999</v>
      </c>
      <c r="O228" s="8" t="str">
        <f>VLOOKUP($B228,'[1]Plant data'!$A$1:$AB$315,10,0)</f>
        <v>NA</v>
      </c>
      <c r="P228" s="8" t="str">
        <f>VLOOKUP($B228,'[1]Plant data'!$A$1:$AB$315,11,0)</f>
        <v>NA</v>
      </c>
      <c r="Q228" s="8" t="str">
        <f>VLOOKUP($B228,'[1]Plant data'!$A$1:$AB$315,12,0)</f>
        <v>NA</v>
      </c>
      <c r="R228" s="8" t="str">
        <f>VLOOKUP($B228,'[1]Plant data'!$A$1:$AB$315,13,0)</f>
        <v>NA</v>
      </c>
      <c r="S228" s="8" t="str">
        <f>VLOOKUP($B228,'[1]Plant data'!$A$1:$AB$315,14,0)</f>
        <v>NA</v>
      </c>
      <c r="T228" s="11" t="str">
        <f>VLOOKUP($B228,'[1]Plant data'!$A$1:$AB$315,15,0)</f>
        <v>NA</v>
      </c>
      <c r="U228" s="9" t="str">
        <f>VLOOKUP($B228,'[1]Plant data'!$A$1:$AB$315,19,0)</f>
        <v>NA</v>
      </c>
      <c r="V228" s="8" t="str">
        <f>VLOOKUP($B228,'[1]Plant data'!$A$1:$AB$315,20,0)</f>
        <v>NA</v>
      </c>
      <c r="W228" s="8" t="str">
        <f>VLOOKUP($B228,'[1]Plant data'!$A$1:$AB$315,21,0)</f>
        <v>NA</v>
      </c>
      <c r="X228" s="8" t="str">
        <f>VLOOKUP($B228,'[1]Plant data'!$A$1:$AB$315,22,0)</f>
        <v>NA</v>
      </c>
      <c r="Y228" s="8" t="str">
        <f>VLOOKUP($B228,'[1]Plant data'!$A$1:$AB$315,23,0)</f>
        <v>NA</v>
      </c>
      <c r="Z228" s="8" t="str">
        <f>VLOOKUP($B228,'[1]Plant data'!$A$1:$AB$315,24,0)</f>
        <v>NA</v>
      </c>
      <c r="AA228" s="8" t="str">
        <f>VLOOKUP($B228,'[1]Plant data'!$A$1:$AB$315,25,0)</f>
        <v>NA</v>
      </c>
      <c r="AB228" s="8" t="s">
        <v>19</v>
      </c>
    </row>
    <row r="229" spans="1:28">
      <c r="A229" s="5" t="s">
        <v>62</v>
      </c>
      <c r="B229" s="33" t="s">
        <v>37</v>
      </c>
      <c r="C229" s="53">
        <v>7</v>
      </c>
      <c r="D229" s="17">
        <v>85.3</v>
      </c>
      <c r="E229" s="8">
        <f>C229/85.3</f>
        <v>8.2063305978898007E-2</v>
      </c>
      <c r="F229" s="54" t="s">
        <v>19</v>
      </c>
      <c r="G229" s="41">
        <v>8.3333333333333339</v>
      </c>
      <c r="H229" s="23">
        <f t="shared" si="18"/>
        <v>0.68386088315748339</v>
      </c>
      <c r="I229" t="s">
        <v>30</v>
      </c>
      <c r="J229" s="11">
        <v>18.7</v>
      </c>
      <c r="K229" s="11">
        <v>6.1185714290000002</v>
      </c>
      <c r="L229" t="str">
        <f>VLOOKUP(B229,'[1]Plant data'!$A$1:$AB$315,2,0)</f>
        <v>Melastomataceae</v>
      </c>
      <c r="M229" s="9">
        <f>VLOOKUP($B229,'[1]Plant data'!$A$1:$AB$315,6,0)</f>
        <v>3.16</v>
      </c>
      <c r="N229" s="9">
        <f>VLOOKUP($B229,'[1]Plant data'!$A$1:$AB$315,7,0)</f>
        <v>4.0274999999999999</v>
      </c>
      <c r="O229" s="8" t="str">
        <f>VLOOKUP($B229,'[1]Plant data'!$A$1:$AB$315,10,0)</f>
        <v>NA</v>
      </c>
      <c r="P229" s="8" t="str">
        <f>VLOOKUP($B229,'[1]Plant data'!$A$1:$AB$315,11,0)</f>
        <v>NA</v>
      </c>
      <c r="Q229" s="8" t="str">
        <f>VLOOKUP($B229,'[1]Plant data'!$A$1:$AB$315,12,0)</f>
        <v>NA</v>
      </c>
      <c r="R229" s="8" t="str">
        <f>VLOOKUP($B229,'[1]Plant data'!$A$1:$AB$315,13,0)</f>
        <v>NA</v>
      </c>
      <c r="S229" s="8" t="str">
        <f>VLOOKUP($B229,'[1]Plant data'!$A$1:$AB$315,14,0)</f>
        <v>NA</v>
      </c>
      <c r="T229" s="11" t="str">
        <f>VLOOKUP($B229,'[1]Plant data'!$A$1:$AB$315,15,0)</f>
        <v>NA</v>
      </c>
      <c r="U229" s="9" t="str">
        <f>VLOOKUP($B229,'[1]Plant data'!$A$1:$AB$315,19,0)</f>
        <v>NA</v>
      </c>
      <c r="V229" s="8" t="str">
        <f>VLOOKUP($B229,'[1]Plant data'!$A$1:$AB$315,20,0)</f>
        <v>NA</v>
      </c>
      <c r="W229" s="8" t="str">
        <f>VLOOKUP($B229,'[1]Plant data'!$A$1:$AB$315,21,0)</f>
        <v>NA</v>
      </c>
      <c r="X229" s="8" t="str">
        <f>VLOOKUP($B229,'[1]Plant data'!$A$1:$AB$315,22,0)</f>
        <v>NA</v>
      </c>
      <c r="Y229" s="8" t="str">
        <f>VLOOKUP($B229,'[1]Plant data'!$A$1:$AB$315,23,0)</f>
        <v>NA</v>
      </c>
      <c r="Z229" s="8" t="str">
        <f>VLOOKUP($B229,'[1]Plant data'!$A$1:$AB$315,24,0)</f>
        <v>NA</v>
      </c>
      <c r="AA229" s="8" t="str">
        <f>VLOOKUP($B229,'[1]Plant data'!$A$1:$AB$315,25,0)</f>
        <v>NA</v>
      </c>
      <c r="AB229" s="8" t="s">
        <v>19</v>
      </c>
    </row>
    <row r="230" spans="1:28">
      <c r="A230" s="5" t="s">
        <v>41</v>
      </c>
      <c r="B230" s="32" t="s">
        <v>37</v>
      </c>
      <c r="C230" s="53">
        <v>6</v>
      </c>
      <c r="D230" s="58">
        <v>85.3</v>
      </c>
      <c r="E230" s="8">
        <f>C230/85.3</f>
        <v>7.0339976553341149E-2</v>
      </c>
      <c r="F230" s="54" t="s">
        <v>19</v>
      </c>
      <c r="G230" s="41">
        <v>2.1</v>
      </c>
      <c r="H230" s="23">
        <f t="shared" si="18"/>
        <v>0.14771395076201643</v>
      </c>
      <c r="I230" t="s">
        <v>30</v>
      </c>
      <c r="J230" s="11">
        <v>39</v>
      </c>
      <c r="K230" s="11">
        <v>8.2839869279999991</v>
      </c>
      <c r="L230" t="str">
        <f>VLOOKUP(B230,'[1]Plant data'!$A$1:$AB$315,2,0)</f>
        <v>Melastomataceae</v>
      </c>
      <c r="M230" s="9">
        <f>VLOOKUP($B230,'[1]Plant data'!$A$1:$AB$315,6,0)</f>
        <v>3.16</v>
      </c>
      <c r="N230" s="9">
        <f>VLOOKUP($B230,'[1]Plant data'!$A$1:$AB$315,7,0)</f>
        <v>4.0274999999999999</v>
      </c>
      <c r="O230" s="8" t="str">
        <f>VLOOKUP($B230,'[1]Plant data'!$A$1:$AB$315,10,0)</f>
        <v>NA</v>
      </c>
      <c r="P230" s="8" t="str">
        <f>VLOOKUP($B230,'[1]Plant data'!$A$1:$AB$315,11,0)</f>
        <v>NA</v>
      </c>
      <c r="Q230" s="8" t="str">
        <f>VLOOKUP($B230,'[1]Plant data'!$A$1:$AB$315,12,0)</f>
        <v>NA</v>
      </c>
      <c r="R230" s="8" t="str">
        <f>VLOOKUP($B230,'[1]Plant data'!$A$1:$AB$315,13,0)</f>
        <v>NA</v>
      </c>
      <c r="S230" s="8" t="str">
        <f>VLOOKUP($B230,'[1]Plant data'!$A$1:$AB$315,14,0)</f>
        <v>NA</v>
      </c>
      <c r="T230" s="11" t="str">
        <f>VLOOKUP($B230,'[1]Plant data'!$A$1:$AB$315,15,0)</f>
        <v>NA</v>
      </c>
      <c r="U230" s="9" t="str">
        <f>VLOOKUP($B230,'[1]Plant data'!$A$1:$AB$315,19,0)</f>
        <v>NA</v>
      </c>
      <c r="V230" s="8" t="str">
        <f>VLOOKUP($B230,'[1]Plant data'!$A$1:$AB$315,20,0)</f>
        <v>NA</v>
      </c>
      <c r="W230" s="8" t="str">
        <f>VLOOKUP($B230,'[1]Plant data'!$A$1:$AB$315,21,0)</f>
        <v>NA</v>
      </c>
      <c r="X230" s="8" t="str">
        <f>VLOOKUP($B230,'[1]Plant data'!$A$1:$AB$315,22,0)</f>
        <v>NA</v>
      </c>
      <c r="Y230" s="8" t="str">
        <f>VLOOKUP($B230,'[1]Plant data'!$A$1:$AB$315,23,0)</f>
        <v>NA</v>
      </c>
      <c r="Z230" s="8" t="str">
        <f>VLOOKUP($B230,'[1]Plant data'!$A$1:$AB$315,24,0)</f>
        <v>NA</v>
      </c>
      <c r="AA230" s="8" t="str">
        <f>VLOOKUP($B230,'[1]Plant data'!$A$1:$AB$315,25,0)</f>
        <v>NA</v>
      </c>
      <c r="AB230" s="8" t="s">
        <v>19</v>
      </c>
    </row>
    <row r="231" spans="1:28">
      <c r="A231" s="5" t="s">
        <v>43</v>
      </c>
      <c r="B231" s="32" t="s">
        <v>37</v>
      </c>
      <c r="C231" s="53">
        <v>3</v>
      </c>
      <c r="D231" s="17">
        <v>85.3</v>
      </c>
      <c r="E231" s="8">
        <f>C231/85.3</f>
        <v>3.5169988276670575E-2</v>
      </c>
      <c r="F231" s="54" t="s">
        <v>19</v>
      </c>
      <c r="G231" s="41">
        <v>2.1</v>
      </c>
      <c r="H231" s="23">
        <f t="shared" si="18"/>
        <v>7.3856975381008216E-2</v>
      </c>
      <c r="I231" t="s">
        <v>30</v>
      </c>
      <c r="J231" s="11">
        <v>32.5</v>
      </c>
      <c r="K231" s="11">
        <v>8.9205555560000001</v>
      </c>
      <c r="L231" t="str">
        <f>VLOOKUP(B231,'[1]Plant data'!$A$1:$AB$315,2,0)</f>
        <v>Melastomataceae</v>
      </c>
      <c r="M231" s="9">
        <f>VLOOKUP($B231,'[1]Plant data'!$A$1:$AB$315,6,0)</f>
        <v>3.16</v>
      </c>
      <c r="N231" s="9">
        <f>VLOOKUP($B231,'[1]Plant data'!$A$1:$AB$315,7,0)</f>
        <v>4.0274999999999999</v>
      </c>
      <c r="O231" s="8" t="str">
        <f>VLOOKUP($B231,'[1]Plant data'!$A$1:$AB$315,10,0)</f>
        <v>NA</v>
      </c>
      <c r="P231" s="8" t="str">
        <f>VLOOKUP($B231,'[1]Plant data'!$A$1:$AB$315,11,0)</f>
        <v>NA</v>
      </c>
      <c r="Q231" s="8" t="str">
        <f>VLOOKUP($B231,'[1]Plant data'!$A$1:$AB$315,12,0)</f>
        <v>NA</v>
      </c>
      <c r="R231" s="8" t="str">
        <f>VLOOKUP($B231,'[1]Plant data'!$A$1:$AB$315,13,0)</f>
        <v>NA</v>
      </c>
      <c r="S231" s="8" t="str">
        <f>VLOOKUP($B231,'[1]Plant data'!$A$1:$AB$315,14,0)</f>
        <v>NA</v>
      </c>
      <c r="T231" s="11" t="str">
        <f>VLOOKUP($B231,'[1]Plant data'!$A$1:$AB$315,15,0)</f>
        <v>NA</v>
      </c>
      <c r="U231" s="9" t="str">
        <f>VLOOKUP($B231,'[1]Plant data'!$A$1:$AB$315,19,0)</f>
        <v>NA</v>
      </c>
      <c r="V231" s="8" t="str">
        <f>VLOOKUP($B231,'[1]Plant data'!$A$1:$AB$315,20,0)</f>
        <v>NA</v>
      </c>
      <c r="W231" s="8" t="str">
        <f>VLOOKUP($B231,'[1]Plant data'!$A$1:$AB$315,21,0)</f>
        <v>NA</v>
      </c>
      <c r="X231" s="8" t="str">
        <f>VLOOKUP($B231,'[1]Plant data'!$A$1:$AB$315,22,0)</f>
        <v>NA</v>
      </c>
      <c r="Y231" s="8" t="str">
        <f>VLOOKUP($B231,'[1]Plant data'!$A$1:$AB$315,23,0)</f>
        <v>NA</v>
      </c>
      <c r="Z231" s="8" t="str">
        <f>VLOOKUP($B231,'[1]Plant data'!$A$1:$AB$315,24,0)</f>
        <v>NA</v>
      </c>
      <c r="AA231" s="8" t="str">
        <f>VLOOKUP($B231,'[1]Plant data'!$A$1:$AB$315,25,0)</f>
        <v>NA</v>
      </c>
      <c r="AB231" s="8" t="s">
        <v>19</v>
      </c>
    </row>
    <row r="232" spans="1:28">
      <c r="A232" s="5" t="s">
        <v>43</v>
      </c>
      <c r="B232" s="32" t="s">
        <v>37</v>
      </c>
      <c r="C232" s="53">
        <v>6</v>
      </c>
      <c r="D232" s="58">
        <v>250</v>
      </c>
      <c r="E232" s="23">
        <f>C232/250</f>
        <v>2.4E-2</v>
      </c>
      <c r="F232" s="54" t="s">
        <v>19</v>
      </c>
      <c r="G232" s="41">
        <v>2.1</v>
      </c>
      <c r="H232" s="23">
        <f t="shared" si="18"/>
        <v>5.04E-2</v>
      </c>
      <c r="I232" t="s">
        <v>30</v>
      </c>
      <c r="J232" s="11">
        <v>32.5</v>
      </c>
      <c r="K232" s="11">
        <v>8.9205555560000001</v>
      </c>
      <c r="L232" t="str">
        <f>VLOOKUP(B232,'[1]Plant data'!$A$1:$AB$315,2,0)</f>
        <v>Melastomataceae</v>
      </c>
      <c r="M232" s="9">
        <f>VLOOKUP($B232,'[1]Plant data'!$A$1:$AB$315,6,0)</f>
        <v>3.16</v>
      </c>
      <c r="N232" s="9">
        <f>VLOOKUP($B232,'[1]Plant data'!$A$1:$AB$315,7,0)</f>
        <v>4.0274999999999999</v>
      </c>
      <c r="O232" s="8" t="str">
        <f>VLOOKUP($B232,'[1]Plant data'!$A$1:$AB$315,10,0)</f>
        <v>NA</v>
      </c>
      <c r="P232" s="8" t="str">
        <f>VLOOKUP($B232,'[1]Plant data'!$A$1:$AB$315,11,0)</f>
        <v>NA</v>
      </c>
      <c r="Q232" s="8" t="str">
        <f>VLOOKUP($B232,'[1]Plant data'!$A$1:$AB$315,12,0)</f>
        <v>NA</v>
      </c>
      <c r="R232" s="8" t="str">
        <f>VLOOKUP($B232,'[1]Plant data'!$A$1:$AB$315,13,0)</f>
        <v>NA</v>
      </c>
      <c r="S232" s="8" t="str">
        <f>VLOOKUP($B232,'[1]Plant data'!$A$1:$AB$315,14,0)</f>
        <v>NA</v>
      </c>
      <c r="T232" s="11" t="str">
        <f>VLOOKUP($B232,'[1]Plant data'!$A$1:$AB$315,15,0)</f>
        <v>NA</v>
      </c>
      <c r="U232" s="9" t="str">
        <f>VLOOKUP($B232,'[1]Plant data'!$A$1:$AB$315,19,0)</f>
        <v>NA</v>
      </c>
      <c r="V232" s="8" t="str">
        <f>VLOOKUP($B232,'[1]Plant data'!$A$1:$AB$315,20,0)</f>
        <v>NA</v>
      </c>
      <c r="W232" s="8" t="str">
        <f>VLOOKUP($B232,'[1]Plant data'!$A$1:$AB$315,21,0)</f>
        <v>NA</v>
      </c>
      <c r="X232" s="8" t="str">
        <f>VLOOKUP($B232,'[1]Plant data'!$A$1:$AB$315,22,0)</f>
        <v>NA</v>
      </c>
      <c r="Y232" s="8" t="str">
        <f>VLOOKUP($B232,'[1]Plant data'!$A$1:$AB$315,23,0)</f>
        <v>NA</v>
      </c>
      <c r="Z232" s="8" t="str">
        <f>VLOOKUP($B232,'[1]Plant data'!$A$1:$AB$315,24,0)</f>
        <v>NA</v>
      </c>
      <c r="AA232" s="8" t="str">
        <f>VLOOKUP($B232,'[1]Plant data'!$A$1:$AB$315,25,0)</f>
        <v>NA</v>
      </c>
      <c r="AB232" s="8" t="s">
        <v>19</v>
      </c>
    </row>
    <row r="233" spans="1:28">
      <c r="A233" s="5" t="s">
        <v>46</v>
      </c>
      <c r="B233" s="33" t="s">
        <v>37</v>
      </c>
      <c r="C233" s="53">
        <v>17</v>
      </c>
      <c r="D233" s="59">
        <v>177.8</v>
      </c>
      <c r="E233" s="23">
        <f>C233/177.8</f>
        <v>9.5613048368953873E-2</v>
      </c>
      <c r="F233" s="56" t="s">
        <v>19</v>
      </c>
      <c r="G233" s="41">
        <v>10.029292929292929</v>
      </c>
      <c r="H233" s="23">
        <f t="shared" si="18"/>
        <v>0.95893126995489186</v>
      </c>
      <c r="I233" t="s">
        <v>47</v>
      </c>
      <c r="J233" s="11">
        <v>54</v>
      </c>
      <c r="K233" s="11">
        <v>11.14875</v>
      </c>
      <c r="L233" t="str">
        <f>VLOOKUP(B233,'[1]Plant data'!$A$1:$AB$315,2,0)</f>
        <v>Melastomataceae</v>
      </c>
      <c r="M233" s="9">
        <f>VLOOKUP($B233,'[1]Plant data'!$A$1:$AB$315,6,0)</f>
        <v>3.16</v>
      </c>
      <c r="N233" s="9">
        <f>VLOOKUP($B233,'[1]Plant data'!$A$1:$AB$315,7,0)</f>
        <v>4.0274999999999999</v>
      </c>
      <c r="O233" s="8" t="str">
        <f>VLOOKUP($B233,'[1]Plant data'!$A$1:$AB$315,10,0)</f>
        <v>NA</v>
      </c>
      <c r="P233" s="8" t="str">
        <f>VLOOKUP($B233,'[1]Plant data'!$A$1:$AB$315,11,0)</f>
        <v>NA</v>
      </c>
      <c r="Q233" s="8" t="str">
        <f>VLOOKUP($B233,'[1]Plant data'!$A$1:$AB$315,12,0)</f>
        <v>NA</v>
      </c>
      <c r="R233" s="8" t="str">
        <f>VLOOKUP($B233,'[1]Plant data'!$A$1:$AB$315,13,0)</f>
        <v>NA</v>
      </c>
      <c r="S233" s="8" t="str">
        <f>VLOOKUP($B233,'[1]Plant data'!$A$1:$AB$315,14,0)</f>
        <v>NA</v>
      </c>
      <c r="T233" s="11" t="str">
        <f>VLOOKUP($B233,'[1]Plant data'!$A$1:$AB$315,15,0)</f>
        <v>NA</v>
      </c>
      <c r="U233" s="9" t="str">
        <f>VLOOKUP($B233,'[1]Plant data'!$A$1:$AB$315,19,0)</f>
        <v>NA</v>
      </c>
      <c r="V233" s="8" t="str">
        <f>VLOOKUP($B233,'[1]Plant data'!$A$1:$AB$315,20,0)</f>
        <v>NA</v>
      </c>
      <c r="W233" s="8" t="str">
        <f>VLOOKUP($B233,'[1]Plant data'!$A$1:$AB$315,21,0)</f>
        <v>NA</v>
      </c>
      <c r="X233" s="8" t="str">
        <f>VLOOKUP($B233,'[1]Plant data'!$A$1:$AB$315,22,0)</f>
        <v>NA</v>
      </c>
      <c r="Y233" s="8" t="str">
        <f>VLOOKUP($B233,'[1]Plant data'!$A$1:$AB$315,23,0)</f>
        <v>NA</v>
      </c>
      <c r="Z233" s="8" t="str">
        <f>VLOOKUP($B233,'[1]Plant data'!$A$1:$AB$315,24,0)</f>
        <v>NA</v>
      </c>
      <c r="AA233" s="8" t="str">
        <f>VLOOKUP($B233,'[1]Plant data'!$A$1:$AB$315,25,0)</f>
        <v>NA</v>
      </c>
      <c r="AB233" s="8" t="s">
        <v>19</v>
      </c>
    </row>
    <row r="234" spans="1:28">
      <c r="A234" s="5" t="s">
        <v>46</v>
      </c>
      <c r="B234" s="33" t="s">
        <v>37</v>
      </c>
      <c r="C234" s="53">
        <v>5</v>
      </c>
      <c r="D234" s="58">
        <v>250</v>
      </c>
      <c r="E234" s="8">
        <f>C234/250</f>
        <v>0.02</v>
      </c>
      <c r="F234" s="54" t="s">
        <v>19</v>
      </c>
      <c r="G234" s="41">
        <v>10.029292929292929</v>
      </c>
      <c r="H234" s="23">
        <f t="shared" si="18"/>
        <v>0.20058585858585859</v>
      </c>
      <c r="I234" t="s">
        <v>47</v>
      </c>
      <c r="J234" s="11">
        <v>54</v>
      </c>
      <c r="K234" s="11">
        <v>11.14875</v>
      </c>
      <c r="L234" t="str">
        <f>VLOOKUP(B234,'[1]Plant data'!$A$1:$AB$315,2,0)</f>
        <v>Melastomataceae</v>
      </c>
      <c r="M234" s="9">
        <f>VLOOKUP($B234,'[1]Plant data'!$A$1:$AB$315,6,0)</f>
        <v>3.16</v>
      </c>
      <c r="N234" s="9">
        <f>VLOOKUP($B234,'[1]Plant data'!$A$1:$AB$315,7,0)</f>
        <v>4.0274999999999999</v>
      </c>
      <c r="O234" s="8" t="str">
        <f>VLOOKUP($B234,'[1]Plant data'!$A$1:$AB$315,10,0)</f>
        <v>NA</v>
      </c>
      <c r="P234" s="8" t="str">
        <f>VLOOKUP($B234,'[1]Plant data'!$A$1:$AB$315,11,0)</f>
        <v>NA</v>
      </c>
      <c r="Q234" s="8" t="str">
        <f>VLOOKUP($B234,'[1]Plant data'!$A$1:$AB$315,12,0)</f>
        <v>NA</v>
      </c>
      <c r="R234" s="8" t="str">
        <f>VLOOKUP($B234,'[1]Plant data'!$A$1:$AB$315,13,0)</f>
        <v>NA</v>
      </c>
      <c r="S234" s="8" t="str">
        <f>VLOOKUP($B234,'[1]Plant data'!$A$1:$AB$315,14,0)</f>
        <v>NA</v>
      </c>
      <c r="T234" s="11" t="str">
        <f>VLOOKUP($B234,'[1]Plant data'!$A$1:$AB$315,15,0)</f>
        <v>NA</v>
      </c>
      <c r="U234" s="9" t="str">
        <f>VLOOKUP($B234,'[1]Plant data'!$A$1:$AB$315,19,0)</f>
        <v>NA</v>
      </c>
      <c r="V234" s="8" t="str">
        <f>VLOOKUP($B234,'[1]Plant data'!$A$1:$AB$315,20,0)</f>
        <v>NA</v>
      </c>
      <c r="W234" s="8" t="str">
        <f>VLOOKUP($B234,'[1]Plant data'!$A$1:$AB$315,21,0)</f>
        <v>NA</v>
      </c>
      <c r="X234" s="8" t="str">
        <f>VLOOKUP($B234,'[1]Plant data'!$A$1:$AB$315,22,0)</f>
        <v>NA</v>
      </c>
      <c r="Y234" s="8" t="str">
        <f>VLOOKUP($B234,'[1]Plant data'!$A$1:$AB$315,23,0)</f>
        <v>NA</v>
      </c>
      <c r="Z234" s="8" t="str">
        <f>VLOOKUP($B234,'[1]Plant data'!$A$1:$AB$315,24,0)</f>
        <v>NA</v>
      </c>
      <c r="AA234" s="8" t="str">
        <f>VLOOKUP($B234,'[1]Plant data'!$A$1:$AB$315,25,0)</f>
        <v>NA</v>
      </c>
      <c r="AB234" s="8" t="s">
        <v>19</v>
      </c>
    </row>
    <row r="235" spans="1:28">
      <c r="A235" s="5" t="s">
        <v>50</v>
      </c>
      <c r="B235" s="32" t="s">
        <v>37</v>
      </c>
      <c r="C235" s="53">
        <v>8</v>
      </c>
      <c r="D235" s="58">
        <v>85.3</v>
      </c>
      <c r="E235" s="8">
        <f>C235/85.3</f>
        <v>9.3786635404454866E-2</v>
      </c>
      <c r="F235" s="54" t="s">
        <v>19</v>
      </c>
      <c r="G235" s="41">
        <v>10.029292929292929</v>
      </c>
      <c r="H235" s="23">
        <f t="shared" si="18"/>
        <v>0.94061363932407305</v>
      </c>
      <c r="I235" t="s">
        <v>47</v>
      </c>
      <c r="J235" s="11">
        <v>69.5</v>
      </c>
      <c r="K235" s="11">
        <v>13.253214290000001</v>
      </c>
      <c r="L235" t="str">
        <f>VLOOKUP(B235,'[1]Plant data'!$A$1:$AB$315,2,0)</f>
        <v>Melastomataceae</v>
      </c>
      <c r="M235" s="9">
        <f>VLOOKUP($B235,'[1]Plant data'!$A$1:$AB$315,6,0)</f>
        <v>3.16</v>
      </c>
      <c r="N235" s="9">
        <f>VLOOKUP($B235,'[1]Plant data'!$A$1:$AB$315,7,0)</f>
        <v>4.0274999999999999</v>
      </c>
      <c r="O235" s="8" t="str">
        <f>VLOOKUP($B235,'[1]Plant data'!$A$1:$AB$315,10,0)</f>
        <v>NA</v>
      </c>
      <c r="P235" s="8" t="str">
        <f>VLOOKUP($B235,'[1]Plant data'!$A$1:$AB$315,11,0)</f>
        <v>NA</v>
      </c>
      <c r="Q235" s="8" t="str">
        <f>VLOOKUP($B235,'[1]Plant data'!$A$1:$AB$315,12,0)</f>
        <v>NA</v>
      </c>
      <c r="R235" s="8" t="str">
        <f>VLOOKUP($B235,'[1]Plant data'!$A$1:$AB$315,13,0)</f>
        <v>NA</v>
      </c>
      <c r="S235" s="8" t="str">
        <f>VLOOKUP($B235,'[1]Plant data'!$A$1:$AB$315,14,0)</f>
        <v>NA</v>
      </c>
      <c r="T235" s="11" t="str">
        <f>VLOOKUP($B235,'[1]Plant data'!$A$1:$AB$315,15,0)</f>
        <v>NA</v>
      </c>
      <c r="U235" s="9" t="str">
        <f>VLOOKUP($B235,'[1]Plant data'!$A$1:$AB$315,19,0)</f>
        <v>NA</v>
      </c>
      <c r="V235" s="8" t="str">
        <f>VLOOKUP($B235,'[1]Plant data'!$A$1:$AB$315,20,0)</f>
        <v>NA</v>
      </c>
      <c r="W235" s="8" t="str">
        <f>VLOOKUP($B235,'[1]Plant data'!$A$1:$AB$315,21,0)</f>
        <v>NA</v>
      </c>
      <c r="X235" s="8" t="str">
        <f>VLOOKUP($B235,'[1]Plant data'!$A$1:$AB$315,22,0)</f>
        <v>NA</v>
      </c>
      <c r="Y235" s="8" t="str">
        <f>VLOOKUP($B235,'[1]Plant data'!$A$1:$AB$315,23,0)</f>
        <v>NA</v>
      </c>
      <c r="Z235" s="8" t="str">
        <f>VLOOKUP($B235,'[1]Plant data'!$A$1:$AB$315,24,0)</f>
        <v>NA</v>
      </c>
      <c r="AA235" s="8" t="str">
        <f>VLOOKUP($B235,'[1]Plant data'!$A$1:$AB$315,25,0)</f>
        <v>NA</v>
      </c>
      <c r="AB235" s="8" t="s">
        <v>19</v>
      </c>
    </row>
    <row r="236" spans="1:28">
      <c r="A236" s="5" t="s">
        <v>50</v>
      </c>
      <c r="B236" s="32" t="s">
        <v>37</v>
      </c>
      <c r="C236" s="53">
        <v>2</v>
      </c>
      <c r="D236" s="59">
        <v>177.8</v>
      </c>
      <c r="E236" s="8">
        <f>C236/177.8</f>
        <v>1.1248593925759279E-2</v>
      </c>
      <c r="F236" s="56" t="s">
        <v>19</v>
      </c>
      <c r="G236" s="41">
        <v>10.029292929292929</v>
      </c>
      <c r="H236" s="23">
        <f t="shared" si="18"/>
        <v>0.11281544352410493</v>
      </c>
      <c r="I236" t="s">
        <v>47</v>
      </c>
      <c r="J236" s="11">
        <v>69.5</v>
      </c>
      <c r="K236" s="11">
        <v>13.253214290000001</v>
      </c>
      <c r="L236" t="str">
        <f>VLOOKUP(B236,'[1]Plant data'!$A$1:$AB$315,2,0)</f>
        <v>Melastomataceae</v>
      </c>
      <c r="M236" s="9">
        <f>VLOOKUP($B236,'[1]Plant data'!$A$1:$AB$315,6,0)</f>
        <v>3.16</v>
      </c>
      <c r="N236" s="9">
        <f>VLOOKUP($B236,'[1]Plant data'!$A$1:$AB$315,7,0)</f>
        <v>4.0274999999999999</v>
      </c>
      <c r="O236" s="8" t="str">
        <f>VLOOKUP($B236,'[1]Plant data'!$A$1:$AB$315,10,0)</f>
        <v>NA</v>
      </c>
      <c r="P236" s="8" t="str">
        <f>VLOOKUP($B236,'[1]Plant data'!$A$1:$AB$315,11,0)</f>
        <v>NA</v>
      </c>
      <c r="Q236" s="8" t="str">
        <f>VLOOKUP($B236,'[1]Plant data'!$A$1:$AB$315,12,0)</f>
        <v>NA</v>
      </c>
      <c r="R236" s="8" t="str">
        <f>VLOOKUP($B236,'[1]Plant data'!$A$1:$AB$315,13,0)</f>
        <v>NA</v>
      </c>
      <c r="S236" s="8" t="str">
        <f>VLOOKUP($B236,'[1]Plant data'!$A$1:$AB$315,14,0)</f>
        <v>NA</v>
      </c>
      <c r="T236" s="11" t="str">
        <f>VLOOKUP($B236,'[1]Plant data'!$A$1:$AB$315,15,0)</f>
        <v>NA</v>
      </c>
      <c r="U236" s="9" t="str">
        <f>VLOOKUP($B236,'[1]Plant data'!$A$1:$AB$315,19,0)</f>
        <v>NA</v>
      </c>
      <c r="V236" s="8" t="str">
        <f>VLOOKUP($B236,'[1]Plant data'!$A$1:$AB$315,20,0)</f>
        <v>NA</v>
      </c>
      <c r="W236" s="8" t="str">
        <f>VLOOKUP($B236,'[1]Plant data'!$A$1:$AB$315,21,0)</f>
        <v>NA</v>
      </c>
      <c r="X236" s="8" t="str">
        <f>VLOOKUP($B236,'[1]Plant data'!$A$1:$AB$315,22,0)</f>
        <v>NA</v>
      </c>
      <c r="Y236" s="8" t="str">
        <f>VLOOKUP($B236,'[1]Plant data'!$A$1:$AB$315,23,0)</f>
        <v>NA</v>
      </c>
      <c r="Z236" s="8" t="str">
        <f>VLOOKUP($B236,'[1]Plant data'!$A$1:$AB$315,24,0)</f>
        <v>NA</v>
      </c>
      <c r="AA236" s="8" t="str">
        <f>VLOOKUP($B236,'[1]Plant data'!$A$1:$AB$315,25,0)</f>
        <v>NA</v>
      </c>
      <c r="AB236" s="8" t="s">
        <v>19</v>
      </c>
    </row>
    <row r="237" spans="1:28">
      <c r="A237" s="5" t="s">
        <v>50</v>
      </c>
      <c r="B237" s="32" t="s">
        <v>37</v>
      </c>
      <c r="C237" s="53">
        <v>1</v>
      </c>
      <c r="D237" s="58">
        <v>250</v>
      </c>
      <c r="E237" s="8">
        <f>C237/250</f>
        <v>4.0000000000000001E-3</v>
      </c>
      <c r="F237" s="54" t="s">
        <v>19</v>
      </c>
      <c r="G237" s="41">
        <v>10.029292929292929</v>
      </c>
      <c r="H237" s="23">
        <f t="shared" si="18"/>
        <v>4.0117171717171718E-2</v>
      </c>
      <c r="I237" t="s">
        <v>47</v>
      </c>
      <c r="J237" s="11">
        <v>69.5</v>
      </c>
      <c r="K237" s="11">
        <v>13.253214290000001</v>
      </c>
      <c r="L237" t="str">
        <f>VLOOKUP(B237,'[1]Plant data'!$A$1:$AB$315,2,0)</f>
        <v>Melastomataceae</v>
      </c>
      <c r="M237" s="9">
        <f>VLOOKUP($B237,'[1]Plant data'!$A$1:$AB$315,6,0)</f>
        <v>3.16</v>
      </c>
      <c r="N237" s="9">
        <f>VLOOKUP($B237,'[1]Plant data'!$A$1:$AB$315,7,0)</f>
        <v>4.0274999999999999</v>
      </c>
      <c r="O237" s="8" t="str">
        <f>VLOOKUP($B237,'[1]Plant data'!$A$1:$AB$315,10,0)</f>
        <v>NA</v>
      </c>
      <c r="P237" s="8" t="str">
        <f>VLOOKUP($B237,'[1]Plant data'!$A$1:$AB$315,11,0)</f>
        <v>NA</v>
      </c>
      <c r="Q237" s="8" t="str">
        <f>VLOOKUP($B237,'[1]Plant data'!$A$1:$AB$315,12,0)</f>
        <v>NA</v>
      </c>
      <c r="R237" s="8" t="str">
        <f>VLOOKUP($B237,'[1]Plant data'!$A$1:$AB$315,13,0)</f>
        <v>NA</v>
      </c>
      <c r="S237" s="8" t="str">
        <f>VLOOKUP($B237,'[1]Plant data'!$A$1:$AB$315,14,0)</f>
        <v>NA</v>
      </c>
      <c r="T237" s="11" t="str">
        <f>VLOOKUP($B237,'[1]Plant data'!$A$1:$AB$315,15,0)</f>
        <v>NA</v>
      </c>
      <c r="U237" s="9" t="str">
        <f>VLOOKUP($B237,'[1]Plant data'!$A$1:$AB$315,19,0)</f>
        <v>NA</v>
      </c>
      <c r="V237" s="8" t="str">
        <f>VLOOKUP($B237,'[1]Plant data'!$A$1:$AB$315,20,0)</f>
        <v>NA</v>
      </c>
      <c r="W237" s="8" t="str">
        <f>VLOOKUP($B237,'[1]Plant data'!$A$1:$AB$315,21,0)</f>
        <v>NA</v>
      </c>
      <c r="X237" s="8" t="str">
        <f>VLOOKUP($B237,'[1]Plant data'!$A$1:$AB$315,22,0)</f>
        <v>NA</v>
      </c>
      <c r="Y237" s="8" t="str">
        <f>VLOOKUP($B237,'[1]Plant data'!$A$1:$AB$315,23,0)</f>
        <v>NA</v>
      </c>
      <c r="Z237" s="8" t="str">
        <f>VLOOKUP($B237,'[1]Plant data'!$A$1:$AB$315,24,0)</f>
        <v>NA</v>
      </c>
      <c r="AA237" s="8" t="str">
        <f>VLOOKUP($B237,'[1]Plant data'!$A$1:$AB$315,25,0)</f>
        <v>NA</v>
      </c>
      <c r="AB237" s="8" t="s">
        <v>19</v>
      </c>
    </row>
    <row r="238" spans="1:28">
      <c r="A238" s="5" t="s">
        <v>90</v>
      </c>
      <c r="B238" s="33" t="s">
        <v>173</v>
      </c>
      <c r="C238" s="56">
        <v>3</v>
      </c>
      <c r="D238" s="59">
        <v>44</v>
      </c>
      <c r="E238" s="26">
        <f>C238/44</f>
        <v>6.8181818181818177E-2</v>
      </c>
      <c r="F238" s="56">
        <v>9</v>
      </c>
      <c r="G238" s="27">
        <f>F238/C238</f>
        <v>3</v>
      </c>
      <c r="H238" s="23">
        <f t="shared" si="18"/>
        <v>0.20454545454545453</v>
      </c>
      <c r="I238" t="s">
        <v>94</v>
      </c>
      <c r="J238" s="11">
        <v>331</v>
      </c>
      <c r="K238" s="11">
        <v>30.7</v>
      </c>
      <c r="L238" t="str">
        <f>VLOOKUP(B238,'[1]Plant data'!$A$1:$AB$315,2,0)</f>
        <v>Melastomataceae</v>
      </c>
      <c r="M238" s="9">
        <f>VLOOKUP($B238,'[1]Plant data'!$A$1:$AB$315,6,0)</f>
        <v>4.8899999999999997</v>
      </c>
      <c r="N238" s="9">
        <f>VLOOKUP($B238,'[1]Plant data'!$A$1:$AB$315,7,0)</f>
        <v>4.1950000000000003</v>
      </c>
      <c r="O238" s="8">
        <f>VLOOKUP($B238,'[1]Plant data'!$A$1:$AB$315,10,0)</f>
        <v>0.124</v>
      </c>
      <c r="P238" s="8" t="str">
        <f>VLOOKUP($B238,'[1]Plant data'!$A$1:$AB$315,11,0)</f>
        <v>NA</v>
      </c>
      <c r="Q238" s="8">
        <f>VLOOKUP($B238,'[1]Plant data'!$A$1:$AB$315,12,0)</f>
        <v>3.8E-3</v>
      </c>
      <c r="R238" s="8" t="str">
        <f>VLOOKUP($B238,'[1]Plant data'!$A$1:$AB$315,13,0)</f>
        <v>NA</v>
      </c>
      <c r="S238" s="8" t="str">
        <f>VLOOKUP($B238,'[1]Plant data'!$A$1:$AB$315,14,0)</f>
        <v>NA</v>
      </c>
      <c r="T238" s="11">
        <f>VLOOKUP($B238,'[1]Plant data'!$A$1:$AB$315,15,0)</f>
        <v>4.55</v>
      </c>
      <c r="U238" s="9" t="str">
        <f>VLOOKUP($B238,'[1]Plant data'!$A$1:$AB$315,19,0)</f>
        <v>NA</v>
      </c>
      <c r="V238" s="8" t="str">
        <f>VLOOKUP($B238,'[1]Plant data'!$A$1:$AB$315,20,0)</f>
        <v>NA</v>
      </c>
      <c r="W238" s="8" t="str">
        <f>VLOOKUP($B238,'[1]Plant data'!$A$1:$AB$315,21,0)</f>
        <v>NA</v>
      </c>
      <c r="X238" s="8" t="str">
        <f>VLOOKUP($B238,'[1]Plant data'!$A$1:$AB$315,22,0)</f>
        <v>NA</v>
      </c>
      <c r="Y238" s="8" t="str">
        <f>VLOOKUP($B238,'[1]Plant data'!$A$1:$AB$315,23,0)</f>
        <v>NA</v>
      </c>
      <c r="Z238" s="8" t="str">
        <f>VLOOKUP($B238,'[1]Plant data'!$A$1:$AB$315,24,0)</f>
        <v>NA</v>
      </c>
      <c r="AA238" s="8" t="str">
        <f>VLOOKUP($B238,'[1]Plant data'!$A$1:$AB$315,25,0)</f>
        <v>NA</v>
      </c>
      <c r="AB238" s="8" t="s">
        <v>19</v>
      </c>
    </row>
    <row r="239" spans="1:28">
      <c r="A239" s="5" t="s">
        <v>46</v>
      </c>
      <c r="B239" s="33" t="s">
        <v>173</v>
      </c>
      <c r="C239" s="56">
        <v>2</v>
      </c>
      <c r="D239" s="59" t="s">
        <v>19</v>
      </c>
      <c r="E239" s="76">
        <v>0.22749999999999998</v>
      </c>
      <c r="F239" s="56">
        <v>43</v>
      </c>
      <c r="G239" s="27">
        <f>F239/C239</f>
        <v>21.5</v>
      </c>
      <c r="H239" s="23">
        <f t="shared" si="18"/>
        <v>4.8912499999999994</v>
      </c>
      <c r="I239" t="s">
        <v>47</v>
      </c>
      <c r="J239" s="11">
        <v>54</v>
      </c>
      <c r="K239" s="11">
        <v>11.14875</v>
      </c>
      <c r="L239" t="str">
        <f>VLOOKUP(B239,'[1]Plant data'!$A$1:$AB$315,2,0)</f>
        <v>Melastomataceae</v>
      </c>
      <c r="M239" s="9">
        <f>VLOOKUP($B239,'[1]Plant data'!$A$1:$AB$315,6,0)</f>
        <v>4.8899999999999997</v>
      </c>
      <c r="N239" s="9">
        <f>VLOOKUP($B239,'[1]Plant data'!$A$1:$AB$315,7,0)</f>
        <v>4.1950000000000003</v>
      </c>
      <c r="O239" s="8">
        <f>VLOOKUP($B239,'[1]Plant data'!$A$1:$AB$315,10,0)</f>
        <v>0.124</v>
      </c>
      <c r="P239" s="8" t="str">
        <f>VLOOKUP($B239,'[1]Plant data'!$A$1:$AB$315,11,0)</f>
        <v>NA</v>
      </c>
      <c r="Q239" s="8">
        <f>VLOOKUP($B239,'[1]Plant data'!$A$1:$AB$315,12,0)</f>
        <v>3.8E-3</v>
      </c>
      <c r="R239" s="8" t="str">
        <f>VLOOKUP($B239,'[1]Plant data'!$A$1:$AB$315,13,0)</f>
        <v>NA</v>
      </c>
      <c r="S239" s="8" t="str">
        <f>VLOOKUP($B239,'[1]Plant data'!$A$1:$AB$315,14,0)</f>
        <v>NA</v>
      </c>
      <c r="T239" s="11">
        <f>VLOOKUP($B239,'[1]Plant data'!$A$1:$AB$315,15,0)</f>
        <v>4.55</v>
      </c>
      <c r="U239" s="9" t="str">
        <f>VLOOKUP($B239,'[1]Plant data'!$A$1:$AB$315,19,0)</f>
        <v>NA</v>
      </c>
      <c r="V239" s="8" t="str">
        <f>VLOOKUP($B239,'[1]Plant data'!$A$1:$AB$315,20,0)</f>
        <v>NA</v>
      </c>
      <c r="W239" s="8" t="str">
        <f>VLOOKUP($B239,'[1]Plant data'!$A$1:$AB$315,21,0)</f>
        <v>NA</v>
      </c>
      <c r="X239" s="8" t="str">
        <f>VLOOKUP($B239,'[1]Plant data'!$A$1:$AB$315,22,0)</f>
        <v>NA</v>
      </c>
      <c r="Y239" s="8" t="str">
        <f>VLOOKUP($B239,'[1]Plant data'!$A$1:$AB$315,23,0)</f>
        <v>NA</v>
      </c>
      <c r="Z239" s="8" t="str">
        <f>VLOOKUP($B239,'[1]Plant data'!$A$1:$AB$315,24,0)</f>
        <v>NA</v>
      </c>
      <c r="AA239" s="8" t="str">
        <f>VLOOKUP($B239,'[1]Plant data'!$A$1:$AB$315,25,0)</f>
        <v>NA</v>
      </c>
      <c r="AB239" s="8" t="s">
        <v>19</v>
      </c>
    </row>
    <row r="240" spans="1:28">
      <c r="A240" s="5" t="s">
        <v>46</v>
      </c>
      <c r="B240" s="33" t="s">
        <v>173</v>
      </c>
      <c r="C240" s="53">
        <v>11</v>
      </c>
      <c r="D240" s="58">
        <v>44</v>
      </c>
      <c r="E240" s="8">
        <f>C240/44</f>
        <v>0.25</v>
      </c>
      <c r="F240" s="54">
        <v>23</v>
      </c>
      <c r="G240" s="9">
        <f>F240/C240</f>
        <v>2.0909090909090908</v>
      </c>
      <c r="H240" s="23">
        <f t="shared" si="18"/>
        <v>0.52272727272727271</v>
      </c>
      <c r="I240" t="s">
        <v>47</v>
      </c>
      <c r="J240" s="11">
        <v>54</v>
      </c>
      <c r="K240" s="11">
        <v>11.14875</v>
      </c>
      <c r="L240" t="str">
        <f>VLOOKUP(B240,'[1]Plant data'!$A$1:$AB$315,2,0)</f>
        <v>Melastomataceae</v>
      </c>
      <c r="M240" s="9">
        <f>VLOOKUP($B240,'[1]Plant data'!$A$1:$AB$315,6,0)</f>
        <v>4.8899999999999997</v>
      </c>
      <c r="N240" s="9">
        <f>VLOOKUP($B240,'[1]Plant data'!$A$1:$AB$315,7,0)</f>
        <v>4.1950000000000003</v>
      </c>
      <c r="O240" s="8">
        <f>VLOOKUP($B240,'[1]Plant data'!$A$1:$AB$315,10,0)</f>
        <v>0.124</v>
      </c>
      <c r="P240" s="8" t="str">
        <f>VLOOKUP($B240,'[1]Plant data'!$A$1:$AB$315,11,0)</f>
        <v>NA</v>
      </c>
      <c r="Q240" s="8">
        <f>VLOOKUP($B240,'[1]Plant data'!$A$1:$AB$315,12,0)</f>
        <v>3.8E-3</v>
      </c>
      <c r="R240" s="8" t="str">
        <f>VLOOKUP($B240,'[1]Plant data'!$A$1:$AB$315,13,0)</f>
        <v>NA</v>
      </c>
      <c r="S240" s="8" t="str">
        <f>VLOOKUP($B240,'[1]Plant data'!$A$1:$AB$315,14,0)</f>
        <v>NA</v>
      </c>
      <c r="T240" s="11">
        <f>VLOOKUP($B240,'[1]Plant data'!$A$1:$AB$315,15,0)</f>
        <v>4.55</v>
      </c>
      <c r="U240" s="9" t="str">
        <f>VLOOKUP($B240,'[1]Plant data'!$A$1:$AB$315,19,0)</f>
        <v>NA</v>
      </c>
      <c r="V240" s="8" t="str">
        <f>VLOOKUP($B240,'[1]Plant data'!$A$1:$AB$315,20,0)</f>
        <v>NA</v>
      </c>
      <c r="W240" s="8" t="str">
        <f>VLOOKUP($B240,'[1]Plant data'!$A$1:$AB$315,21,0)</f>
        <v>NA</v>
      </c>
      <c r="X240" s="8" t="str">
        <f>VLOOKUP($B240,'[1]Plant data'!$A$1:$AB$315,22,0)</f>
        <v>NA</v>
      </c>
      <c r="Y240" s="8" t="str">
        <f>VLOOKUP($B240,'[1]Plant data'!$A$1:$AB$315,23,0)</f>
        <v>NA</v>
      </c>
      <c r="Z240" s="8" t="str">
        <f>VLOOKUP($B240,'[1]Plant data'!$A$1:$AB$315,24,0)</f>
        <v>NA</v>
      </c>
      <c r="AA240" s="8" t="str">
        <f>VLOOKUP($B240,'[1]Plant data'!$A$1:$AB$315,25,0)</f>
        <v>NA</v>
      </c>
      <c r="AB240" s="8" t="s">
        <v>19</v>
      </c>
    </row>
    <row r="241" spans="1:28">
      <c r="A241" s="5" t="s">
        <v>50</v>
      </c>
      <c r="B241" s="32" t="s">
        <v>173</v>
      </c>
      <c r="C241" s="53">
        <v>9</v>
      </c>
      <c r="D241" s="58">
        <v>44</v>
      </c>
      <c r="E241" s="8">
        <f>C241/44</f>
        <v>0.20454545454545456</v>
      </c>
      <c r="F241" s="54">
        <v>50</v>
      </c>
      <c r="G241" s="9">
        <f>F241/C241</f>
        <v>5.5555555555555554</v>
      </c>
      <c r="H241" s="23">
        <f t="shared" si="18"/>
        <v>1.1363636363636365</v>
      </c>
      <c r="I241" t="s">
        <v>47</v>
      </c>
      <c r="J241" s="11">
        <v>69.5</v>
      </c>
      <c r="K241" s="11">
        <v>13.253214290000001</v>
      </c>
      <c r="L241" t="str">
        <f>VLOOKUP(B241,'[1]Plant data'!$A$1:$AB$315,2,0)</f>
        <v>Melastomataceae</v>
      </c>
      <c r="M241" s="9">
        <f>VLOOKUP($B241,'[1]Plant data'!$A$1:$AB$315,6,0)</f>
        <v>4.8899999999999997</v>
      </c>
      <c r="N241" s="9">
        <f>VLOOKUP($B241,'[1]Plant data'!$A$1:$AB$315,7,0)</f>
        <v>4.1950000000000003</v>
      </c>
      <c r="O241" s="8">
        <f>VLOOKUP($B241,'[1]Plant data'!$A$1:$AB$315,10,0)</f>
        <v>0.124</v>
      </c>
      <c r="P241" s="8" t="str">
        <f>VLOOKUP($B241,'[1]Plant data'!$A$1:$AB$315,11,0)</f>
        <v>NA</v>
      </c>
      <c r="Q241" s="8">
        <f>VLOOKUP($B241,'[1]Plant data'!$A$1:$AB$315,12,0)</f>
        <v>3.8E-3</v>
      </c>
      <c r="R241" s="8" t="str">
        <f>VLOOKUP($B241,'[1]Plant data'!$A$1:$AB$315,13,0)</f>
        <v>NA</v>
      </c>
      <c r="S241" s="8" t="str">
        <f>VLOOKUP($B241,'[1]Plant data'!$A$1:$AB$315,14,0)</f>
        <v>NA</v>
      </c>
      <c r="T241" s="11">
        <f>VLOOKUP($B241,'[1]Plant data'!$A$1:$AB$315,15,0)</f>
        <v>4.55</v>
      </c>
      <c r="U241" s="9" t="str">
        <f>VLOOKUP($B241,'[1]Plant data'!$A$1:$AB$315,19,0)</f>
        <v>NA</v>
      </c>
      <c r="V241" s="8" t="str">
        <f>VLOOKUP($B241,'[1]Plant data'!$A$1:$AB$315,20,0)</f>
        <v>NA</v>
      </c>
      <c r="W241" s="8" t="str">
        <f>VLOOKUP($B241,'[1]Plant data'!$A$1:$AB$315,21,0)</f>
        <v>NA</v>
      </c>
      <c r="X241" s="8" t="str">
        <f>VLOOKUP($B241,'[1]Plant data'!$A$1:$AB$315,22,0)</f>
        <v>NA</v>
      </c>
      <c r="Y241" s="8" t="str">
        <f>VLOOKUP($B241,'[1]Plant data'!$A$1:$AB$315,23,0)</f>
        <v>NA</v>
      </c>
      <c r="Z241" s="8" t="str">
        <f>VLOOKUP($B241,'[1]Plant data'!$A$1:$AB$315,24,0)</f>
        <v>NA</v>
      </c>
      <c r="AA241" s="8" t="str">
        <f>VLOOKUP($B241,'[1]Plant data'!$A$1:$AB$315,25,0)</f>
        <v>NA</v>
      </c>
      <c r="AB241" s="8" t="s">
        <v>19</v>
      </c>
    </row>
    <row r="242" spans="1:28">
      <c r="A242" s="5" t="s">
        <v>96</v>
      </c>
      <c r="B242" s="34" t="s">
        <v>248</v>
      </c>
      <c r="C242" s="53">
        <v>4</v>
      </c>
      <c r="D242" s="58">
        <v>85.3</v>
      </c>
      <c r="E242" s="8">
        <f>C242/85.3</f>
        <v>4.6893317702227433E-2</v>
      </c>
      <c r="F242" s="54" t="s">
        <v>19</v>
      </c>
      <c r="G242" s="9" t="s">
        <v>19</v>
      </c>
      <c r="H242" s="23" t="s">
        <v>19</v>
      </c>
      <c r="I242" t="s">
        <v>101</v>
      </c>
      <c r="J242" s="11">
        <v>1770</v>
      </c>
      <c r="K242" s="11">
        <v>22.349</v>
      </c>
      <c r="L242" t="str">
        <f>VLOOKUP(B242,'[1]Plant data'!$A$1:$AB$315,2,0)</f>
        <v>Melastomataceae</v>
      </c>
      <c r="M242" s="9">
        <f>VLOOKUP($B242,'[1]Plant data'!$A$1:$AB$315,6,0)</f>
        <v>4</v>
      </c>
      <c r="N242" s="9">
        <f>VLOOKUP($B242,'[1]Plant data'!$A$1:$AB$315,7,0)</f>
        <v>3.3</v>
      </c>
      <c r="O242" s="8" t="str">
        <f>VLOOKUP($B242,'[1]Plant data'!$A$1:$AB$315,10,0)</f>
        <v>NA</v>
      </c>
      <c r="P242" s="8" t="str">
        <f>VLOOKUP($B242,'[1]Plant data'!$A$1:$AB$315,11,0)</f>
        <v>NA</v>
      </c>
      <c r="Q242" s="8" t="str">
        <f>VLOOKUP($B242,'[1]Plant data'!$A$1:$AB$315,12,0)</f>
        <v>NA</v>
      </c>
      <c r="R242" s="8" t="str">
        <f>VLOOKUP($B242,'[1]Plant data'!$A$1:$AB$315,13,0)</f>
        <v>NA</v>
      </c>
      <c r="S242" s="8" t="str">
        <f>VLOOKUP($B242,'[1]Plant data'!$A$1:$AB$315,14,0)</f>
        <v>NA</v>
      </c>
      <c r="T242" s="11" t="str">
        <f>VLOOKUP($B242,'[1]Plant data'!$A$1:$AB$315,15,0)</f>
        <v>NA</v>
      </c>
      <c r="U242" s="9" t="str">
        <f>VLOOKUP($B242,'[1]Plant data'!$A$1:$AB$315,19,0)</f>
        <v>NA</v>
      </c>
      <c r="V242" s="8" t="str">
        <f>VLOOKUP($B242,'[1]Plant data'!$A$1:$AB$315,20,0)</f>
        <v>NA</v>
      </c>
      <c r="W242" s="8" t="str">
        <f>VLOOKUP($B242,'[1]Plant data'!$A$1:$AB$315,21,0)</f>
        <v>NA</v>
      </c>
      <c r="X242" s="8" t="str">
        <f>VLOOKUP($B242,'[1]Plant data'!$A$1:$AB$315,22,0)</f>
        <v>NA</v>
      </c>
      <c r="Y242" s="8" t="str">
        <f>VLOOKUP($B242,'[1]Plant data'!$A$1:$AB$315,23,0)</f>
        <v>NA</v>
      </c>
      <c r="Z242" s="8" t="str">
        <f>VLOOKUP($B242,'[1]Plant data'!$A$1:$AB$315,24,0)</f>
        <v>NA</v>
      </c>
      <c r="AA242" s="8" t="str">
        <f>VLOOKUP($B242,'[1]Plant data'!$A$1:$AB$315,25,0)</f>
        <v>NA</v>
      </c>
      <c r="AB242" s="8" t="s">
        <v>19</v>
      </c>
    </row>
    <row r="243" spans="1:28">
      <c r="A243" s="5" t="s">
        <v>74</v>
      </c>
      <c r="B243" s="12" t="s">
        <v>248</v>
      </c>
      <c r="C243" s="53">
        <v>2</v>
      </c>
      <c r="D243" s="58">
        <v>85.3</v>
      </c>
      <c r="E243" s="8">
        <f>C243/85.3</f>
        <v>2.3446658851113716E-2</v>
      </c>
      <c r="F243" s="54" t="s">
        <v>19</v>
      </c>
      <c r="G243" s="9" t="s">
        <v>19</v>
      </c>
      <c r="H243" s="23" t="s">
        <v>19</v>
      </c>
      <c r="I243" t="s">
        <v>75</v>
      </c>
      <c r="J243" s="11">
        <v>200</v>
      </c>
      <c r="K243" s="11">
        <v>23.614285710000001</v>
      </c>
      <c r="L243" t="str">
        <f>VLOOKUP(B243,'[1]Plant data'!$A$1:$AB$315,2,0)</f>
        <v>Melastomataceae</v>
      </c>
      <c r="M243" s="9">
        <f>VLOOKUP($B243,'[1]Plant data'!$A$1:$AB$315,6,0)</f>
        <v>4</v>
      </c>
      <c r="N243" s="9">
        <f>VLOOKUP($B243,'[1]Plant data'!$A$1:$AB$315,7,0)</f>
        <v>3.3</v>
      </c>
      <c r="O243" s="8" t="str">
        <f>VLOOKUP($B243,'[1]Plant data'!$A$1:$AB$315,10,0)</f>
        <v>NA</v>
      </c>
      <c r="P243" s="8" t="str">
        <f>VLOOKUP($B243,'[1]Plant data'!$A$1:$AB$315,11,0)</f>
        <v>NA</v>
      </c>
      <c r="Q243" s="8" t="str">
        <f>VLOOKUP($B243,'[1]Plant data'!$A$1:$AB$315,12,0)</f>
        <v>NA</v>
      </c>
      <c r="R243" s="8" t="str">
        <f>VLOOKUP($B243,'[1]Plant data'!$A$1:$AB$315,13,0)</f>
        <v>NA</v>
      </c>
      <c r="S243" s="8" t="str">
        <f>VLOOKUP($B243,'[1]Plant data'!$A$1:$AB$315,14,0)</f>
        <v>NA</v>
      </c>
      <c r="T243" s="11" t="str">
        <f>VLOOKUP($B243,'[1]Plant data'!$A$1:$AB$315,15,0)</f>
        <v>NA</v>
      </c>
      <c r="U243" s="9" t="str">
        <f>VLOOKUP($B243,'[1]Plant data'!$A$1:$AB$315,19,0)</f>
        <v>NA</v>
      </c>
      <c r="V243" s="8" t="str">
        <f>VLOOKUP($B243,'[1]Plant data'!$A$1:$AB$315,20,0)</f>
        <v>NA</v>
      </c>
      <c r="W243" s="8" t="str">
        <f>VLOOKUP($B243,'[1]Plant data'!$A$1:$AB$315,21,0)</f>
        <v>NA</v>
      </c>
      <c r="X243" s="8" t="str">
        <f>VLOOKUP($B243,'[1]Plant data'!$A$1:$AB$315,22,0)</f>
        <v>NA</v>
      </c>
      <c r="Y243" s="8" t="str">
        <f>VLOOKUP($B243,'[1]Plant data'!$A$1:$AB$315,23,0)</f>
        <v>NA</v>
      </c>
      <c r="Z243" s="8" t="str">
        <f>VLOOKUP($B243,'[1]Plant data'!$A$1:$AB$315,24,0)</f>
        <v>NA</v>
      </c>
      <c r="AA243" s="8" t="str">
        <f>VLOOKUP($B243,'[1]Plant data'!$A$1:$AB$315,25,0)</f>
        <v>NA</v>
      </c>
      <c r="AB243" s="8" t="s">
        <v>19</v>
      </c>
    </row>
    <row r="244" spans="1:28">
      <c r="A244" s="5" t="s">
        <v>50</v>
      </c>
      <c r="B244" s="37" t="s">
        <v>248</v>
      </c>
      <c r="C244" s="53">
        <v>4</v>
      </c>
      <c r="D244" s="58">
        <v>85.3</v>
      </c>
      <c r="E244" s="8">
        <f>C244/85.3</f>
        <v>4.6893317702227433E-2</v>
      </c>
      <c r="F244" s="54" t="s">
        <v>19</v>
      </c>
      <c r="G244" s="41">
        <v>10.029292929292929</v>
      </c>
      <c r="H244" s="23">
        <f t="shared" ref="H244:H251" si="19">E244*G244</f>
        <v>0.47030681966203652</v>
      </c>
      <c r="I244" t="s">
        <v>47</v>
      </c>
      <c r="J244" s="11">
        <v>69.5</v>
      </c>
      <c r="K244" s="11">
        <v>13.253214290000001</v>
      </c>
      <c r="L244" t="str">
        <f>VLOOKUP(B244,'[1]Plant data'!$A$1:$AB$315,2,0)</f>
        <v>Melastomataceae</v>
      </c>
      <c r="M244" s="9">
        <f>VLOOKUP($B244,'[1]Plant data'!$A$1:$AB$315,6,0)</f>
        <v>4</v>
      </c>
      <c r="N244" s="9">
        <f>VLOOKUP($B244,'[1]Plant data'!$A$1:$AB$315,7,0)</f>
        <v>3.3</v>
      </c>
      <c r="O244" s="8" t="str">
        <f>VLOOKUP($B244,'[1]Plant data'!$A$1:$AB$315,10,0)</f>
        <v>NA</v>
      </c>
      <c r="P244" s="8" t="str">
        <f>VLOOKUP($B244,'[1]Plant data'!$A$1:$AB$315,11,0)</f>
        <v>NA</v>
      </c>
      <c r="Q244" s="8" t="str">
        <f>VLOOKUP($B244,'[1]Plant data'!$A$1:$AB$315,12,0)</f>
        <v>NA</v>
      </c>
      <c r="R244" s="8" t="str">
        <f>VLOOKUP($B244,'[1]Plant data'!$A$1:$AB$315,13,0)</f>
        <v>NA</v>
      </c>
      <c r="S244" s="8" t="str">
        <f>VLOOKUP($B244,'[1]Plant data'!$A$1:$AB$315,14,0)</f>
        <v>NA</v>
      </c>
      <c r="T244" s="11" t="str">
        <f>VLOOKUP($B244,'[1]Plant data'!$A$1:$AB$315,15,0)</f>
        <v>NA</v>
      </c>
      <c r="U244" s="9" t="str">
        <f>VLOOKUP($B244,'[1]Plant data'!$A$1:$AB$315,19,0)</f>
        <v>NA</v>
      </c>
      <c r="V244" s="8" t="str">
        <f>VLOOKUP($B244,'[1]Plant data'!$A$1:$AB$315,20,0)</f>
        <v>NA</v>
      </c>
      <c r="W244" s="8" t="str">
        <f>VLOOKUP($B244,'[1]Plant data'!$A$1:$AB$315,21,0)</f>
        <v>NA</v>
      </c>
      <c r="X244" s="8" t="str">
        <f>VLOOKUP($B244,'[1]Plant data'!$A$1:$AB$315,22,0)</f>
        <v>NA</v>
      </c>
      <c r="Y244" s="8" t="str">
        <f>VLOOKUP($B244,'[1]Plant data'!$A$1:$AB$315,23,0)</f>
        <v>NA</v>
      </c>
      <c r="Z244" s="8" t="str">
        <f>VLOOKUP($B244,'[1]Plant data'!$A$1:$AB$315,24,0)</f>
        <v>NA</v>
      </c>
      <c r="AA244" s="8" t="str">
        <f>VLOOKUP($B244,'[1]Plant data'!$A$1:$AB$315,25,0)</f>
        <v>NA</v>
      </c>
      <c r="AB244" s="8" t="s">
        <v>19</v>
      </c>
    </row>
    <row r="245" spans="1:28">
      <c r="A245" s="5" t="s">
        <v>70</v>
      </c>
      <c r="B245" s="40" t="s">
        <v>36</v>
      </c>
      <c r="C245" s="53">
        <v>1</v>
      </c>
      <c r="D245" s="58">
        <v>15</v>
      </c>
      <c r="E245" s="23">
        <f>(C245/15)*2</f>
        <v>0.13333333333333333</v>
      </c>
      <c r="F245" s="54" t="s">
        <v>19</v>
      </c>
      <c r="G245" s="30">
        <v>1</v>
      </c>
      <c r="H245" s="23">
        <f t="shared" si="19"/>
        <v>0.13333333333333333</v>
      </c>
      <c r="I245" t="s">
        <v>23</v>
      </c>
      <c r="J245" s="11">
        <v>15</v>
      </c>
      <c r="K245" s="11">
        <v>6.9235714289999999</v>
      </c>
      <c r="L245" t="str">
        <f>VLOOKUP(B245,'[1]Plant data'!$A$1:$AB$315,2,0)</f>
        <v>Melastomataceae</v>
      </c>
      <c r="M245" s="9">
        <f>VLOOKUP($B245,'[1]Plant data'!$A$1:$AB$315,6,0)</f>
        <v>6.9700000000000006</v>
      </c>
      <c r="N245" s="9">
        <f>VLOOKUP($B245,'[1]Plant data'!$A$1:$AB$315,7,0)</f>
        <v>5.0200000000000005</v>
      </c>
      <c r="O245" s="8">
        <f>VLOOKUP($B245,'[1]Plant data'!$A$1:$AB$315,10,0)</f>
        <v>0.215</v>
      </c>
      <c r="P245" s="8" t="str">
        <f>VLOOKUP($B245,'[1]Plant data'!$A$1:$AB$315,11,0)</f>
        <v>NA</v>
      </c>
      <c r="Q245" s="8" t="str">
        <f>VLOOKUP($B245,'[1]Plant data'!$A$1:$AB$315,12,0)</f>
        <v>NA</v>
      </c>
      <c r="R245" s="8" t="str">
        <f>VLOOKUP($B245,'[1]Plant data'!$A$1:$AB$315,13,0)</f>
        <v>NA</v>
      </c>
      <c r="S245" s="8" t="str">
        <f>VLOOKUP($B245,'[1]Plant data'!$A$1:$AB$315,14,0)</f>
        <v>NA</v>
      </c>
      <c r="T245" s="11">
        <f>VLOOKUP($B245,'[1]Plant data'!$A$1:$AB$315,15,0)</f>
        <v>31.060000000000002</v>
      </c>
      <c r="U245" s="9" t="str">
        <f>VLOOKUP($B245,'[1]Plant data'!$A$1:$AB$315,19,0)</f>
        <v>NA</v>
      </c>
      <c r="V245" s="8" t="str">
        <f>VLOOKUP($B245,'[1]Plant data'!$A$1:$AB$315,20,0)</f>
        <v>NA</v>
      </c>
      <c r="W245" s="8" t="str">
        <f>VLOOKUP($B245,'[1]Plant data'!$A$1:$AB$315,21,0)</f>
        <v>NA</v>
      </c>
      <c r="X245" s="8" t="str">
        <f>VLOOKUP($B245,'[1]Plant data'!$A$1:$AB$315,22,0)</f>
        <v>NA</v>
      </c>
      <c r="Y245" s="8" t="str">
        <f>VLOOKUP($B245,'[1]Plant data'!$A$1:$AB$315,23,0)</f>
        <v>NA</v>
      </c>
      <c r="Z245" s="8" t="str">
        <f>VLOOKUP($B245,'[1]Plant data'!$A$1:$AB$315,24,0)</f>
        <v>NA</v>
      </c>
      <c r="AA245" s="8" t="str">
        <f>VLOOKUP($B245,'[1]Plant data'!$A$1:$AB$315,25,0)</f>
        <v>NA</v>
      </c>
      <c r="AB245" s="8" t="s">
        <v>19</v>
      </c>
    </row>
    <row r="246" spans="1:28">
      <c r="A246" s="5" t="s">
        <v>32</v>
      </c>
      <c r="B246" s="40" t="s">
        <v>36</v>
      </c>
      <c r="C246" s="53">
        <v>70</v>
      </c>
      <c r="D246" s="58">
        <v>13</v>
      </c>
      <c r="E246" s="8">
        <f>C246/D246</f>
        <v>5.384615384615385</v>
      </c>
      <c r="F246" s="54" t="s">
        <v>19</v>
      </c>
      <c r="G246" s="41">
        <v>8.3333333333333339</v>
      </c>
      <c r="H246" s="23">
        <f t="shared" si="19"/>
        <v>44.871794871794876</v>
      </c>
      <c r="I246" t="s">
        <v>30</v>
      </c>
      <c r="J246" s="11">
        <v>18</v>
      </c>
      <c r="K246" s="11">
        <v>5.1684999999999999</v>
      </c>
      <c r="L246" t="str">
        <f>VLOOKUP(B246,'[1]Plant data'!$A$1:$AB$315,2,0)</f>
        <v>Melastomataceae</v>
      </c>
      <c r="M246" s="9">
        <f>VLOOKUP($B246,'[1]Plant data'!$A$1:$AB$315,6,0)</f>
        <v>6.9700000000000006</v>
      </c>
      <c r="N246" s="9">
        <f>VLOOKUP($B246,'[1]Plant data'!$A$1:$AB$315,7,0)</f>
        <v>5.0200000000000005</v>
      </c>
      <c r="O246" s="8">
        <f>VLOOKUP($B246,'[1]Plant data'!$A$1:$AB$315,10,0)</f>
        <v>0.215</v>
      </c>
      <c r="P246" s="8" t="str">
        <f>VLOOKUP($B246,'[1]Plant data'!$A$1:$AB$315,11,0)</f>
        <v>NA</v>
      </c>
      <c r="Q246" s="8" t="str">
        <f>VLOOKUP($B246,'[1]Plant data'!$A$1:$AB$315,12,0)</f>
        <v>NA</v>
      </c>
      <c r="R246" s="8" t="str">
        <f>VLOOKUP($B246,'[1]Plant data'!$A$1:$AB$315,13,0)</f>
        <v>NA</v>
      </c>
      <c r="S246" s="8" t="str">
        <f>VLOOKUP($B246,'[1]Plant data'!$A$1:$AB$315,14,0)</f>
        <v>NA</v>
      </c>
      <c r="T246" s="11">
        <f>VLOOKUP($B246,'[1]Plant data'!$A$1:$AB$315,15,0)</f>
        <v>31.060000000000002</v>
      </c>
      <c r="U246" s="9" t="str">
        <f>VLOOKUP($B246,'[1]Plant data'!$A$1:$AB$315,19,0)</f>
        <v>NA</v>
      </c>
      <c r="V246" s="8" t="str">
        <f>VLOOKUP($B246,'[1]Plant data'!$A$1:$AB$315,20,0)</f>
        <v>NA</v>
      </c>
      <c r="W246" s="8" t="str">
        <f>VLOOKUP($B246,'[1]Plant data'!$A$1:$AB$315,21,0)</f>
        <v>NA</v>
      </c>
      <c r="X246" s="8" t="str">
        <f>VLOOKUP($B246,'[1]Plant data'!$A$1:$AB$315,22,0)</f>
        <v>NA</v>
      </c>
      <c r="Y246" s="8" t="str">
        <f>VLOOKUP($B246,'[1]Plant data'!$A$1:$AB$315,23,0)</f>
        <v>NA</v>
      </c>
      <c r="Z246" s="8" t="str">
        <f>VLOOKUP($B246,'[1]Plant data'!$A$1:$AB$315,24,0)</f>
        <v>NA</v>
      </c>
      <c r="AA246" s="8" t="str">
        <f>VLOOKUP($B246,'[1]Plant data'!$A$1:$AB$315,25,0)</f>
        <v>NA</v>
      </c>
      <c r="AB246" s="8" t="s">
        <v>19</v>
      </c>
    </row>
    <row r="247" spans="1:28">
      <c r="A247" s="5" t="s">
        <v>41</v>
      </c>
      <c r="B247" s="39" t="s">
        <v>36</v>
      </c>
      <c r="C247" s="53">
        <v>1</v>
      </c>
      <c r="D247" s="58">
        <v>13</v>
      </c>
      <c r="E247" s="8">
        <f>C247/D247</f>
        <v>7.6923076923076927E-2</v>
      </c>
      <c r="F247" s="54" t="s">
        <v>19</v>
      </c>
      <c r="G247" s="41">
        <v>2.1</v>
      </c>
      <c r="H247" s="23">
        <f t="shared" si="19"/>
        <v>0.16153846153846155</v>
      </c>
      <c r="I247" t="s">
        <v>30</v>
      </c>
      <c r="J247" s="11">
        <v>39</v>
      </c>
      <c r="K247" s="11">
        <v>8.2839869279999991</v>
      </c>
      <c r="L247" t="str">
        <f>VLOOKUP(B247,'[1]Plant data'!$A$1:$AB$315,2,0)</f>
        <v>Melastomataceae</v>
      </c>
      <c r="M247" s="9">
        <f>VLOOKUP($B247,'[1]Plant data'!$A$1:$AB$315,6,0)</f>
        <v>6.9700000000000006</v>
      </c>
      <c r="N247" s="9">
        <f>VLOOKUP($B247,'[1]Plant data'!$A$1:$AB$315,7,0)</f>
        <v>5.0200000000000005</v>
      </c>
      <c r="O247" s="8">
        <f>VLOOKUP($B247,'[1]Plant data'!$A$1:$AB$315,10,0)</f>
        <v>0.215</v>
      </c>
      <c r="P247" s="8" t="str">
        <f>VLOOKUP($B247,'[1]Plant data'!$A$1:$AB$315,11,0)</f>
        <v>NA</v>
      </c>
      <c r="Q247" s="8" t="str">
        <f>VLOOKUP($B247,'[1]Plant data'!$A$1:$AB$315,12,0)</f>
        <v>NA</v>
      </c>
      <c r="R247" s="8" t="str">
        <f>VLOOKUP($B247,'[1]Plant data'!$A$1:$AB$315,13,0)</f>
        <v>NA</v>
      </c>
      <c r="S247" s="8" t="str">
        <f>VLOOKUP($B247,'[1]Plant data'!$A$1:$AB$315,14,0)</f>
        <v>NA</v>
      </c>
      <c r="T247" s="11">
        <f>VLOOKUP($B247,'[1]Plant data'!$A$1:$AB$315,15,0)</f>
        <v>31.060000000000002</v>
      </c>
      <c r="U247" s="9" t="str">
        <f>VLOOKUP($B247,'[1]Plant data'!$A$1:$AB$315,19,0)</f>
        <v>NA</v>
      </c>
      <c r="V247" s="8" t="str">
        <f>VLOOKUP($B247,'[1]Plant data'!$A$1:$AB$315,20,0)</f>
        <v>NA</v>
      </c>
      <c r="W247" s="8" t="str">
        <f>VLOOKUP($B247,'[1]Plant data'!$A$1:$AB$315,21,0)</f>
        <v>NA</v>
      </c>
      <c r="X247" s="8" t="str">
        <f>VLOOKUP($B247,'[1]Plant data'!$A$1:$AB$315,22,0)</f>
        <v>NA</v>
      </c>
      <c r="Y247" s="8" t="str">
        <f>VLOOKUP($B247,'[1]Plant data'!$A$1:$AB$315,23,0)</f>
        <v>NA</v>
      </c>
      <c r="Z247" s="8" t="str">
        <f>VLOOKUP($B247,'[1]Plant data'!$A$1:$AB$315,24,0)</f>
        <v>NA</v>
      </c>
      <c r="AA247" s="8" t="str">
        <f>VLOOKUP($B247,'[1]Plant data'!$A$1:$AB$315,25,0)</f>
        <v>NA</v>
      </c>
      <c r="AB247" s="8" t="s">
        <v>19</v>
      </c>
    </row>
    <row r="248" spans="1:28">
      <c r="A248" s="5" t="s">
        <v>41</v>
      </c>
      <c r="B248" s="37" t="s">
        <v>36</v>
      </c>
      <c r="C248" s="53">
        <v>1</v>
      </c>
      <c r="D248" s="11">
        <v>254</v>
      </c>
      <c r="E248" s="8">
        <f>C248/D248</f>
        <v>3.937007874015748E-3</v>
      </c>
      <c r="F248" s="54" t="s">
        <v>19</v>
      </c>
      <c r="G248" s="41">
        <v>2.1</v>
      </c>
      <c r="H248" s="23">
        <f t="shared" si="19"/>
        <v>8.2677165354330708E-3</v>
      </c>
      <c r="I248" t="s">
        <v>30</v>
      </c>
      <c r="J248" s="11">
        <v>39</v>
      </c>
      <c r="K248" s="11">
        <v>8.2839869279999991</v>
      </c>
      <c r="L248" t="str">
        <f>VLOOKUP(B248,'[1]Plant data'!$A$1:$AB$315,2,0)</f>
        <v>Melastomataceae</v>
      </c>
      <c r="M248" s="9">
        <f>VLOOKUP($B248,'[1]Plant data'!$A$1:$AB$315,6,0)</f>
        <v>6.9700000000000006</v>
      </c>
      <c r="N248" s="9">
        <f>VLOOKUP($B248,'[1]Plant data'!$A$1:$AB$315,7,0)</f>
        <v>5.0200000000000005</v>
      </c>
      <c r="O248" s="8">
        <f>VLOOKUP($B248,'[1]Plant data'!$A$1:$AB$315,10,0)</f>
        <v>0.215</v>
      </c>
      <c r="P248" s="8" t="str">
        <f>VLOOKUP($B248,'[1]Plant data'!$A$1:$AB$315,11,0)</f>
        <v>NA</v>
      </c>
      <c r="Q248" s="8" t="str">
        <f>VLOOKUP($B248,'[1]Plant data'!$A$1:$AB$315,12,0)</f>
        <v>NA</v>
      </c>
      <c r="R248" s="8" t="str">
        <f>VLOOKUP($B248,'[1]Plant data'!$A$1:$AB$315,13,0)</f>
        <v>NA</v>
      </c>
      <c r="S248" s="8" t="str">
        <f>VLOOKUP($B248,'[1]Plant data'!$A$1:$AB$315,14,0)</f>
        <v>NA</v>
      </c>
      <c r="T248" s="11">
        <f>VLOOKUP($B248,'[1]Plant data'!$A$1:$AB$315,15,0)</f>
        <v>31.060000000000002</v>
      </c>
      <c r="U248" s="9" t="str">
        <f>VLOOKUP($B248,'[1]Plant data'!$A$1:$AB$315,19,0)</f>
        <v>NA</v>
      </c>
      <c r="V248" s="8" t="str">
        <f>VLOOKUP($B248,'[1]Plant data'!$A$1:$AB$315,20,0)</f>
        <v>NA</v>
      </c>
      <c r="W248" s="8" t="str">
        <f>VLOOKUP($B248,'[1]Plant data'!$A$1:$AB$315,21,0)</f>
        <v>NA</v>
      </c>
      <c r="X248" s="8" t="str">
        <f>VLOOKUP($B248,'[1]Plant data'!$A$1:$AB$315,22,0)</f>
        <v>NA</v>
      </c>
      <c r="Y248" s="8" t="str">
        <f>VLOOKUP($B248,'[1]Plant data'!$A$1:$AB$315,23,0)</f>
        <v>NA</v>
      </c>
      <c r="Z248" s="8" t="str">
        <f>VLOOKUP($B248,'[1]Plant data'!$A$1:$AB$315,24,0)</f>
        <v>NA</v>
      </c>
      <c r="AA248" s="8" t="str">
        <f>VLOOKUP($B248,'[1]Plant data'!$A$1:$AB$315,25,0)</f>
        <v>NA</v>
      </c>
      <c r="AB248" s="8" t="s">
        <v>19</v>
      </c>
    </row>
    <row r="249" spans="1:28">
      <c r="A249" s="5" t="s">
        <v>43</v>
      </c>
      <c r="B249" s="40" t="s">
        <v>36</v>
      </c>
      <c r="C249" s="53">
        <v>1</v>
      </c>
      <c r="D249" s="58">
        <v>13</v>
      </c>
      <c r="E249" s="8">
        <f>C249/D249</f>
        <v>7.6923076923076927E-2</v>
      </c>
      <c r="F249" s="54" t="s">
        <v>19</v>
      </c>
      <c r="G249" s="41">
        <v>2.1</v>
      </c>
      <c r="H249" s="23">
        <f t="shared" si="19"/>
        <v>0.16153846153846155</v>
      </c>
      <c r="I249" t="s">
        <v>30</v>
      </c>
      <c r="J249" s="11">
        <v>32.5</v>
      </c>
      <c r="K249" s="11">
        <v>8.9205555560000001</v>
      </c>
      <c r="L249" t="str">
        <f>VLOOKUP(B249,'[1]Plant data'!$A$1:$AB$315,2,0)</f>
        <v>Melastomataceae</v>
      </c>
      <c r="M249" s="9">
        <f>VLOOKUP($B249,'[1]Plant data'!$A$1:$AB$315,6,0)</f>
        <v>6.9700000000000006</v>
      </c>
      <c r="N249" s="9">
        <f>VLOOKUP($B249,'[1]Plant data'!$A$1:$AB$315,7,0)</f>
        <v>5.0200000000000005</v>
      </c>
      <c r="O249" s="8">
        <f>VLOOKUP($B249,'[1]Plant data'!$A$1:$AB$315,10,0)</f>
        <v>0.215</v>
      </c>
      <c r="P249" s="8" t="str">
        <f>VLOOKUP($B249,'[1]Plant data'!$A$1:$AB$315,11,0)</f>
        <v>NA</v>
      </c>
      <c r="Q249" s="8" t="str">
        <f>VLOOKUP($B249,'[1]Plant data'!$A$1:$AB$315,12,0)</f>
        <v>NA</v>
      </c>
      <c r="R249" s="8" t="str">
        <f>VLOOKUP($B249,'[1]Plant data'!$A$1:$AB$315,13,0)</f>
        <v>NA</v>
      </c>
      <c r="S249" s="8" t="str">
        <f>VLOOKUP($B249,'[1]Plant data'!$A$1:$AB$315,14,0)</f>
        <v>NA</v>
      </c>
      <c r="T249" s="11">
        <f>VLOOKUP($B249,'[1]Plant data'!$A$1:$AB$315,15,0)</f>
        <v>31.060000000000002</v>
      </c>
      <c r="U249" s="9" t="str">
        <f>VLOOKUP($B249,'[1]Plant data'!$A$1:$AB$315,19,0)</f>
        <v>NA</v>
      </c>
      <c r="V249" s="8" t="str">
        <f>VLOOKUP($B249,'[1]Plant data'!$A$1:$AB$315,20,0)</f>
        <v>NA</v>
      </c>
      <c r="W249" s="8" t="str">
        <f>VLOOKUP($B249,'[1]Plant data'!$A$1:$AB$315,21,0)</f>
        <v>NA</v>
      </c>
      <c r="X249" s="8" t="str">
        <f>VLOOKUP($B249,'[1]Plant data'!$A$1:$AB$315,22,0)</f>
        <v>NA</v>
      </c>
      <c r="Y249" s="8" t="str">
        <f>VLOOKUP($B249,'[1]Plant data'!$A$1:$AB$315,23,0)</f>
        <v>NA</v>
      </c>
      <c r="Z249" s="8" t="str">
        <f>VLOOKUP($B249,'[1]Plant data'!$A$1:$AB$315,24,0)</f>
        <v>NA</v>
      </c>
      <c r="AA249" s="8" t="str">
        <f>VLOOKUP($B249,'[1]Plant data'!$A$1:$AB$315,25,0)</f>
        <v>NA</v>
      </c>
      <c r="AB249" s="8" t="s">
        <v>19</v>
      </c>
    </row>
    <row r="250" spans="1:28">
      <c r="A250" s="5" t="s">
        <v>43</v>
      </c>
      <c r="B250" s="37" t="s">
        <v>36</v>
      </c>
      <c r="C250" s="53">
        <v>1</v>
      </c>
      <c r="D250" s="58">
        <v>15</v>
      </c>
      <c r="E250" s="23">
        <f>C250/15</f>
        <v>6.6666666666666666E-2</v>
      </c>
      <c r="F250" s="54" t="s">
        <v>19</v>
      </c>
      <c r="G250" s="9">
        <v>1</v>
      </c>
      <c r="H250" s="23">
        <f t="shared" si="19"/>
        <v>6.6666666666666666E-2</v>
      </c>
      <c r="I250" t="s">
        <v>30</v>
      </c>
      <c r="J250" s="11">
        <v>32.5</v>
      </c>
      <c r="K250" s="11">
        <v>8.9205555560000001</v>
      </c>
      <c r="L250" t="str">
        <f>VLOOKUP(B250,'[1]Plant data'!$A$1:$AB$315,2,0)</f>
        <v>Melastomataceae</v>
      </c>
      <c r="M250" s="9">
        <f>VLOOKUP($B250,'[1]Plant data'!$A$1:$AB$315,6,0)</f>
        <v>6.9700000000000006</v>
      </c>
      <c r="N250" s="9">
        <f>VLOOKUP($B250,'[1]Plant data'!$A$1:$AB$315,7,0)</f>
        <v>5.0200000000000005</v>
      </c>
      <c r="O250" s="8">
        <f>VLOOKUP($B250,'[1]Plant data'!$A$1:$AB$315,10,0)</f>
        <v>0.215</v>
      </c>
      <c r="P250" s="8" t="str">
        <f>VLOOKUP($B250,'[1]Plant data'!$A$1:$AB$315,11,0)</f>
        <v>NA</v>
      </c>
      <c r="Q250" s="8" t="str">
        <f>VLOOKUP($B250,'[1]Plant data'!$A$1:$AB$315,12,0)</f>
        <v>NA</v>
      </c>
      <c r="R250" s="8" t="str">
        <f>VLOOKUP($B250,'[1]Plant data'!$A$1:$AB$315,13,0)</f>
        <v>NA</v>
      </c>
      <c r="S250" s="8" t="str">
        <f>VLOOKUP($B250,'[1]Plant data'!$A$1:$AB$315,14,0)</f>
        <v>NA</v>
      </c>
      <c r="T250" s="11">
        <f>VLOOKUP($B250,'[1]Plant data'!$A$1:$AB$315,15,0)</f>
        <v>31.060000000000002</v>
      </c>
      <c r="U250" s="9" t="str">
        <f>VLOOKUP($B250,'[1]Plant data'!$A$1:$AB$315,19,0)</f>
        <v>NA</v>
      </c>
      <c r="V250" s="8" t="str">
        <f>VLOOKUP($B250,'[1]Plant data'!$A$1:$AB$315,20,0)</f>
        <v>NA</v>
      </c>
      <c r="W250" s="8" t="str">
        <f>VLOOKUP($B250,'[1]Plant data'!$A$1:$AB$315,21,0)</f>
        <v>NA</v>
      </c>
      <c r="X250" s="8" t="str">
        <f>VLOOKUP($B250,'[1]Plant data'!$A$1:$AB$315,22,0)</f>
        <v>NA</v>
      </c>
      <c r="Y250" s="8" t="str">
        <f>VLOOKUP($B250,'[1]Plant data'!$A$1:$AB$315,23,0)</f>
        <v>NA</v>
      </c>
      <c r="Z250" s="8" t="str">
        <f>VLOOKUP($B250,'[1]Plant data'!$A$1:$AB$315,24,0)</f>
        <v>NA</v>
      </c>
      <c r="AA250" s="8" t="str">
        <f>VLOOKUP($B250,'[1]Plant data'!$A$1:$AB$315,25,0)</f>
        <v>NA</v>
      </c>
      <c r="AB250" s="8" t="s">
        <v>19</v>
      </c>
    </row>
    <row r="251" spans="1:28">
      <c r="A251" s="5" t="s">
        <v>46</v>
      </c>
      <c r="B251" s="40" t="s">
        <v>36</v>
      </c>
      <c r="C251" s="53">
        <v>3</v>
      </c>
      <c r="D251" s="58">
        <v>13</v>
      </c>
      <c r="E251" s="8">
        <f>C251/D251</f>
        <v>0.23076923076923078</v>
      </c>
      <c r="F251" s="54" t="s">
        <v>19</v>
      </c>
      <c r="G251" s="41">
        <v>10.029292929292929</v>
      </c>
      <c r="H251" s="23">
        <f t="shared" si="19"/>
        <v>2.3144522144522144</v>
      </c>
      <c r="I251" t="s">
        <v>47</v>
      </c>
      <c r="J251" s="11">
        <v>54</v>
      </c>
      <c r="K251" s="11">
        <v>11.14875</v>
      </c>
      <c r="L251" t="str">
        <f>VLOOKUP(B251,'[1]Plant data'!$A$1:$AB$315,2,0)</f>
        <v>Melastomataceae</v>
      </c>
      <c r="M251" s="9">
        <f>VLOOKUP($B251,'[1]Plant data'!$A$1:$AB$315,6,0)</f>
        <v>6.9700000000000006</v>
      </c>
      <c r="N251" s="9">
        <f>VLOOKUP($B251,'[1]Plant data'!$A$1:$AB$315,7,0)</f>
        <v>5.0200000000000005</v>
      </c>
      <c r="O251" s="8">
        <f>VLOOKUP($B251,'[1]Plant data'!$A$1:$AB$315,10,0)</f>
        <v>0.215</v>
      </c>
      <c r="P251" s="8" t="str">
        <f>VLOOKUP($B251,'[1]Plant data'!$A$1:$AB$315,11,0)</f>
        <v>NA</v>
      </c>
      <c r="Q251" s="8" t="str">
        <f>VLOOKUP($B251,'[1]Plant data'!$A$1:$AB$315,12,0)</f>
        <v>NA</v>
      </c>
      <c r="R251" s="8" t="str">
        <f>VLOOKUP($B251,'[1]Plant data'!$A$1:$AB$315,13,0)</f>
        <v>NA</v>
      </c>
      <c r="S251" s="8" t="str">
        <f>VLOOKUP($B251,'[1]Plant data'!$A$1:$AB$315,14,0)</f>
        <v>NA</v>
      </c>
      <c r="T251" s="11">
        <f>VLOOKUP($B251,'[1]Plant data'!$A$1:$AB$315,15,0)</f>
        <v>31.060000000000002</v>
      </c>
      <c r="U251" s="9" t="str">
        <f>VLOOKUP($B251,'[1]Plant data'!$A$1:$AB$315,19,0)</f>
        <v>NA</v>
      </c>
      <c r="V251" s="8" t="str">
        <f>VLOOKUP($B251,'[1]Plant data'!$A$1:$AB$315,20,0)</f>
        <v>NA</v>
      </c>
      <c r="W251" s="8" t="str">
        <f>VLOOKUP($B251,'[1]Plant data'!$A$1:$AB$315,21,0)</f>
        <v>NA</v>
      </c>
      <c r="X251" s="8" t="str">
        <f>VLOOKUP($B251,'[1]Plant data'!$A$1:$AB$315,22,0)</f>
        <v>NA</v>
      </c>
      <c r="Y251" s="8" t="str">
        <f>VLOOKUP($B251,'[1]Plant data'!$A$1:$AB$315,23,0)</f>
        <v>NA</v>
      </c>
      <c r="Z251" s="8" t="str">
        <f>VLOOKUP($B251,'[1]Plant data'!$A$1:$AB$315,24,0)</f>
        <v>NA</v>
      </c>
      <c r="AA251" s="8" t="str">
        <f>VLOOKUP($B251,'[1]Plant data'!$A$1:$AB$315,25,0)</f>
        <v>NA</v>
      </c>
      <c r="AB251" s="8" t="s">
        <v>19</v>
      </c>
    </row>
    <row r="252" spans="1:28">
      <c r="A252" s="5" t="s">
        <v>110</v>
      </c>
      <c r="B252" s="38" t="s">
        <v>163</v>
      </c>
      <c r="C252" s="53">
        <v>2</v>
      </c>
      <c r="D252" s="11" t="s">
        <v>19</v>
      </c>
      <c r="E252" s="8" t="s">
        <v>19</v>
      </c>
      <c r="F252" s="54" t="s">
        <v>19</v>
      </c>
      <c r="G252" s="9" t="s">
        <v>19</v>
      </c>
      <c r="H252" s="23" t="s">
        <v>19</v>
      </c>
      <c r="I252" t="s">
        <v>101</v>
      </c>
      <c r="J252" s="11">
        <v>1250</v>
      </c>
      <c r="K252" s="11">
        <v>19.114999999999998</v>
      </c>
      <c r="L252" t="str">
        <f>VLOOKUP(B252,'[1]Plant data'!$A$1:$AB$315,2,0)</f>
        <v>Sabiaceae</v>
      </c>
      <c r="M252" s="9">
        <f>VLOOKUP($B252,'[1]Plant data'!$A$1:$AB$315,6,0)</f>
        <v>21</v>
      </c>
      <c r="N252" s="9">
        <f>VLOOKUP($B252,'[1]Plant data'!$A$1:$AB$315,7,0)</f>
        <v>29</v>
      </c>
      <c r="O252" s="8">
        <f>VLOOKUP($B252,'[1]Plant data'!$A$1:$AB$315,10,0)</f>
        <v>5.2</v>
      </c>
      <c r="P252" s="8" t="str">
        <f>VLOOKUP($B252,'[1]Plant data'!$A$1:$AB$315,11,0)</f>
        <v>NA</v>
      </c>
      <c r="Q252" s="8">
        <f>VLOOKUP($B252,'[1]Plant data'!$A$1:$AB$315,12,0)</f>
        <v>1.1000000000000001</v>
      </c>
      <c r="R252" s="8" t="str">
        <f>VLOOKUP($B252,'[1]Plant data'!$A$1:$AB$315,13,0)</f>
        <v>NA</v>
      </c>
      <c r="S252" s="8" t="str">
        <f>VLOOKUP($B252,'[1]Plant data'!$A$1:$AB$315,14,0)</f>
        <v>NA</v>
      </c>
      <c r="T252" s="11">
        <f>VLOOKUP($B252,'[1]Plant data'!$A$1:$AB$315,15,0)</f>
        <v>1</v>
      </c>
      <c r="U252" s="9" t="str">
        <f>VLOOKUP($B252,'[1]Plant data'!$A$1:$AB$315,19,0)</f>
        <v>NA</v>
      </c>
      <c r="V252" s="8" t="str">
        <f>VLOOKUP($B252,'[1]Plant data'!$A$1:$AB$315,20,0)</f>
        <v>NA</v>
      </c>
      <c r="W252" s="8" t="str">
        <f>VLOOKUP($B252,'[1]Plant data'!$A$1:$AB$315,21,0)</f>
        <v>NA</v>
      </c>
      <c r="X252" s="8" t="str">
        <f>VLOOKUP($B252,'[1]Plant data'!$A$1:$AB$315,22,0)</f>
        <v>NA</v>
      </c>
      <c r="Y252" s="8" t="str">
        <f>VLOOKUP($B252,'[1]Plant data'!$A$1:$AB$315,23,0)</f>
        <v>NA</v>
      </c>
      <c r="Z252" s="8" t="str">
        <f>VLOOKUP($B252,'[1]Plant data'!$A$1:$AB$315,24,0)</f>
        <v>NA</v>
      </c>
      <c r="AA252" s="8" t="str">
        <f>VLOOKUP($B252,'[1]Plant data'!$A$1:$AB$315,25,0)</f>
        <v>NA</v>
      </c>
      <c r="AB252" s="8" t="s">
        <v>19</v>
      </c>
    </row>
    <row r="253" spans="1:28">
      <c r="A253" s="5" t="s">
        <v>65</v>
      </c>
      <c r="B253" s="39" t="s">
        <v>78</v>
      </c>
      <c r="C253" s="53">
        <v>1</v>
      </c>
      <c r="D253" s="58">
        <v>30</v>
      </c>
      <c r="E253" s="8">
        <f>C253/D253</f>
        <v>3.3333333333333333E-2</v>
      </c>
      <c r="F253" s="54">
        <v>3</v>
      </c>
      <c r="G253" s="9">
        <f>F253/C253</f>
        <v>3</v>
      </c>
      <c r="H253" s="23">
        <f>E253*G253</f>
        <v>0.1</v>
      </c>
      <c r="I253" t="s">
        <v>23</v>
      </c>
      <c r="J253" s="11">
        <v>11</v>
      </c>
      <c r="K253" s="11">
        <v>6.1466666669999999</v>
      </c>
      <c r="L253" t="str">
        <f>VLOOKUP(B253,'[1]Plant data'!$A$1:$AB$315,2,0)</f>
        <v>Meliaceae</v>
      </c>
      <c r="M253" s="9">
        <f>VLOOKUP($B253,'[1]Plant data'!$A$1:$AB$315,6,0)</f>
        <v>12</v>
      </c>
      <c r="N253" s="9">
        <f>VLOOKUP($B253,'[1]Plant data'!$A$1:$AB$315,7,0)</f>
        <v>18</v>
      </c>
      <c r="O253" s="8">
        <f>VLOOKUP($B253,'[1]Plant data'!$A$1:$AB$315,10,0)</f>
        <v>1.19</v>
      </c>
      <c r="P253" s="8" t="str">
        <f>VLOOKUP($B253,'[1]Plant data'!$A$1:$AB$315,11,0)</f>
        <v>NA</v>
      </c>
      <c r="Q253" s="8" t="str">
        <f>VLOOKUP($B253,'[1]Plant data'!$A$1:$AB$315,12,0)</f>
        <v>NA</v>
      </c>
      <c r="R253" s="8">
        <f>VLOOKUP($B253,'[1]Plant data'!$A$1:$AB$315,13,0)</f>
        <v>0.27</v>
      </c>
      <c r="S253" s="8" t="str">
        <f>VLOOKUP($B253,'[1]Plant data'!$A$1:$AB$315,14,0)</f>
        <v>NA</v>
      </c>
      <c r="T253" s="11" t="str">
        <f>VLOOKUP($B253,'[1]Plant data'!$A$1:$AB$315,15,0)</f>
        <v>NA</v>
      </c>
      <c r="U253" s="9">
        <f>VLOOKUP($B253,'[1]Plant data'!$A$1:$AB$315,19,0)</f>
        <v>0.629</v>
      </c>
      <c r="V253" s="8">
        <f>VLOOKUP($B253,'[1]Plant data'!$A$1:$AB$315,20,0)</f>
        <v>4.8850000000000005E-2</v>
      </c>
      <c r="W253" s="8">
        <f>VLOOKUP($B253,'[1]Plant data'!$A$1:$AB$315,21,0)</f>
        <v>6.0950000000000004E-2</v>
      </c>
      <c r="X253" s="8" t="str">
        <f>VLOOKUP($B253,'[1]Plant data'!$A$1:$AB$315,22,0)</f>
        <v>NA</v>
      </c>
      <c r="Y253" s="8" t="str">
        <f>VLOOKUP($B253,'[1]Plant data'!$A$1:$AB$315,23,0)</f>
        <v>NA</v>
      </c>
      <c r="Z253" s="8" t="str">
        <f>VLOOKUP($B253,'[1]Plant data'!$A$1:$AB$315,24,0)</f>
        <v>NA</v>
      </c>
      <c r="AA253" s="8" t="str">
        <f>VLOOKUP($B253,'[1]Plant data'!$A$1:$AB$315,25,0)</f>
        <v>NA</v>
      </c>
      <c r="AB253" s="8" t="s">
        <v>19</v>
      </c>
    </row>
    <row r="254" spans="1:28">
      <c r="A254" s="5" t="s">
        <v>28</v>
      </c>
      <c r="B254" s="39" t="s">
        <v>78</v>
      </c>
      <c r="C254" s="53">
        <v>26</v>
      </c>
      <c r="D254" s="58">
        <v>30</v>
      </c>
      <c r="E254" s="8">
        <f>C254/D254</f>
        <v>0.8666666666666667</v>
      </c>
      <c r="F254" s="54">
        <v>51</v>
      </c>
      <c r="G254" s="9">
        <f>F254/C254</f>
        <v>1.9615384615384615</v>
      </c>
      <c r="H254" s="23">
        <f>E254*G254</f>
        <v>1.7</v>
      </c>
      <c r="I254" t="s">
        <v>30</v>
      </c>
      <c r="J254" s="11">
        <v>18</v>
      </c>
      <c r="K254" s="11">
        <v>7.4188405800000004</v>
      </c>
      <c r="L254" t="str">
        <f>VLOOKUP(B254,'[1]Plant data'!$A$1:$AB$315,2,0)</f>
        <v>Meliaceae</v>
      </c>
      <c r="M254" s="9">
        <f>VLOOKUP($B254,'[1]Plant data'!$A$1:$AB$315,6,0)</f>
        <v>12</v>
      </c>
      <c r="N254" s="9">
        <f>VLOOKUP($B254,'[1]Plant data'!$A$1:$AB$315,7,0)</f>
        <v>18</v>
      </c>
      <c r="O254" s="8">
        <f>VLOOKUP($B254,'[1]Plant data'!$A$1:$AB$315,10,0)</f>
        <v>1.19</v>
      </c>
      <c r="P254" s="8" t="str">
        <f>VLOOKUP($B254,'[1]Plant data'!$A$1:$AB$315,11,0)</f>
        <v>NA</v>
      </c>
      <c r="Q254" s="8" t="str">
        <f>VLOOKUP($B254,'[1]Plant data'!$A$1:$AB$315,12,0)</f>
        <v>NA</v>
      </c>
      <c r="R254" s="8">
        <f>VLOOKUP($B254,'[1]Plant data'!$A$1:$AB$315,13,0)</f>
        <v>0.27</v>
      </c>
      <c r="S254" s="8" t="str">
        <f>VLOOKUP($B254,'[1]Plant data'!$A$1:$AB$315,14,0)</f>
        <v>NA</v>
      </c>
      <c r="T254" s="11" t="str">
        <f>VLOOKUP($B254,'[1]Plant data'!$A$1:$AB$315,15,0)</f>
        <v>NA</v>
      </c>
      <c r="U254" s="9">
        <f>VLOOKUP($B254,'[1]Plant data'!$A$1:$AB$315,19,0)</f>
        <v>0.629</v>
      </c>
      <c r="V254" s="8">
        <f>VLOOKUP($B254,'[1]Plant data'!$A$1:$AB$315,20,0)</f>
        <v>4.8850000000000005E-2</v>
      </c>
      <c r="W254" s="8">
        <f>VLOOKUP($B254,'[1]Plant data'!$A$1:$AB$315,21,0)</f>
        <v>6.0950000000000004E-2</v>
      </c>
      <c r="X254" s="8" t="str">
        <f>VLOOKUP($B254,'[1]Plant data'!$A$1:$AB$315,22,0)</f>
        <v>NA</v>
      </c>
      <c r="Y254" s="8" t="str">
        <f>VLOOKUP($B254,'[1]Plant data'!$A$1:$AB$315,23,0)</f>
        <v>NA</v>
      </c>
      <c r="Z254" s="8" t="str">
        <f>VLOOKUP($B254,'[1]Plant data'!$A$1:$AB$315,24,0)</f>
        <v>NA</v>
      </c>
      <c r="AA254" s="8" t="str">
        <f>VLOOKUP($B254,'[1]Plant data'!$A$1:$AB$315,25,0)</f>
        <v>NA</v>
      </c>
      <c r="AB254" s="8" t="s">
        <v>19</v>
      </c>
    </row>
    <row r="255" spans="1:28">
      <c r="A255" s="5" t="s">
        <v>43</v>
      </c>
      <c r="B255" s="37" t="s">
        <v>78</v>
      </c>
      <c r="C255" s="53">
        <v>120</v>
      </c>
      <c r="D255" s="58">
        <v>30</v>
      </c>
      <c r="E255" s="8">
        <f>C255/30</f>
        <v>4</v>
      </c>
      <c r="F255" s="54">
        <v>253</v>
      </c>
      <c r="G255" s="9">
        <v>2.78</v>
      </c>
      <c r="H255" s="23">
        <f>E255*G255</f>
        <v>11.12</v>
      </c>
      <c r="I255" t="s">
        <v>30</v>
      </c>
      <c r="J255" s="11">
        <v>32.5</v>
      </c>
      <c r="K255" s="11">
        <v>8.9205555560000001</v>
      </c>
      <c r="L255" t="str">
        <f>VLOOKUP(B255,'[1]Plant data'!$A$1:$AB$315,2,0)</f>
        <v>Meliaceae</v>
      </c>
      <c r="M255" s="9">
        <f>VLOOKUP($B255,'[1]Plant data'!$A$1:$AB$315,6,0)</f>
        <v>12</v>
      </c>
      <c r="N255" s="9">
        <f>VLOOKUP($B255,'[1]Plant data'!$A$1:$AB$315,7,0)</f>
        <v>18</v>
      </c>
      <c r="O255" s="8">
        <f>VLOOKUP($B255,'[1]Plant data'!$A$1:$AB$315,10,0)</f>
        <v>1.19</v>
      </c>
      <c r="P255" s="8" t="str">
        <f>VLOOKUP($B255,'[1]Plant data'!$A$1:$AB$315,11,0)</f>
        <v>NA</v>
      </c>
      <c r="Q255" s="8" t="str">
        <f>VLOOKUP($B255,'[1]Plant data'!$A$1:$AB$315,12,0)</f>
        <v>NA</v>
      </c>
      <c r="R255" s="8">
        <f>VLOOKUP($B255,'[1]Plant data'!$A$1:$AB$315,13,0)</f>
        <v>0.27</v>
      </c>
      <c r="S255" s="8" t="str">
        <f>VLOOKUP($B255,'[1]Plant data'!$A$1:$AB$315,14,0)</f>
        <v>NA</v>
      </c>
      <c r="T255" s="11" t="str">
        <f>VLOOKUP($B255,'[1]Plant data'!$A$1:$AB$315,15,0)</f>
        <v>NA</v>
      </c>
      <c r="U255" s="9">
        <f>VLOOKUP($B255,'[1]Plant data'!$A$1:$AB$315,19,0)</f>
        <v>0.629</v>
      </c>
      <c r="V255" s="8">
        <f>VLOOKUP($B255,'[1]Plant data'!$A$1:$AB$315,20,0)</f>
        <v>4.8850000000000005E-2</v>
      </c>
      <c r="W255" s="8">
        <f>VLOOKUP($B255,'[1]Plant data'!$A$1:$AB$315,21,0)</f>
        <v>6.0950000000000004E-2</v>
      </c>
      <c r="X255" s="8" t="str">
        <f>VLOOKUP($B255,'[1]Plant data'!$A$1:$AB$315,22,0)</f>
        <v>NA</v>
      </c>
      <c r="Y255" s="8" t="str">
        <f>VLOOKUP($B255,'[1]Plant data'!$A$1:$AB$315,23,0)</f>
        <v>NA</v>
      </c>
      <c r="Z255" s="8" t="str">
        <f>VLOOKUP($B255,'[1]Plant data'!$A$1:$AB$315,24,0)</f>
        <v>NA</v>
      </c>
      <c r="AA255" s="8" t="str">
        <f>VLOOKUP($B255,'[1]Plant data'!$A$1:$AB$315,25,0)</f>
        <v>NA</v>
      </c>
      <c r="AB255" s="8" t="s">
        <v>19</v>
      </c>
    </row>
    <row r="256" spans="1:28">
      <c r="A256" s="5" t="s">
        <v>50</v>
      </c>
      <c r="B256" s="37" t="s">
        <v>78</v>
      </c>
      <c r="C256" s="53">
        <v>3</v>
      </c>
      <c r="D256" s="58">
        <v>30</v>
      </c>
      <c r="E256" s="8">
        <f>C256/30</f>
        <v>0.1</v>
      </c>
      <c r="F256" s="54">
        <v>8</v>
      </c>
      <c r="G256" s="9">
        <f>F256/C256</f>
        <v>2.6666666666666665</v>
      </c>
      <c r="H256" s="23">
        <f>E256*G256</f>
        <v>0.26666666666666666</v>
      </c>
      <c r="I256" t="s">
        <v>47</v>
      </c>
      <c r="J256" s="11">
        <v>69.5</v>
      </c>
      <c r="K256" s="11">
        <v>13.253214290000001</v>
      </c>
      <c r="L256" t="str">
        <f>VLOOKUP(B256,'[1]Plant data'!$A$1:$AB$315,2,0)</f>
        <v>Meliaceae</v>
      </c>
      <c r="M256" s="9">
        <f>VLOOKUP($B256,'[1]Plant data'!$A$1:$AB$315,6,0)</f>
        <v>12</v>
      </c>
      <c r="N256" s="9">
        <f>VLOOKUP($B256,'[1]Plant data'!$A$1:$AB$315,7,0)</f>
        <v>18</v>
      </c>
      <c r="O256" s="8">
        <f>VLOOKUP($B256,'[1]Plant data'!$A$1:$AB$315,10,0)</f>
        <v>1.19</v>
      </c>
      <c r="P256" s="8" t="str">
        <f>VLOOKUP($B256,'[1]Plant data'!$A$1:$AB$315,11,0)</f>
        <v>NA</v>
      </c>
      <c r="Q256" s="8" t="str">
        <f>VLOOKUP($B256,'[1]Plant data'!$A$1:$AB$315,12,0)</f>
        <v>NA</v>
      </c>
      <c r="R256" s="8">
        <f>VLOOKUP($B256,'[1]Plant data'!$A$1:$AB$315,13,0)</f>
        <v>0.27</v>
      </c>
      <c r="S256" s="8" t="str">
        <f>VLOOKUP($B256,'[1]Plant data'!$A$1:$AB$315,14,0)</f>
        <v>NA</v>
      </c>
      <c r="T256" s="11" t="str">
        <f>VLOOKUP($B256,'[1]Plant data'!$A$1:$AB$315,15,0)</f>
        <v>NA</v>
      </c>
      <c r="U256" s="9">
        <f>VLOOKUP($B256,'[1]Plant data'!$A$1:$AB$315,19,0)</f>
        <v>0.629</v>
      </c>
      <c r="V256" s="8">
        <f>VLOOKUP($B256,'[1]Plant data'!$A$1:$AB$315,20,0)</f>
        <v>4.8850000000000005E-2</v>
      </c>
      <c r="W256" s="8">
        <f>VLOOKUP($B256,'[1]Plant data'!$A$1:$AB$315,21,0)</f>
        <v>6.0950000000000004E-2</v>
      </c>
      <c r="X256" s="8" t="str">
        <f>VLOOKUP($B256,'[1]Plant data'!$A$1:$AB$315,22,0)</f>
        <v>NA</v>
      </c>
      <c r="Y256" s="8" t="str">
        <f>VLOOKUP($B256,'[1]Plant data'!$A$1:$AB$315,23,0)</f>
        <v>NA</v>
      </c>
      <c r="Z256" s="8" t="str">
        <f>VLOOKUP($B256,'[1]Plant data'!$A$1:$AB$315,24,0)</f>
        <v>NA</v>
      </c>
      <c r="AA256" s="8" t="str">
        <f>VLOOKUP($B256,'[1]Plant data'!$A$1:$AB$315,25,0)</f>
        <v>NA</v>
      </c>
      <c r="AB256" s="8" t="s">
        <v>19</v>
      </c>
    </row>
    <row r="257" spans="1:28">
      <c r="A257" s="5" t="s">
        <v>50</v>
      </c>
      <c r="B257" s="37" t="s">
        <v>240</v>
      </c>
      <c r="C257" s="53" t="s">
        <v>19</v>
      </c>
      <c r="D257" s="11" t="s">
        <v>19</v>
      </c>
      <c r="E257" s="76">
        <v>0.93333333333333335</v>
      </c>
      <c r="F257" s="54" t="s">
        <v>19</v>
      </c>
      <c r="G257" s="9">
        <v>4.5</v>
      </c>
      <c r="H257" s="23">
        <f>E257*G257</f>
        <v>4.2</v>
      </c>
      <c r="I257" t="s">
        <v>47</v>
      </c>
      <c r="J257" s="11">
        <v>69.5</v>
      </c>
      <c r="K257" s="11">
        <v>13.253214290000001</v>
      </c>
      <c r="L257" t="str">
        <f>VLOOKUP(B257,'[1]Plant data'!$A$1:$AB$315,2,0)</f>
        <v>Sapindaceae</v>
      </c>
      <c r="M257" s="9">
        <f>VLOOKUP($B257,'[1]Plant data'!$A$1:$AB$315,6,0)</f>
        <v>10.897777777777778</v>
      </c>
      <c r="N257" s="9">
        <f>VLOOKUP($B257,'[1]Plant data'!$A$1:$AB$315,7,0)</f>
        <v>11.127777777777778</v>
      </c>
      <c r="O257" s="8">
        <f>VLOOKUP($B257,'[1]Plant data'!$A$1:$AB$315,10,0)</f>
        <v>0.23400000000000004</v>
      </c>
      <c r="P257" s="8" t="str">
        <f>VLOOKUP($B257,'[1]Plant data'!$A$1:$AB$315,11,0)</f>
        <v>NA</v>
      </c>
      <c r="Q257" s="8">
        <f>VLOOKUP($B257,'[1]Plant data'!$A$1:$AB$315,12,0)</f>
        <v>0.10277777777777776</v>
      </c>
      <c r="R257" s="8">
        <f>VLOOKUP($B257,'[1]Plant data'!$A$1:$AB$315,13,0)</f>
        <v>0.14022222222222222</v>
      </c>
      <c r="S257" s="8">
        <f>VLOOKUP($B257,'[1]Plant data'!$A$1:$AB$315,14,0)</f>
        <v>9.3777777777777793E-2</v>
      </c>
      <c r="T257" s="11">
        <f>VLOOKUP($B257,'[1]Plant data'!$A$1:$AB$315,15,0)</f>
        <v>1</v>
      </c>
      <c r="U257" s="9" t="str">
        <f>VLOOKUP($B257,'[1]Plant data'!$A$1:$AB$315,19,0)</f>
        <v>NA</v>
      </c>
      <c r="V257" s="8" t="str">
        <f>VLOOKUP($B257,'[1]Plant data'!$A$1:$AB$315,20,0)</f>
        <v>NA</v>
      </c>
      <c r="W257" s="8">
        <f>VLOOKUP($B257,'[1]Plant data'!$A$1:$AB$315,21,0)</f>
        <v>8.7809999999999999E-2</v>
      </c>
      <c r="X257" s="8" t="str">
        <f>VLOOKUP($B257,'[1]Plant data'!$A$1:$AB$315,22,0)</f>
        <v>NA</v>
      </c>
      <c r="Y257" s="8" t="str">
        <f>VLOOKUP($B257,'[1]Plant data'!$A$1:$AB$315,23,0)</f>
        <v>NA</v>
      </c>
      <c r="Z257" s="8" t="str">
        <f>VLOOKUP($B257,'[1]Plant data'!$A$1:$AB$315,24,0)</f>
        <v>NA</v>
      </c>
      <c r="AA257" s="8" t="str">
        <f>VLOOKUP($B257,'[1]Plant data'!$A$1:$AB$315,25,0)</f>
        <v>NA</v>
      </c>
      <c r="AB257" s="8" t="s">
        <v>19</v>
      </c>
    </row>
    <row r="258" spans="1:28">
      <c r="A258" s="5" t="s">
        <v>110</v>
      </c>
      <c r="B258" s="37" t="s">
        <v>162</v>
      </c>
      <c r="C258" s="53">
        <v>1</v>
      </c>
      <c r="D258" s="11" t="s">
        <v>19</v>
      </c>
      <c r="E258" s="8" t="s">
        <v>19</v>
      </c>
      <c r="F258" s="54" t="s">
        <v>19</v>
      </c>
      <c r="G258" s="9" t="s">
        <v>19</v>
      </c>
      <c r="H258" s="23" t="s">
        <v>19</v>
      </c>
      <c r="I258" t="s">
        <v>101</v>
      </c>
      <c r="J258" s="11">
        <v>1250</v>
      </c>
      <c r="K258" s="11">
        <v>19.114999999999998</v>
      </c>
      <c r="L258" t="str">
        <f>VLOOKUP(B258,'[1]Plant data'!$A$1:$AB$315,2,0)</f>
        <v>Sapindaceae</v>
      </c>
      <c r="M258" s="9">
        <f>VLOOKUP($B258,'[1]Plant data'!$A$1:$AB$315,6,0)</f>
        <v>11.5</v>
      </c>
      <c r="N258" s="9">
        <f>VLOOKUP($B258,'[1]Plant data'!$A$1:$AB$315,7,0)</f>
        <v>14.5</v>
      </c>
      <c r="O258" s="8" t="str">
        <f>VLOOKUP($B258,'[1]Plant data'!$A$1:$AB$315,10,0)</f>
        <v>NA</v>
      </c>
      <c r="P258" s="8" t="str">
        <f>VLOOKUP($B258,'[1]Plant data'!$A$1:$AB$315,11,0)</f>
        <v>NA</v>
      </c>
      <c r="Q258" s="8">
        <f>VLOOKUP($B258,'[1]Plant data'!$A$1:$AB$315,12,0)</f>
        <v>0.5</v>
      </c>
      <c r="R258" s="8" t="str">
        <f>VLOOKUP($B258,'[1]Plant data'!$A$1:$AB$315,13,0)</f>
        <v>NA</v>
      </c>
      <c r="S258" s="8" t="str">
        <f>VLOOKUP($B258,'[1]Plant data'!$A$1:$AB$315,14,0)</f>
        <v>NA</v>
      </c>
      <c r="T258" s="11">
        <f>VLOOKUP($B258,'[1]Plant data'!$A$1:$AB$315,15,0)</f>
        <v>3</v>
      </c>
      <c r="U258" s="9" t="str">
        <f>VLOOKUP($B258,'[1]Plant data'!$A$1:$AB$315,19,0)</f>
        <v>NA</v>
      </c>
      <c r="V258" s="8">
        <f>VLOOKUP($B258,'[1]Plant data'!$A$1:$AB$315,20,0)</f>
        <v>0.27699999999999997</v>
      </c>
      <c r="W258" s="8" t="str">
        <f>VLOOKUP($B258,'[1]Plant data'!$A$1:$AB$315,21,0)</f>
        <v>NA</v>
      </c>
      <c r="X258" s="8" t="str">
        <f>VLOOKUP($B258,'[1]Plant data'!$A$1:$AB$315,22,0)</f>
        <v>NA</v>
      </c>
      <c r="Y258" s="8" t="str">
        <f>VLOOKUP($B258,'[1]Plant data'!$A$1:$AB$315,23,0)</f>
        <v>NA</v>
      </c>
      <c r="Z258" s="8" t="str">
        <f>VLOOKUP($B258,'[1]Plant data'!$A$1:$AB$315,24,0)</f>
        <v>NA</v>
      </c>
      <c r="AA258" s="8" t="str">
        <f>VLOOKUP($B258,'[1]Plant data'!$A$1:$AB$315,25,0)</f>
        <v>NA</v>
      </c>
      <c r="AB258" s="8" t="s">
        <v>19</v>
      </c>
    </row>
    <row r="259" spans="1:28">
      <c r="A259" s="5" t="s">
        <v>28</v>
      </c>
      <c r="B259" s="39" t="s">
        <v>162</v>
      </c>
      <c r="C259" s="53">
        <v>6</v>
      </c>
      <c r="D259" s="58">
        <v>30</v>
      </c>
      <c r="E259" s="8">
        <f>C259/D259</f>
        <v>0.2</v>
      </c>
      <c r="F259" s="56">
        <v>4</v>
      </c>
      <c r="G259" s="9">
        <f>F259/C259</f>
        <v>0.66666666666666663</v>
      </c>
      <c r="H259" s="23">
        <f>E259*G259</f>
        <v>0.13333333333333333</v>
      </c>
      <c r="I259" t="s">
        <v>30</v>
      </c>
      <c r="J259" s="11">
        <v>18</v>
      </c>
      <c r="K259" s="11">
        <v>7.4188405800000004</v>
      </c>
      <c r="L259" t="str">
        <f>VLOOKUP(B259,'[1]Plant data'!$A$1:$AB$315,2,0)</f>
        <v>Sapindaceae</v>
      </c>
      <c r="M259" s="9">
        <f>VLOOKUP($B259,'[1]Plant data'!$A$1:$AB$315,6,0)</f>
        <v>11.5</v>
      </c>
      <c r="N259" s="9">
        <f>VLOOKUP($B259,'[1]Plant data'!$A$1:$AB$315,7,0)</f>
        <v>14.5</v>
      </c>
      <c r="O259" s="8" t="str">
        <f>VLOOKUP($B259,'[1]Plant data'!$A$1:$AB$315,10,0)</f>
        <v>NA</v>
      </c>
      <c r="P259" s="8" t="str">
        <f>VLOOKUP($B259,'[1]Plant data'!$A$1:$AB$315,11,0)</f>
        <v>NA</v>
      </c>
      <c r="Q259" s="8">
        <f>VLOOKUP($B259,'[1]Plant data'!$A$1:$AB$315,12,0)</f>
        <v>0.5</v>
      </c>
      <c r="R259" s="8" t="str">
        <f>VLOOKUP($B259,'[1]Plant data'!$A$1:$AB$315,13,0)</f>
        <v>NA</v>
      </c>
      <c r="S259" s="8" t="str">
        <f>VLOOKUP($B259,'[1]Plant data'!$A$1:$AB$315,14,0)</f>
        <v>NA</v>
      </c>
      <c r="T259" s="11">
        <f>VLOOKUP($B259,'[1]Plant data'!$A$1:$AB$315,15,0)</f>
        <v>3</v>
      </c>
      <c r="U259" s="9" t="str">
        <f>VLOOKUP($B259,'[1]Plant data'!$A$1:$AB$315,19,0)</f>
        <v>NA</v>
      </c>
      <c r="V259" s="8">
        <f>VLOOKUP($B259,'[1]Plant data'!$A$1:$AB$315,20,0)</f>
        <v>0.27699999999999997</v>
      </c>
      <c r="W259" s="8" t="str">
        <f>VLOOKUP($B259,'[1]Plant data'!$A$1:$AB$315,21,0)</f>
        <v>NA</v>
      </c>
      <c r="X259" s="8" t="str">
        <f>VLOOKUP($B259,'[1]Plant data'!$A$1:$AB$315,22,0)</f>
        <v>NA</v>
      </c>
      <c r="Y259" s="8" t="str">
        <f>VLOOKUP($B259,'[1]Plant data'!$A$1:$AB$315,23,0)</f>
        <v>NA</v>
      </c>
      <c r="Z259" s="8" t="str">
        <f>VLOOKUP($B259,'[1]Plant data'!$A$1:$AB$315,24,0)</f>
        <v>NA</v>
      </c>
      <c r="AA259" s="8" t="str">
        <f>VLOOKUP($B259,'[1]Plant data'!$A$1:$AB$315,25,0)</f>
        <v>NA</v>
      </c>
      <c r="AB259" s="8" t="s">
        <v>19</v>
      </c>
    </row>
    <row r="260" spans="1:28">
      <c r="A260" s="5" t="s">
        <v>50</v>
      </c>
      <c r="B260" s="37" t="s">
        <v>162</v>
      </c>
      <c r="C260" s="53">
        <v>28</v>
      </c>
      <c r="D260" s="58">
        <v>30</v>
      </c>
      <c r="E260" s="8">
        <f>C260/30</f>
        <v>0.93333333333333335</v>
      </c>
      <c r="F260" s="54">
        <v>64</v>
      </c>
      <c r="G260" s="9">
        <v>2.29</v>
      </c>
      <c r="H260" s="23">
        <f>E260*G260</f>
        <v>2.1373333333333333</v>
      </c>
      <c r="I260" t="s">
        <v>47</v>
      </c>
      <c r="J260" s="11">
        <v>69.5</v>
      </c>
      <c r="K260" s="11">
        <v>13.253214290000001</v>
      </c>
      <c r="L260" t="str">
        <f>VLOOKUP(B260,'[1]Plant data'!$A$1:$AB$315,2,0)</f>
        <v>Sapindaceae</v>
      </c>
      <c r="M260" s="9">
        <f>VLOOKUP($B260,'[1]Plant data'!$A$1:$AB$315,6,0)</f>
        <v>11.5</v>
      </c>
      <c r="N260" s="9">
        <f>VLOOKUP($B260,'[1]Plant data'!$A$1:$AB$315,7,0)</f>
        <v>14.5</v>
      </c>
      <c r="O260" s="8" t="str">
        <f>VLOOKUP($B260,'[1]Plant data'!$A$1:$AB$315,10,0)</f>
        <v>NA</v>
      </c>
      <c r="P260" s="8" t="str">
        <f>VLOOKUP($B260,'[1]Plant data'!$A$1:$AB$315,11,0)</f>
        <v>NA</v>
      </c>
      <c r="Q260" s="8">
        <f>VLOOKUP($B260,'[1]Plant data'!$A$1:$AB$315,12,0)</f>
        <v>0.5</v>
      </c>
      <c r="R260" s="8" t="str">
        <f>VLOOKUP($B260,'[1]Plant data'!$A$1:$AB$315,13,0)</f>
        <v>NA</v>
      </c>
      <c r="S260" s="8" t="str">
        <f>VLOOKUP($B260,'[1]Plant data'!$A$1:$AB$315,14,0)</f>
        <v>NA</v>
      </c>
      <c r="T260" s="11">
        <f>VLOOKUP($B260,'[1]Plant data'!$A$1:$AB$315,15,0)</f>
        <v>3</v>
      </c>
      <c r="U260" s="9" t="str">
        <f>VLOOKUP($B260,'[1]Plant data'!$A$1:$AB$315,19,0)</f>
        <v>NA</v>
      </c>
      <c r="V260" s="8">
        <f>VLOOKUP($B260,'[1]Plant data'!$A$1:$AB$315,20,0)</f>
        <v>0.27699999999999997</v>
      </c>
      <c r="W260" s="8" t="str">
        <f>VLOOKUP($B260,'[1]Plant data'!$A$1:$AB$315,21,0)</f>
        <v>NA</v>
      </c>
      <c r="X260" s="8" t="str">
        <f>VLOOKUP($B260,'[1]Plant data'!$A$1:$AB$315,22,0)</f>
        <v>NA</v>
      </c>
      <c r="Y260" s="8" t="str">
        <f>VLOOKUP($B260,'[1]Plant data'!$A$1:$AB$315,23,0)</f>
        <v>NA</v>
      </c>
      <c r="Z260" s="8" t="str">
        <f>VLOOKUP($B260,'[1]Plant data'!$A$1:$AB$315,24,0)</f>
        <v>NA</v>
      </c>
      <c r="AA260" s="8" t="str">
        <f>VLOOKUP($B260,'[1]Plant data'!$A$1:$AB$315,25,0)</f>
        <v>NA</v>
      </c>
      <c r="AB260" s="8" t="s">
        <v>19</v>
      </c>
    </row>
    <row r="261" spans="1:28">
      <c r="A261" s="18" t="s">
        <v>28</v>
      </c>
      <c r="B261" s="39" t="s">
        <v>118</v>
      </c>
      <c r="C261" s="53">
        <v>18</v>
      </c>
      <c r="D261" s="58">
        <v>43</v>
      </c>
      <c r="E261" s="8">
        <f>C261/D261</f>
        <v>0.41860465116279072</v>
      </c>
      <c r="F261" s="54">
        <v>36</v>
      </c>
      <c r="G261" s="9">
        <f>F261/C261</f>
        <v>2</v>
      </c>
      <c r="H261" s="23">
        <f>E261*G261</f>
        <v>0.83720930232558144</v>
      </c>
      <c r="I261" t="s">
        <v>30</v>
      </c>
      <c r="J261" s="11">
        <v>18</v>
      </c>
      <c r="K261" s="11">
        <v>7.4188405800000004</v>
      </c>
      <c r="L261" t="str">
        <f>VLOOKUP(B261,'[1]Plant data'!$A$1:$AB$315,2,0)</f>
        <v>Magnoliaceae</v>
      </c>
      <c r="M261" s="9">
        <f>VLOOKUP($B261,'[1]Plant data'!$A$1:$AB$315,6,0)</f>
        <v>10.39</v>
      </c>
      <c r="N261" s="9">
        <f>VLOOKUP($B261,'[1]Plant data'!$A$1:$AB$315,7,0)</f>
        <v>12.803333333333333</v>
      </c>
      <c r="O261" s="8">
        <f>VLOOKUP($B261,'[1]Plant data'!$A$1:$AB$315,10,0)</f>
        <v>0.52190000000000003</v>
      </c>
      <c r="P261" s="8" t="str">
        <f>VLOOKUP($B261,'[1]Plant data'!$A$1:$AB$315,11,0)</f>
        <v>NA</v>
      </c>
      <c r="Q261" s="8">
        <f>VLOOKUP($B261,'[1]Plant data'!$A$1:$AB$315,12,0)</f>
        <v>0.23940000000000003</v>
      </c>
      <c r="R261" s="8">
        <f>VLOOKUP($B261,'[1]Plant data'!$A$1:$AB$315,13,0)</f>
        <v>0.26500000000000001</v>
      </c>
      <c r="S261" s="8">
        <f>VLOOKUP($B261,'[1]Plant data'!$A$1:$AB$315,14,0)</f>
        <v>0.27880000000000005</v>
      </c>
      <c r="T261" s="11">
        <f>VLOOKUP($B261,'[1]Plant data'!$A$1:$AB$315,15,0)</f>
        <v>50</v>
      </c>
      <c r="U261" s="9" t="str">
        <f>VLOOKUP($B261,'[1]Plant data'!$A$1:$AB$315,19,0)</f>
        <v>NA</v>
      </c>
      <c r="V261" s="8">
        <f>VLOOKUP($B261,'[1]Plant data'!$A$1:$AB$315,20,0)</f>
        <v>0.52600000000000002</v>
      </c>
      <c r="W261" s="8">
        <f>VLOOKUP($B261,'[1]Plant data'!$A$1:$AB$315,21,0)</f>
        <v>7.2999999999999995E-2</v>
      </c>
      <c r="X261" s="8">
        <f>VLOOKUP($B261,'[1]Plant data'!$A$1:$AB$315,22,0)</f>
        <v>4.0000000000000001E-3</v>
      </c>
      <c r="Y261" s="8">
        <f>VLOOKUP($B261,'[1]Plant data'!$A$1:$AB$315,23,0)</f>
        <v>7.0000000000000007E-2</v>
      </c>
      <c r="Z261" s="8" t="str">
        <f>VLOOKUP($B261,'[1]Plant data'!$A$1:$AB$315,24,0)</f>
        <v>NA</v>
      </c>
      <c r="AA261" s="8" t="str">
        <f>VLOOKUP($B261,'[1]Plant data'!$A$1:$AB$315,25,0)</f>
        <v>NA</v>
      </c>
      <c r="AB261" s="8">
        <f>SUMIF(X261:Y261,"&gt;0.00001")</f>
        <v>7.400000000000001E-2</v>
      </c>
    </row>
    <row r="262" spans="1:28">
      <c r="A262" s="5" t="s">
        <v>43</v>
      </c>
      <c r="B262" s="37" t="s">
        <v>118</v>
      </c>
      <c r="C262" s="53">
        <v>37</v>
      </c>
      <c r="D262" s="11">
        <v>43</v>
      </c>
      <c r="E262" s="8">
        <f>C262/43</f>
        <v>0.86046511627906974</v>
      </c>
      <c r="F262" s="54" t="s">
        <v>19</v>
      </c>
      <c r="G262" s="9">
        <f>1.5*2</f>
        <v>3</v>
      </c>
      <c r="H262" s="23">
        <f>E262*G262</f>
        <v>2.5813953488372094</v>
      </c>
      <c r="I262" t="s">
        <v>30</v>
      </c>
      <c r="J262" s="11">
        <v>32.5</v>
      </c>
      <c r="K262" s="11">
        <v>8.9205555560000001</v>
      </c>
      <c r="L262" t="str">
        <f>VLOOKUP(B262,'[1]Plant data'!$A$1:$AB$315,2,0)</f>
        <v>Magnoliaceae</v>
      </c>
      <c r="M262" s="9">
        <f>VLOOKUP($B262,'[1]Plant data'!$A$1:$AB$315,6,0)</f>
        <v>10.39</v>
      </c>
      <c r="N262" s="9">
        <f>VLOOKUP($B262,'[1]Plant data'!$A$1:$AB$315,7,0)</f>
        <v>12.803333333333333</v>
      </c>
      <c r="O262" s="8">
        <f>VLOOKUP($B262,'[1]Plant data'!$A$1:$AB$315,10,0)</f>
        <v>0.52190000000000003</v>
      </c>
      <c r="P262" s="8" t="str">
        <f>VLOOKUP($B262,'[1]Plant data'!$A$1:$AB$315,11,0)</f>
        <v>NA</v>
      </c>
      <c r="Q262" s="8">
        <f>VLOOKUP($B262,'[1]Plant data'!$A$1:$AB$315,12,0)</f>
        <v>0.23940000000000003</v>
      </c>
      <c r="R262" s="8">
        <f>VLOOKUP($B262,'[1]Plant data'!$A$1:$AB$315,13,0)</f>
        <v>0.26500000000000001</v>
      </c>
      <c r="S262" s="8">
        <f>VLOOKUP($B262,'[1]Plant data'!$A$1:$AB$315,14,0)</f>
        <v>0.27880000000000005</v>
      </c>
      <c r="T262" s="11">
        <f>VLOOKUP($B262,'[1]Plant data'!$A$1:$AB$315,15,0)</f>
        <v>50</v>
      </c>
      <c r="U262" s="9" t="str">
        <f>VLOOKUP($B262,'[1]Plant data'!$A$1:$AB$315,19,0)</f>
        <v>NA</v>
      </c>
      <c r="V262" s="8">
        <f>VLOOKUP($B262,'[1]Plant data'!$A$1:$AB$315,20,0)</f>
        <v>0.52600000000000002</v>
      </c>
      <c r="W262" s="8">
        <f>VLOOKUP($B262,'[1]Plant data'!$A$1:$AB$315,21,0)</f>
        <v>7.2999999999999995E-2</v>
      </c>
      <c r="X262" s="8">
        <f>VLOOKUP($B262,'[1]Plant data'!$A$1:$AB$315,22,0)</f>
        <v>4.0000000000000001E-3</v>
      </c>
      <c r="Y262" s="8">
        <f>VLOOKUP($B262,'[1]Plant data'!$A$1:$AB$315,23,0)</f>
        <v>7.0000000000000007E-2</v>
      </c>
      <c r="Z262" s="8" t="str">
        <f>VLOOKUP($B262,'[1]Plant data'!$A$1:$AB$315,24,0)</f>
        <v>NA</v>
      </c>
      <c r="AA262" s="8" t="str">
        <f>VLOOKUP($B262,'[1]Plant data'!$A$1:$AB$315,25,0)</f>
        <v>NA</v>
      </c>
      <c r="AB262" s="8">
        <f>SUMIF(X262:Y262,"&gt;0.00001")</f>
        <v>7.400000000000001E-2</v>
      </c>
    </row>
    <row r="263" spans="1:28">
      <c r="A263" s="5" t="s">
        <v>50</v>
      </c>
      <c r="B263" s="37" t="s">
        <v>118</v>
      </c>
      <c r="C263" s="53">
        <v>13</v>
      </c>
      <c r="D263" s="11">
        <v>43</v>
      </c>
      <c r="E263" s="8">
        <f>C263/43</f>
        <v>0.30232558139534882</v>
      </c>
      <c r="F263" s="54" t="s">
        <v>19</v>
      </c>
      <c r="G263" s="9">
        <f>2.75*1.79</f>
        <v>4.9225000000000003</v>
      </c>
      <c r="H263" s="23">
        <f>E263*G263</f>
        <v>1.4881976744186047</v>
      </c>
      <c r="I263" t="s">
        <v>47</v>
      </c>
      <c r="J263" s="11">
        <v>69.5</v>
      </c>
      <c r="K263" s="11">
        <v>13.253214290000001</v>
      </c>
      <c r="L263" t="str">
        <f>VLOOKUP(B263,'[1]Plant data'!$A$1:$AB$315,2,0)</f>
        <v>Magnoliaceae</v>
      </c>
      <c r="M263" s="9">
        <f>VLOOKUP($B263,'[1]Plant data'!$A$1:$AB$315,6,0)</f>
        <v>10.39</v>
      </c>
      <c r="N263" s="9">
        <f>VLOOKUP($B263,'[1]Plant data'!$A$1:$AB$315,7,0)</f>
        <v>12.803333333333333</v>
      </c>
      <c r="O263" s="8">
        <f>VLOOKUP($B263,'[1]Plant data'!$A$1:$AB$315,10,0)</f>
        <v>0.52190000000000003</v>
      </c>
      <c r="P263" s="8" t="str">
        <f>VLOOKUP($B263,'[1]Plant data'!$A$1:$AB$315,11,0)</f>
        <v>NA</v>
      </c>
      <c r="Q263" s="8">
        <f>VLOOKUP($B263,'[1]Plant data'!$A$1:$AB$315,12,0)</f>
        <v>0.23940000000000003</v>
      </c>
      <c r="R263" s="8">
        <f>VLOOKUP($B263,'[1]Plant data'!$A$1:$AB$315,13,0)</f>
        <v>0.26500000000000001</v>
      </c>
      <c r="S263" s="8">
        <f>VLOOKUP($B263,'[1]Plant data'!$A$1:$AB$315,14,0)</f>
        <v>0.27880000000000005</v>
      </c>
      <c r="T263" s="11">
        <f>VLOOKUP($B263,'[1]Plant data'!$A$1:$AB$315,15,0)</f>
        <v>50</v>
      </c>
      <c r="U263" s="9" t="str">
        <f>VLOOKUP($B263,'[1]Plant data'!$A$1:$AB$315,19,0)</f>
        <v>NA</v>
      </c>
      <c r="V263" s="8">
        <f>VLOOKUP($B263,'[1]Plant data'!$A$1:$AB$315,20,0)</f>
        <v>0.52600000000000002</v>
      </c>
      <c r="W263" s="8">
        <f>VLOOKUP($B263,'[1]Plant data'!$A$1:$AB$315,21,0)</f>
        <v>7.2999999999999995E-2</v>
      </c>
      <c r="X263" s="8">
        <f>VLOOKUP($B263,'[1]Plant data'!$A$1:$AB$315,22,0)</f>
        <v>4.0000000000000001E-3</v>
      </c>
      <c r="Y263" s="8">
        <f>VLOOKUP($B263,'[1]Plant data'!$A$1:$AB$315,23,0)</f>
        <v>7.0000000000000007E-2</v>
      </c>
      <c r="Z263" s="8" t="str">
        <f>VLOOKUP($B263,'[1]Plant data'!$A$1:$AB$315,24,0)</f>
        <v>NA</v>
      </c>
      <c r="AA263" s="8" t="str">
        <f>VLOOKUP($B263,'[1]Plant data'!$A$1:$AB$315,25,0)</f>
        <v>NA</v>
      </c>
      <c r="AB263" s="8">
        <f>SUMIF(X263:Y263,"&gt;0.00001")</f>
        <v>7.400000000000001E-2</v>
      </c>
    </row>
    <row r="264" spans="1:28">
      <c r="A264" s="5" t="s">
        <v>28</v>
      </c>
      <c r="B264" s="37" t="s">
        <v>29</v>
      </c>
      <c r="C264" s="53">
        <v>17</v>
      </c>
      <c r="D264" s="58">
        <v>45</v>
      </c>
      <c r="E264" s="8">
        <f>C264/D264</f>
        <v>0.37777777777777777</v>
      </c>
      <c r="F264" s="54" t="s">
        <v>19</v>
      </c>
      <c r="G264" s="9" t="s">
        <v>19</v>
      </c>
      <c r="H264" s="23" t="s">
        <v>19</v>
      </c>
      <c r="I264" t="s">
        <v>30</v>
      </c>
      <c r="J264" s="11">
        <v>18</v>
      </c>
      <c r="K264" s="11">
        <v>7.4188405800000004</v>
      </c>
      <c r="L264" t="str">
        <f>VLOOKUP(B264,'[1]Plant data'!$A$1:$AB$315,2,0)</f>
        <v>Arecaceae</v>
      </c>
      <c r="M264" s="9">
        <f>VLOOKUP($B264,'[1]Plant data'!$A$1:$AB$315,6,0)</f>
        <v>14.1</v>
      </c>
      <c r="N264" s="9">
        <f>VLOOKUP($B264,'[1]Plant data'!$A$1:$AB$315,7,0)</f>
        <v>20.149999999999999</v>
      </c>
      <c r="O264" s="8" t="str">
        <f>VLOOKUP($B264,'[1]Plant data'!$A$1:$AB$315,10,0)</f>
        <v>NA</v>
      </c>
      <c r="P264" s="8" t="str">
        <f>VLOOKUP($B264,'[1]Plant data'!$A$1:$AB$315,11,0)</f>
        <v>NA</v>
      </c>
      <c r="Q264" s="8" t="str">
        <f>VLOOKUP($B264,'[1]Plant data'!$A$1:$AB$315,12,0)</f>
        <v>NA</v>
      </c>
      <c r="R264" s="8" t="str">
        <f>VLOOKUP($B264,'[1]Plant data'!$A$1:$AB$315,13,0)</f>
        <v>NA</v>
      </c>
      <c r="S264" s="8" t="str">
        <f>VLOOKUP($B264,'[1]Plant data'!$A$1:$AB$315,14,0)</f>
        <v>NA</v>
      </c>
      <c r="T264" s="11">
        <f>VLOOKUP($B264,'[1]Plant data'!$A$1:$AB$315,15,0)</f>
        <v>1</v>
      </c>
      <c r="U264" s="9" t="str">
        <f>VLOOKUP($B264,'[1]Plant data'!$A$1:$AB$315,19,0)</f>
        <v>NA</v>
      </c>
      <c r="V264" s="8" t="str">
        <f>VLOOKUP($B264,'[1]Plant data'!$A$1:$AB$315,20,0)</f>
        <v>NA</v>
      </c>
      <c r="W264" s="8" t="str">
        <f>VLOOKUP($B264,'[1]Plant data'!$A$1:$AB$315,21,0)</f>
        <v>NA</v>
      </c>
      <c r="X264" s="8" t="str">
        <f>VLOOKUP($B264,'[1]Plant data'!$A$1:$AB$315,22,0)</f>
        <v>NA</v>
      </c>
      <c r="Y264" s="8" t="str">
        <f>VLOOKUP($B264,'[1]Plant data'!$A$1:$AB$315,23,0)</f>
        <v>NA</v>
      </c>
      <c r="Z264" s="8" t="str">
        <f>VLOOKUP($B264,'[1]Plant data'!$A$1:$AB$315,24,0)</f>
        <v>NA</v>
      </c>
      <c r="AA264" s="8" t="str">
        <f>VLOOKUP($B264,'[1]Plant data'!$A$1:$AB$315,25,0)</f>
        <v>NA</v>
      </c>
      <c r="AB264" s="8" t="s">
        <v>19</v>
      </c>
    </row>
    <row r="265" spans="1:28">
      <c r="A265" s="5" t="s">
        <v>41</v>
      </c>
      <c r="B265" s="37" t="s">
        <v>29</v>
      </c>
      <c r="C265" s="53">
        <v>13</v>
      </c>
      <c r="D265" s="58">
        <v>45</v>
      </c>
      <c r="E265" s="8">
        <f>C265/D265</f>
        <v>0.28888888888888886</v>
      </c>
      <c r="F265" s="54" t="s">
        <v>19</v>
      </c>
      <c r="G265" s="9" t="s">
        <v>19</v>
      </c>
      <c r="H265" s="23" t="s">
        <v>19</v>
      </c>
      <c r="I265" t="s">
        <v>30</v>
      </c>
      <c r="J265" s="11">
        <v>39</v>
      </c>
      <c r="K265" s="11">
        <v>8.2839869279999991</v>
      </c>
      <c r="L265" t="str">
        <f>VLOOKUP(B265,'[1]Plant data'!$A$1:$AB$315,2,0)</f>
        <v>Arecaceae</v>
      </c>
      <c r="M265" s="9">
        <f>VLOOKUP($B265,'[1]Plant data'!$A$1:$AB$315,6,0)</f>
        <v>14.1</v>
      </c>
      <c r="N265" s="9">
        <f>VLOOKUP($B265,'[1]Plant data'!$A$1:$AB$315,7,0)</f>
        <v>20.149999999999999</v>
      </c>
      <c r="O265" s="8" t="str">
        <f>VLOOKUP($B265,'[1]Plant data'!$A$1:$AB$315,10,0)</f>
        <v>NA</v>
      </c>
      <c r="P265" s="8" t="str">
        <f>VLOOKUP($B265,'[1]Plant data'!$A$1:$AB$315,11,0)</f>
        <v>NA</v>
      </c>
      <c r="Q265" s="8" t="str">
        <f>VLOOKUP($B265,'[1]Plant data'!$A$1:$AB$315,12,0)</f>
        <v>NA</v>
      </c>
      <c r="R265" s="8" t="str">
        <f>VLOOKUP($B265,'[1]Plant data'!$A$1:$AB$315,13,0)</f>
        <v>NA</v>
      </c>
      <c r="S265" s="8" t="str">
        <f>VLOOKUP($B265,'[1]Plant data'!$A$1:$AB$315,14,0)</f>
        <v>NA</v>
      </c>
      <c r="T265" s="11">
        <f>VLOOKUP($B265,'[1]Plant data'!$A$1:$AB$315,15,0)</f>
        <v>1</v>
      </c>
      <c r="U265" s="9" t="str">
        <f>VLOOKUP($B265,'[1]Plant data'!$A$1:$AB$315,19,0)</f>
        <v>NA</v>
      </c>
      <c r="V265" s="8" t="str">
        <f>VLOOKUP($B265,'[1]Plant data'!$A$1:$AB$315,20,0)</f>
        <v>NA</v>
      </c>
      <c r="W265" s="8" t="str">
        <f>VLOOKUP($B265,'[1]Plant data'!$A$1:$AB$315,21,0)</f>
        <v>NA</v>
      </c>
      <c r="X265" s="8" t="str">
        <f>VLOOKUP($B265,'[1]Plant data'!$A$1:$AB$315,22,0)</f>
        <v>NA</v>
      </c>
      <c r="Y265" s="8" t="str">
        <f>VLOOKUP($B265,'[1]Plant data'!$A$1:$AB$315,23,0)</f>
        <v>NA</v>
      </c>
      <c r="Z265" s="8" t="str">
        <f>VLOOKUP($B265,'[1]Plant data'!$A$1:$AB$315,24,0)</f>
        <v>NA</v>
      </c>
      <c r="AA265" s="8" t="str">
        <f>VLOOKUP($B265,'[1]Plant data'!$A$1:$AB$315,25,0)</f>
        <v>NA</v>
      </c>
      <c r="AB265" s="8" t="s">
        <v>19</v>
      </c>
    </row>
    <row r="266" spans="1:28">
      <c r="A266" s="5" t="s">
        <v>43</v>
      </c>
      <c r="B266" s="37" t="s">
        <v>29</v>
      </c>
      <c r="C266" s="53">
        <v>13</v>
      </c>
      <c r="D266" s="58">
        <v>45</v>
      </c>
      <c r="E266" s="8">
        <f>C266/D266</f>
        <v>0.28888888888888886</v>
      </c>
      <c r="F266" s="54" t="s">
        <v>19</v>
      </c>
      <c r="G266" s="9" t="s">
        <v>19</v>
      </c>
      <c r="H266" s="23" t="s">
        <v>19</v>
      </c>
      <c r="I266" t="s">
        <v>30</v>
      </c>
      <c r="J266" s="11">
        <v>32.5</v>
      </c>
      <c r="K266" s="11">
        <v>8.9205555560000001</v>
      </c>
      <c r="L266" t="str">
        <f>VLOOKUP(B266,'[1]Plant data'!$A$1:$AB$315,2,0)</f>
        <v>Arecaceae</v>
      </c>
      <c r="M266" s="9">
        <f>VLOOKUP($B266,'[1]Plant data'!$A$1:$AB$315,6,0)</f>
        <v>14.1</v>
      </c>
      <c r="N266" s="9">
        <f>VLOOKUP($B266,'[1]Plant data'!$A$1:$AB$315,7,0)</f>
        <v>20.149999999999999</v>
      </c>
      <c r="O266" s="8" t="str">
        <f>VLOOKUP($B266,'[1]Plant data'!$A$1:$AB$315,10,0)</f>
        <v>NA</v>
      </c>
      <c r="P266" s="8" t="str">
        <f>VLOOKUP($B266,'[1]Plant data'!$A$1:$AB$315,11,0)</f>
        <v>NA</v>
      </c>
      <c r="Q266" s="8" t="str">
        <f>VLOOKUP($B266,'[1]Plant data'!$A$1:$AB$315,12,0)</f>
        <v>NA</v>
      </c>
      <c r="R266" s="8" t="str">
        <f>VLOOKUP($B266,'[1]Plant data'!$A$1:$AB$315,13,0)</f>
        <v>NA</v>
      </c>
      <c r="S266" s="8" t="str">
        <f>VLOOKUP($B266,'[1]Plant data'!$A$1:$AB$315,14,0)</f>
        <v>NA</v>
      </c>
      <c r="T266" s="11">
        <f>VLOOKUP($B266,'[1]Plant data'!$A$1:$AB$315,15,0)</f>
        <v>1</v>
      </c>
      <c r="U266" s="9" t="str">
        <f>VLOOKUP($B266,'[1]Plant data'!$A$1:$AB$315,19,0)</f>
        <v>NA</v>
      </c>
      <c r="V266" s="8" t="str">
        <f>VLOOKUP($B266,'[1]Plant data'!$A$1:$AB$315,20,0)</f>
        <v>NA</v>
      </c>
      <c r="W266" s="8" t="str">
        <f>VLOOKUP($B266,'[1]Plant data'!$A$1:$AB$315,21,0)</f>
        <v>NA</v>
      </c>
      <c r="X266" s="8" t="str">
        <f>VLOOKUP($B266,'[1]Plant data'!$A$1:$AB$315,22,0)</f>
        <v>NA</v>
      </c>
      <c r="Y266" s="8" t="str">
        <f>VLOOKUP($B266,'[1]Plant data'!$A$1:$AB$315,23,0)</f>
        <v>NA</v>
      </c>
      <c r="Z266" s="8" t="str">
        <f>VLOOKUP($B266,'[1]Plant data'!$A$1:$AB$315,24,0)</f>
        <v>NA</v>
      </c>
      <c r="AA266" s="8" t="str">
        <f>VLOOKUP($B266,'[1]Plant data'!$A$1:$AB$315,25,0)</f>
        <v>NA</v>
      </c>
      <c r="AB266" s="8" t="s">
        <v>19</v>
      </c>
    </row>
    <row r="267" spans="1:28">
      <c r="A267" s="5" t="s">
        <v>46</v>
      </c>
      <c r="B267" s="37" t="s">
        <v>29</v>
      </c>
      <c r="C267" s="53">
        <v>83</v>
      </c>
      <c r="D267" s="58">
        <v>45</v>
      </c>
      <c r="E267" s="8">
        <f>C267/D267</f>
        <v>1.8444444444444446</v>
      </c>
      <c r="F267" s="54" t="s">
        <v>19</v>
      </c>
      <c r="G267" s="9" t="s">
        <v>19</v>
      </c>
      <c r="H267" s="23" t="s">
        <v>19</v>
      </c>
      <c r="I267" t="s">
        <v>47</v>
      </c>
      <c r="J267" s="11">
        <v>54</v>
      </c>
      <c r="K267" s="11">
        <v>11.14875</v>
      </c>
      <c r="L267" t="str">
        <f>VLOOKUP(B267,'[1]Plant data'!$A$1:$AB$315,2,0)</f>
        <v>Arecaceae</v>
      </c>
      <c r="M267" s="9">
        <f>VLOOKUP($B267,'[1]Plant data'!$A$1:$AB$315,6,0)</f>
        <v>14.1</v>
      </c>
      <c r="N267" s="9">
        <f>VLOOKUP($B267,'[1]Plant data'!$A$1:$AB$315,7,0)</f>
        <v>20.149999999999999</v>
      </c>
      <c r="O267" s="8" t="str">
        <f>VLOOKUP($B267,'[1]Plant data'!$A$1:$AB$315,10,0)</f>
        <v>NA</v>
      </c>
      <c r="P267" s="8" t="str">
        <f>VLOOKUP($B267,'[1]Plant data'!$A$1:$AB$315,11,0)</f>
        <v>NA</v>
      </c>
      <c r="Q267" s="8" t="str">
        <f>VLOOKUP($B267,'[1]Plant data'!$A$1:$AB$315,12,0)</f>
        <v>NA</v>
      </c>
      <c r="R267" s="8" t="str">
        <f>VLOOKUP($B267,'[1]Plant data'!$A$1:$AB$315,13,0)</f>
        <v>NA</v>
      </c>
      <c r="S267" s="8" t="str">
        <f>VLOOKUP($B267,'[1]Plant data'!$A$1:$AB$315,14,0)</f>
        <v>NA</v>
      </c>
      <c r="T267" s="11">
        <f>VLOOKUP($B267,'[1]Plant data'!$A$1:$AB$315,15,0)</f>
        <v>1</v>
      </c>
      <c r="U267" s="9" t="str">
        <f>VLOOKUP($B267,'[1]Plant data'!$A$1:$AB$315,19,0)</f>
        <v>NA</v>
      </c>
      <c r="V267" s="8" t="str">
        <f>VLOOKUP($B267,'[1]Plant data'!$A$1:$AB$315,20,0)</f>
        <v>NA</v>
      </c>
      <c r="W267" s="8" t="str">
        <f>VLOOKUP($B267,'[1]Plant data'!$A$1:$AB$315,21,0)</f>
        <v>NA</v>
      </c>
      <c r="X267" s="8" t="str">
        <f>VLOOKUP($B267,'[1]Plant data'!$A$1:$AB$315,22,0)</f>
        <v>NA</v>
      </c>
      <c r="Y267" s="8" t="str">
        <f>VLOOKUP($B267,'[1]Plant data'!$A$1:$AB$315,23,0)</f>
        <v>NA</v>
      </c>
      <c r="Z267" s="8" t="str">
        <f>VLOOKUP($B267,'[1]Plant data'!$A$1:$AB$315,24,0)</f>
        <v>NA</v>
      </c>
      <c r="AA267" s="8" t="str">
        <f>VLOOKUP($B267,'[1]Plant data'!$A$1:$AB$315,25,0)</f>
        <v>NA</v>
      </c>
      <c r="AB267" s="8" t="s">
        <v>19</v>
      </c>
    </row>
    <row r="268" spans="1:28">
      <c r="A268" s="5" t="s">
        <v>50</v>
      </c>
      <c r="B268" s="37" t="s">
        <v>29</v>
      </c>
      <c r="C268" s="53">
        <v>24</v>
      </c>
      <c r="D268" s="58">
        <v>45</v>
      </c>
      <c r="E268" s="8">
        <f>C268/D268</f>
        <v>0.53333333333333333</v>
      </c>
      <c r="F268" s="54" t="s">
        <v>19</v>
      </c>
      <c r="G268" s="9" t="s">
        <v>19</v>
      </c>
      <c r="H268" s="23" t="s">
        <v>19</v>
      </c>
      <c r="I268" s="16" t="s">
        <v>47</v>
      </c>
      <c r="J268" s="17">
        <v>69.5</v>
      </c>
      <c r="K268" s="17">
        <v>13.253214290000001</v>
      </c>
      <c r="L268" t="str">
        <f>VLOOKUP(B268,'[1]Plant data'!$A$1:$AB$315,2,0)</f>
        <v>Arecaceae</v>
      </c>
      <c r="M268" s="9">
        <f>VLOOKUP($B268,'[1]Plant data'!$A$1:$AB$315,6,0)</f>
        <v>14.1</v>
      </c>
      <c r="N268" s="9">
        <f>VLOOKUP($B268,'[1]Plant data'!$A$1:$AB$315,7,0)</f>
        <v>20.149999999999999</v>
      </c>
      <c r="O268" s="8" t="str">
        <f>VLOOKUP($B268,'[1]Plant data'!$A$1:$AB$315,10,0)</f>
        <v>NA</v>
      </c>
      <c r="P268" s="8" t="str">
        <f>VLOOKUP($B268,'[1]Plant data'!$A$1:$AB$315,11,0)</f>
        <v>NA</v>
      </c>
      <c r="Q268" s="8" t="str">
        <f>VLOOKUP($B268,'[1]Plant data'!$A$1:$AB$315,12,0)</f>
        <v>NA</v>
      </c>
      <c r="R268" s="8" t="str">
        <f>VLOOKUP($B268,'[1]Plant data'!$A$1:$AB$315,13,0)</f>
        <v>NA</v>
      </c>
      <c r="S268" s="8" t="str">
        <f>VLOOKUP($B268,'[1]Plant data'!$A$1:$AB$315,14,0)</f>
        <v>NA</v>
      </c>
      <c r="T268" s="11">
        <f>VLOOKUP($B268,'[1]Plant data'!$A$1:$AB$315,15,0)</f>
        <v>1</v>
      </c>
      <c r="U268" s="9" t="str">
        <f>VLOOKUP($B268,'[1]Plant data'!$A$1:$AB$315,19,0)</f>
        <v>NA</v>
      </c>
      <c r="V268" s="8" t="str">
        <f>VLOOKUP($B268,'[1]Plant data'!$A$1:$AB$315,20,0)</f>
        <v>NA</v>
      </c>
      <c r="W268" s="8" t="str">
        <f>VLOOKUP($B268,'[1]Plant data'!$A$1:$AB$315,21,0)</f>
        <v>NA</v>
      </c>
      <c r="X268" s="8" t="str">
        <f>VLOOKUP($B268,'[1]Plant data'!$A$1:$AB$315,22,0)</f>
        <v>NA</v>
      </c>
      <c r="Y268" s="8" t="str">
        <f>VLOOKUP($B268,'[1]Plant data'!$A$1:$AB$315,23,0)</f>
        <v>NA</v>
      </c>
      <c r="Z268" s="8" t="str">
        <f>VLOOKUP($B268,'[1]Plant data'!$A$1:$AB$315,24,0)</f>
        <v>NA</v>
      </c>
      <c r="AA268" s="8" t="str">
        <f>VLOOKUP($B268,'[1]Plant data'!$A$1:$AB$315,25,0)</f>
        <v>NA</v>
      </c>
      <c r="AB268" s="8" t="s">
        <v>19</v>
      </c>
    </row>
    <row r="269" spans="1:28">
      <c r="A269" s="5" t="s">
        <v>46</v>
      </c>
      <c r="B269" s="40" t="s">
        <v>176</v>
      </c>
      <c r="C269" s="53">
        <v>2</v>
      </c>
      <c r="D269" s="58">
        <v>60</v>
      </c>
      <c r="E269" s="8">
        <f>C269/60</f>
        <v>3.3333333333333333E-2</v>
      </c>
      <c r="F269" s="54">
        <v>4</v>
      </c>
      <c r="G269" s="9">
        <f>F269/C269</f>
        <v>2</v>
      </c>
      <c r="H269" s="23">
        <f>E269*G269</f>
        <v>6.6666666666666666E-2</v>
      </c>
      <c r="I269" t="s">
        <v>47</v>
      </c>
      <c r="J269" s="11">
        <v>54</v>
      </c>
      <c r="K269" s="11">
        <v>11.14875</v>
      </c>
      <c r="L269" t="str">
        <f>VLOOKUP(B269,'[1]Plant data'!$A$1:$AB$315,2,0)</f>
        <v>Melastomataceae</v>
      </c>
      <c r="M269" s="9">
        <f>VLOOKUP($B269,'[1]Plant data'!$A$1:$AB$315,6,0)</f>
        <v>6.81</v>
      </c>
      <c r="N269" s="9">
        <f>VLOOKUP($B269,'[1]Plant data'!$A$1:$AB$315,7,0)</f>
        <v>7.05</v>
      </c>
      <c r="O269" s="8">
        <f>VLOOKUP($B269,'[1]Plant data'!$A$1:$AB$315,10,0)</f>
        <v>0.188</v>
      </c>
      <c r="P269" s="8" t="str">
        <f>VLOOKUP($B269,'[1]Plant data'!$A$1:$AB$315,11,0)</f>
        <v>NA</v>
      </c>
      <c r="Q269" s="8">
        <f>VLOOKUP($B269,'[1]Plant data'!$A$1:$AB$315,12,0)</f>
        <v>1E-3</v>
      </c>
      <c r="R269" s="8" t="str">
        <f>VLOOKUP($B269,'[1]Plant data'!$A$1:$AB$315,13,0)</f>
        <v>NA</v>
      </c>
      <c r="S269" s="8" t="str">
        <f>VLOOKUP($B269,'[1]Plant data'!$A$1:$AB$315,14,0)</f>
        <v>NA</v>
      </c>
      <c r="T269" s="11">
        <f>VLOOKUP($B269,'[1]Plant data'!$A$1:$AB$315,15,0)</f>
        <v>160.19999999999999</v>
      </c>
      <c r="U269" s="9" t="str">
        <f>VLOOKUP($B269,'[1]Plant data'!$A$1:$AB$315,19,0)</f>
        <v>NA</v>
      </c>
      <c r="V269" s="8" t="str">
        <f>VLOOKUP($B269,'[1]Plant data'!$A$1:$AB$315,20,0)</f>
        <v>NA</v>
      </c>
      <c r="W269" s="8" t="str">
        <f>VLOOKUP($B269,'[1]Plant data'!$A$1:$AB$315,21,0)</f>
        <v>NA</v>
      </c>
      <c r="X269" s="8" t="str">
        <f>VLOOKUP($B269,'[1]Plant data'!$A$1:$AB$315,22,0)</f>
        <v>NA</v>
      </c>
      <c r="Y269" s="8" t="str">
        <f>VLOOKUP($B269,'[1]Plant data'!$A$1:$AB$315,23,0)</f>
        <v>NA</v>
      </c>
      <c r="Z269" s="8" t="str">
        <f>VLOOKUP($B269,'[1]Plant data'!$A$1:$AB$315,24,0)</f>
        <v>NA</v>
      </c>
      <c r="AA269" s="8" t="str">
        <f>VLOOKUP($B269,'[1]Plant data'!$A$1:$AB$315,25,0)</f>
        <v>NA</v>
      </c>
      <c r="AB269" s="8" t="s">
        <v>19</v>
      </c>
    </row>
    <row r="270" spans="1:28">
      <c r="A270" s="5" t="s">
        <v>70</v>
      </c>
      <c r="B270" s="40" t="s">
        <v>73</v>
      </c>
      <c r="C270" s="53">
        <v>1</v>
      </c>
      <c r="D270" s="11">
        <v>30</v>
      </c>
      <c r="E270" s="8">
        <f>1/30</f>
        <v>3.3333333333333333E-2</v>
      </c>
      <c r="F270" s="54" t="s">
        <v>19</v>
      </c>
      <c r="G270" s="9" t="s">
        <v>19</v>
      </c>
      <c r="H270" s="23" t="s">
        <v>19</v>
      </c>
      <c r="I270" t="s">
        <v>23</v>
      </c>
      <c r="J270" s="11">
        <v>15</v>
      </c>
      <c r="K270" s="11">
        <v>6.9235714289999999</v>
      </c>
      <c r="L270" t="str">
        <f>VLOOKUP(B270,'[1]Plant data'!$A$1:$AB$315,2,0)</f>
        <v>Verbenaceae</v>
      </c>
      <c r="M270" s="9">
        <f>VLOOKUP($B270,'[1]Plant data'!$A$1:$AB$315,6,0)</f>
        <v>5</v>
      </c>
      <c r="N270" s="9">
        <f>VLOOKUP($B270,'[1]Plant data'!$A$1:$AB$315,7,0)</f>
        <v>4.4000000000000004</v>
      </c>
      <c r="O270" s="8">
        <f>VLOOKUP($B270,'[1]Plant data'!$A$1:$AB$315,10,0)</f>
        <v>7.0999999999999994E-2</v>
      </c>
      <c r="P270" s="8" t="str">
        <f>VLOOKUP($B270,'[1]Plant data'!$A$1:$AB$315,11,0)</f>
        <v>NA</v>
      </c>
      <c r="Q270" s="8">
        <f>VLOOKUP($B270,'[1]Plant data'!$A$1:$AB$315,12,0)</f>
        <v>7.0000000000000001E-3</v>
      </c>
      <c r="R270" s="8" t="str">
        <f>VLOOKUP($B270,'[1]Plant data'!$A$1:$AB$315,13,0)</f>
        <v>NA</v>
      </c>
      <c r="S270" s="8" t="str">
        <f>VLOOKUP($B270,'[1]Plant data'!$A$1:$AB$315,14,0)</f>
        <v>NA</v>
      </c>
      <c r="T270" s="11">
        <f>VLOOKUP($B270,'[1]Plant data'!$A$1:$AB$315,15,0)</f>
        <v>1</v>
      </c>
      <c r="U270" s="9" t="str">
        <f>VLOOKUP($B270,'[1]Plant data'!$A$1:$AB$315,19,0)</f>
        <v>NA</v>
      </c>
      <c r="V270" s="8" t="str">
        <f>VLOOKUP($B270,'[1]Plant data'!$A$1:$AB$315,20,0)</f>
        <v>NA</v>
      </c>
      <c r="W270" s="8" t="str">
        <f>VLOOKUP($B270,'[1]Plant data'!$A$1:$AB$315,21,0)</f>
        <v>NA</v>
      </c>
      <c r="X270" s="8" t="str">
        <f>VLOOKUP($B270,'[1]Plant data'!$A$1:$AB$315,22,0)</f>
        <v>NA</v>
      </c>
      <c r="Y270" s="8" t="str">
        <f>VLOOKUP($B270,'[1]Plant data'!$A$1:$AB$315,23,0)</f>
        <v>NA</v>
      </c>
      <c r="Z270" s="8" t="str">
        <f>VLOOKUP($B270,'[1]Plant data'!$A$1:$AB$315,24,0)</f>
        <v>NA</v>
      </c>
      <c r="AA270" s="8" t="str">
        <f>VLOOKUP($B270,'[1]Plant data'!$A$1:$AB$315,25,0)</f>
        <v>NA</v>
      </c>
      <c r="AB270" s="8" t="s">
        <v>19</v>
      </c>
    </row>
    <row r="271" spans="1:28">
      <c r="A271" s="5" t="s">
        <v>43</v>
      </c>
      <c r="B271" s="37" t="s">
        <v>128</v>
      </c>
      <c r="C271" s="53">
        <v>77</v>
      </c>
      <c r="D271" s="11">
        <v>60</v>
      </c>
      <c r="E271" s="8">
        <f>C271/60</f>
        <v>1.2833333333333334</v>
      </c>
      <c r="F271" s="54">
        <v>389</v>
      </c>
      <c r="G271" s="9">
        <v>5.94</v>
      </c>
      <c r="H271" s="23">
        <f>E271*G271</f>
        <v>7.6230000000000011</v>
      </c>
      <c r="I271" t="s">
        <v>30</v>
      </c>
      <c r="J271" s="11">
        <v>32.5</v>
      </c>
      <c r="K271" s="11">
        <v>8.9205555560000001</v>
      </c>
      <c r="L271" t="str">
        <f>VLOOKUP(B271,'[1]Plant data'!$A$1:$AB$315,2,0)</f>
        <v>Aquifoliaceae</v>
      </c>
      <c r="M271" s="9">
        <f>VLOOKUP($B271,'[1]Plant data'!$A$1:$AB$315,6,0)</f>
        <v>7.9049999999999994</v>
      </c>
      <c r="N271" s="9">
        <f>VLOOKUP($B271,'[1]Plant data'!$A$1:$AB$315,7,0)</f>
        <v>9.2249999999999996</v>
      </c>
      <c r="O271" s="8">
        <f>VLOOKUP($B271,'[1]Plant data'!$A$1:$AB$315,10,0)</f>
        <v>0.23</v>
      </c>
      <c r="P271" s="8">
        <f>VLOOKUP($B271,'[1]Plant data'!$A$1:$AB$315,11,0)</f>
        <v>0.18</v>
      </c>
      <c r="Q271" s="8">
        <f>VLOOKUP($B271,'[1]Plant data'!$A$1:$AB$315,12,0)</f>
        <v>2.9020000000000001E-2</v>
      </c>
      <c r="R271" s="8">
        <f>VLOOKUP($B271,'[1]Plant data'!$A$1:$AB$315,13,0)</f>
        <v>0.05</v>
      </c>
      <c r="S271" s="8" t="str">
        <f>VLOOKUP($B271,'[1]Plant data'!$A$1:$AB$315,14,0)</f>
        <v>NA</v>
      </c>
      <c r="T271" s="11">
        <f>VLOOKUP($B271,'[1]Plant data'!$A$1:$AB$315,15,0)</f>
        <v>3.7</v>
      </c>
      <c r="U271" s="9" t="str">
        <f>VLOOKUP($B271,'[1]Plant data'!$A$1:$AB$315,19,0)</f>
        <v>NA</v>
      </c>
      <c r="V271" s="8" t="str">
        <f>VLOOKUP($B271,'[1]Plant data'!$A$1:$AB$315,20,0)</f>
        <v>NA</v>
      </c>
      <c r="W271" s="8" t="str">
        <f>VLOOKUP($B271,'[1]Plant data'!$A$1:$AB$315,21,0)</f>
        <v>NA</v>
      </c>
      <c r="X271" s="8" t="str">
        <f>VLOOKUP($B271,'[1]Plant data'!$A$1:$AB$315,22,0)</f>
        <v>NA</v>
      </c>
      <c r="Y271" s="8" t="str">
        <f>VLOOKUP($B271,'[1]Plant data'!$A$1:$AB$315,23,0)</f>
        <v>NA</v>
      </c>
      <c r="Z271" s="8" t="str">
        <f>VLOOKUP($B271,'[1]Plant data'!$A$1:$AB$315,24,0)</f>
        <v>NA</v>
      </c>
      <c r="AA271" s="8" t="str">
        <f>VLOOKUP($B271,'[1]Plant data'!$A$1:$AB$315,25,0)</f>
        <v>NA</v>
      </c>
      <c r="AB271" s="8" t="s">
        <v>19</v>
      </c>
    </row>
    <row r="272" spans="1:28">
      <c r="A272" s="21" t="s">
        <v>50</v>
      </c>
      <c r="B272" s="60" t="s">
        <v>128</v>
      </c>
      <c r="C272" s="55">
        <v>64</v>
      </c>
      <c r="D272" s="59">
        <v>60</v>
      </c>
      <c r="E272" s="8">
        <f>C272/60</f>
        <v>1.0666666666666667</v>
      </c>
      <c r="F272" s="55">
        <v>622</v>
      </c>
      <c r="G272" s="19">
        <v>8.6300000000000008</v>
      </c>
      <c r="H272" s="23">
        <f>E272*G272</f>
        <v>9.2053333333333338</v>
      </c>
      <c r="I272" s="16" t="s">
        <v>47</v>
      </c>
      <c r="J272" s="17">
        <v>69.5</v>
      </c>
      <c r="K272" s="17">
        <v>13.253214290000001</v>
      </c>
      <c r="L272" t="str">
        <f>VLOOKUP(B272,'[1]Plant data'!$A$1:$AB$315,2,0)</f>
        <v>Aquifoliaceae</v>
      </c>
      <c r="M272" s="9">
        <f>VLOOKUP($B272,'[1]Plant data'!$A$1:$AB$315,6,0)</f>
        <v>7.9049999999999994</v>
      </c>
      <c r="N272" s="9">
        <f>VLOOKUP($B272,'[1]Plant data'!$A$1:$AB$315,7,0)</f>
        <v>9.2249999999999996</v>
      </c>
      <c r="O272" s="8">
        <f>VLOOKUP($B272,'[1]Plant data'!$A$1:$AB$315,10,0)</f>
        <v>0.23</v>
      </c>
      <c r="P272" s="8">
        <f>VLOOKUP($B272,'[1]Plant data'!$A$1:$AB$315,11,0)</f>
        <v>0.18</v>
      </c>
      <c r="Q272" s="8">
        <f>VLOOKUP($B272,'[1]Plant data'!$A$1:$AB$315,12,0)</f>
        <v>2.9020000000000001E-2</v>
      </c>
      <c r="R272" s="8">
        <f>VLOOKUP($B272,'[1]Plant data'!$A$1:$AB$315,13,0)</f>
        <v>0.05</v>
      </c>
      <c r="S272" s="8" t="str">
        <f>VLOOKUP($B272,'[1]Plant data'!$A$1:$AB$315,14,0)</f>
        <v>NA</v>
      </c>
      <c r="T272" s="11">
        <f>VLOOKUP($B272,'[1]Plant data'!$A$1:$AB$315,15,0)</f>
        <v>3.7</v>
      </c>
      <c r="U272" s="9" t="str">
        <f>VLOOKUP($B272,'[1]Plant data'!$A$1:$AB$315,19,0)</f>
        <v>NA</v>
      </c>
      <c r="V272" s="8" t="str">
        <f>VLOOKUP($B272,'[1]Plant data'!$A$1:$AB$315,20,0)</f>
        <v>NA</v>
      </c>
      <c r="W272" s="8" t="str">
        <f>VLOOKUP($B272,'[1]Plant data'!$A$1:$AB$315,21,0)</f>
        <v>NA</v>
      </c>
      <c r="X272" s="8" t="str">
        <f>VLOOKUP($B272,'[1]Plant data'!$A$1:$AB$315,22,0)</f>
        <v>NA</v>
      </c>
      <c r="Y272" s="8" t="str">
        <f>VLOOKUP($B272,'[1]Plant data'!$A$1:$AB$315,23,0)</f>
        <v>NA</v>
      </c>
      <c r="Z272" s="8" t="str">
        <f>VLOOKUP($B272,'[1]Plant data'!$A$1:$AB$315,24,0)</f>
        <v>NA</v>
      </c>
      <c r="AA272" s="8" t="str">
        <f>VLOOKUP($B272,'[1]Plant data'!$A$1:$AB$315,25,0)</f>
        <v>NA</v>
      </c>
      <c r="AB272" s="8" t="s">
        <v>19</v>
      </c>
    </row>
    <row r="273" spans="1:28">
      <c r="A273" s="5" t="s">
        <v>124</v>
      </c>
      <c r="B273" s="40" t="s">
        <v>238</v>
      </c>
      <c r="C273" s="56">
        <v>2</v>
      </c>
      <c r="D273" s="59">
        <v>72</v>
      </c>
      <c r="E273" s="26">
        <f>C273/72</f>
        <v>2.7777777777777776E-2</v>
      </c>
      <c r="F273" s="56">
        <v>2</v>
      </c>
      <c r="G273" s="27">
        <f>F273/C273</f>
        <v>1</v>
      </c>
      <c r="H273" s="23">
        <f>E273*G273</f>
        <v>2.7777777777777776E-2</v>
      </c>
      <c r="I273" t="s">
        <v>109</v>
      </c>
      <c r="J273" s="11">
        <v>73.3</v>
      </c>
      <c r="K273" s="11">
        <v>17.52380952</v>
      </c>
      <c r="L273" t="str">
        <f>VLOOKUP(B273,'[1]Plant data'!$A$1:$AB$315,2,0)</f>
        <v>Aquifoliaceae</v>
      </c>
      <c r="M273" s="9">
        <f>VLOOKUP($B273,'[1]Plant data'!$A$1:$AB$315,6,0)</f>
        <v>3.145</v>
      </c>
      <c r="N273" s="9">
        <f>VLOOKUP($B273,'[1]Plant data'!$A$1:$AB$315,7,0)</f>
        <v>3.86</v>
      </c>
      <c r="O273" s="8">
        <f>VLOOKUP($B273,'[1]Plant data'!$A$1:$AB$315,10,0)</f>
        <v>4.8799999999999996E-2</v>
      </c>
      <c r="P273" s="8" t="str">
        <f>VLOOKUP($B273,'[1]Plant data'!$A$1:$AB$315,11,0)</f>
        <v>NA</v>
      </c>
      <c r="Q273" s="8">
        <f>VLOOKUP($B273,'[1]Plant data'!$A$1:$AB$315,12,0)</f>
        <v>5.3900000000000007E-3</v>
      </c>
      <c r="R273" s="8">
        <f>VLOOKUP($B273,'[1]Plant data'!$A$1:$AB$315,13,0)</f>
        <v>2.9100000000000004E-2</v>
      </c>
      <c r="S273" s="8">
        <f>VLOOKUP($B273,'[1]Plant data'!$A$1:$AB$315,14,0)</f>
        <v>1.9699999999999999E-2</v>
      </c>
      <c r="T273" s="11">
        <f>VLOOKUP($B273,'[1]Plant data'!$A$1:$AB$315,15,0)</f>
        <v>4.0999999999999996</v>
      </c>
      <c r="U273" s="9" t="str">
        <f>VLOOKUP($B273,'[1]Plant data'!$A$1:$AB$315,19,0)</f>
        <v>NA</v>
      </c>
      <c r="V273" s="8" t="str">
        <f>VLOOKUP($B273,'[1]Plant data'!$A$1:$AB$315,20,0)</f>
        <v>NA</v>
      </c>
      <c r="W273" s="8" t="str">
        <f>VLOOKUP($B273,'[1]Plant data'!$A$1:$AB$315,21,0)</f>
        <v>NA</v>
      </c>
      <c r="X273" s="8" t="str">
        <f>VLOOKUP($B273,'[1]Plant data'!$A$1:$AB$315,22,0)</f>
        <v>NA</v>
      </c>
      <c r="Y273" s="8" t="str">
        <f>VLOOKUP($B273,'[1]Plant data'!$A$1:$AB$315,23,0)</f>
        <v>NA</v>
      </c>
      <c r="Z273" s="8" t="str">
        <f>VLOOKUP($B273,'[1]Plant data'!$A$1:$AB$315,24,0)</f>
        <v>NA</v>
      </c>
      <c r="AA273" s="8" t="str">
        <f>VLOOKUP($B273,'[1]Plant data'!$A$1:$AB$315,25,0)</f>
        <v>NA</v>
      </c>
      <c r="AB273" s="8" t="s">
        <v>19</v>
      </c>
    </row>
    <row r="274" spans="1:28">
      <c r="A274" s="5" t="s">
        <v>46</v>
      </c>
      <c r="B274" s="40" t="s">
        <v>238</v>
      </c>
      <c r="C274" s="53">
        <v>2</v>
      </c>
      <c r="D274" s="17">
        <v>72</v>
      </c>
      <c r="E274" s="26">
        <f>C274/72</f>
        <v>2.7777777777777776E-2</v>
      </c>
      <c r="F274" s="54">
        <v>3</v>
      </c>
      <c r="G274" s="27">
        <f>F274/C274</f>
        <v>1.5</v>
      </c>
      <c r="H274" s="23">
        <f>E274*G274</f>
        <v>4.1666666666666664E-2</v>
      </c>
      <c r="I274" t="s">
        <v>47</v>
      </c>
      <c r="J274" s="11">
        <v>54</v>
      </c>
      <c r="K274" s="11">
        <v>11.14875</v>
      </c>
      <c r="L274" t="str">
        <f>VLOOKUP(B274,'[1]Plant data'!$A$1:$AB$315,2,0)</f>
        <v>Aquifoliaceae</v>
      </c>
      <c r="M274" s="9">
        <f>VLOOKUP($B274,'[1]Plant data'!$A$1:$AB$315,6,0)</f>
        <v>3.145</v>
      </c>
      <c r="N274" s="9">
        <f>VLOOKUP($B274,'[1]Plant data'!$A$1:$AB$315,7,0)</f>
        <v>3.86</v>
      </c>
      <c r="O274" s="8">
        <f>VLOOKUP($B274,'[1]Plant data'!$A$1:$AB$315,10,0)</f>
        <v>4.8799999999999996E-2</v>
      </c>
      <c r="P274" s="8" t="str">
        <f>VLOOKUP($B274,'[1]Plant data'!$A$1:$AB$315,11,0)</f>
        <v>NA</v>
      </c>
      <c r="Q274" s="8">
        <f>VLOOKUP($B274,'[1]Plant data'!$A$1:$AB$315,12,0)</f>
        <v>5.3900000000000007E-3</v>
      </c>
      <c r="R274" s="8">
        <f>VLOOKUP($B274,'[1]Plant data'!$A$1:$AB$315,13,0)</f>
        <v>2.9100000000000004E-2</v>
      </c>
      <c r="S274" s="8">
        <f>VLOOKUP($B274,'[1]Plant data'!$A$1:$AB$315,14,0)</f>
        <v>1.9699999999999999E-2</v>
      </c>
      <c r="T274" s="11">
        <f>VLOOKUP($B274,'[1]Plant data'!$A$1:$AB$315,15,0)</f>
        <v>4.0999999999999996</v>
      </c>
      <c r="U274" s="9" t="str">
        <f>VLOOKUP($B274,'[1]Plant data'!$A$1:$AB$315,19,0)</f>
        <v>NA</v>
      </c>
      <c r="V274" s="8" t="str">
        <f>VLOOKUP($B274,'[1]Plant data'!$A$1:$AB$315,20,0)</f>
        <v>NA</v>
      </c>
      <c r="W274" s="8" t="str">
        <f>VLOOKUP($B274,'[1]Plant data'!$A$1:$AB$315,21,0)</f>
        <v>NA</v>
      </c>
      <c r="X274" s="8" t="str">
        <f>VLOOKUP($B274,'[1]Plant data'!$A$1:$AB$315,22,0)</f>
        <v>NA</v>
      </c>
      <c r="Y274" s="8" t="str">
        <f>VLOOKUP($B274,'[1]Plant data'!$A$1:$AB$315,23,0)</f>
        <v>NA</v>
      </c>
      <c r="Z274" s="8" t="str">
        <f>VLOOKUP($B274,'[1]Plant data'!$A$1:$AB$315,24,0)</f>
        <v>NA</v>
      </c>
      <c r="AA274" s="8" t="str">
        <f>VLOOKUP($B274,'[1]Plant data'!$A$1:$AB$315,25,0)</f>
        <v>NA</v>
      </c>
      <c r="AB274" s="8" t="s">
        <v>19</v>
      </c>
    </row>
    <row r="275" spans="1:28">
      <c r="A275" s="5" t="s">
        <v>50</v>
      </c>
      <c r="B275" s="37" t="s">
        <v>238</v>
      </c>
      <c r="C275" s="53">
        <v>21</v>
      </c>
      <c r="D275" s="17">
        <v>72</v>
      </c>
      <c r="E275" s="26">
        <f>C275/72</f>
        <v>0.29166666666666669</v>
      </c>
      <c r="F275" s="54">
        <v>427</v>
      </c>
      <c r="G275" s="27">
        <f>F275/C275</f>
        <v>20.333333333333332</v>
      </c>
      <c r="H275" s="23">
        <f>E275*G275</f>
        <v>5.9305555555555554</v>
      </c>
      <c r="I275" t="s">
        <v>47</v>
      </c>
      <c r="J275" s="11">
        <v>69.5</v>
      </c>
      <c r="K275" s="11">
        <v>13.253214290000001</v>
      </c>
      <c r="L275" t="str">
        <f>VLOOKUP(B275,'[1]Plant data'!$A$1:$AB$315,2,0)</f>
        <v>Aquifoliaceae</v>
      </c>
      <c r="M275" s="9">
        <f>VLOOKUP($B275,'[1]Plant data'!$A$1:$AB$315,6,0)</f>
        <v>3.145</v>
      </c>
      <c r="N275" s="9">
        <f>VLOOKUP($B275,'[1]Plant data'!$A$1:$AB$315,7,0)</f>
        <v>3.86</v>
      </c>
      <c r="O275" s="8">
        <f>VLOOKUP($B275,'[1]Plant data'!$A$1:$AB$315,10,0)</f>
        <v>4.8799999999999996E-2</v>
      </c>
      <c r="P275" s="8" t="str">
        <f>VLOOKUP($B275,'[1]Plant data'!$A$1:$AB$315,11,0)</f>
        <v>NA</v>
      </c>
      <c r="Q275" s="8">
        <f>VLOOKUP($B275,'[1]Plant data'!$A$1:$AB$315,12,0)</f>
        <v>5.3900000000000007E-3</v>
      </c>
      <c r="R275" s="8">
        <f>VLOOKUP($B275,'[1]Plant data'!$A$1:$AB$315,13,0)</f>
        <v>2.9100000000000004E-2</v>
      </c>
      <c r="S275" s="8">
        <f>VLOOKUP($B275,'[1]Plant data'!$A$1:$AB$315,14,0)</f>
        <v>1.9699999999999999E-2</v>
      </c>
      <c r="T275" s="11">
        <f>VLOOKUP($B275,'[1]Plant data'!$A$1:$AB$315,15,0)</f>
        <v>4.0999999999999996</v>
      </c>
      <c r="U275" s="9" t="str">
        <f>VLOOKUP($B275,'[1]Plant data'!$A$1:$AB$315,19,0)</f>
        <v>NA</v>
      </c>
      <c r="V275" s="8" t="str">
        <f>VLOOKUP($B275,'[1]Plant data'!$A$1:$AB$315,20,0)</f>
        <v>NA</v>
      </c>
      <c r="W275" s="8" t="str">
        <f>VLOOKUP($B275,'[1]Plant data'!$A$1:$AB$315,21,0)</f>
        <v>NA</v>
      </c>
      <c r="X275" s="8" t="str">
        <f>VLOOKUP($B275,'[1]Plant data'!$A$1:$AB$315,22,0)</f>
        <v>NA</v>
      </c>
      <c r="Y275" s="8" t="str">
        <f>VLOOKUP($B275,'[1]Plant data'!$A$1:$AB$315,23,0)</f>
        <v>NA</v>
      </c>
      <c r="Z275" s="8" t="str">
        <f>VLOOKUP($B275,'[1]Plant data'!$A$1:$AB$315,24,0)</f>
        <v>NA</v>
      </c>
      <c r="AA275" s="8" t="str">
        <f>VLOOKUP($B275,'[1]Plant data'!$A$1:$AB$315,25,0)</f>
        <v>NA</v>
      </c>
      <c r="AB275" s="8" t="s">
        <v>19</v>
      </c>
    </row>
    <row r="276" spans="1:28">
      <c r="A276" s="18" t="s">
        <v>28</v>
      </c>
      <c r="B276" s="62" t="s">
        <v>56</v>
      </c>
      <c r="C276" s="53">
        <v>3</v>
      </c>
      <c r="D276" s="58">
        <v>254</v>
      </c>
      <c r="E276" s="8">
        <f>C276/D276</f>
        <v>1.1811023622047244E-2</v>
      </c>
      <c r="F276" s="55" t="s">
        <v>19</v>
      </c>
      <c r="G276" s="19" t="s">
        <v>19</v>
      </c>
      <c r="H276" s="23" t="s">
        <v>19</v>
      </c>
      <c r="I276" t="s">
        <v>30</v>
      </c>
      <c r="J276" s="11">
        <v>18</v>
      </c>
      <c r="K276" s="11">
        <v>7.4188405800000004</v>
      </c>
      <c r="L276" t="str">
        <f>VLOOKUP(B276,'[1]Plant data'!$A$1:$AB$315,2,0)</f>
        <v>Chrysobalanaceae</v>
      </c>
      <c r="M276" s="9" t="str">
        <f>VLOOKUP($B276,'[1]Plant data'!$A$1:$AB$315,6,0)</f>
        <v>NA</v>
      </c>
      <c r="N276" s="9" t="str">
        <f>VLOOKUP($B276,'[1]Plant data'!$A$1:$AB$315,7,0)</f>
        <v>NA</v>
      </c>
      <c r="O276" s="8" t="str">
        <f>VLOOKUP($B276,'[1]Plant data'!$A$1:$AB$315,10,0)</f>
        <v>NA</v>
      </c>
      <c r="P276" s="8" t="str">
        <f>VLOOKUP($B276,'[1]Plant data'!$A$1:$AB$315,11,0)</f>
        <v>NA</v>
      </c>
      <c r="Q276" s="8" t="str">
        <f>VLOOKUP($B276,'[1]Plant data'!$A$1:$AB$315,12,0)</f>
        <v>NA</v>
      </c>
      <c r="R276" s="8" t="str">
        <f>VLOOKUP($B276,'[1]Plant data'!$A$1:$AB$315,13,0)</f>
        <v>NA</v>
      </c>
      <c r="S276" s="8" t="str">
        <f>VLOOKUP($B276,'[1]Plant data'!$A$1:$AB$315,14,0)</f>
        <v>NA</v>
      </c>
      <c r="T276" s="11" t="str">
        <f>VLOOKUP($B276,'[1]Plant data'!$A$1:$AB$315,15,0)</f>
        <v>NA</v>
      </c>
      <c r="U276" s="9" t="str">
        <f>VLOOKUP($B276,'[1]Plant data'!$A$1:$AB$315,19,0)</f>
        <v>NA</v>
      </c>
      <c r="V276" s="8" t="str">
        <f>VLOOKUP($B276,'[1]Plant data'!$A$1:$AB$315,20,0)</f>
        <v>NA</v>
      </c>
      <c r="W276" s="8" t="str">
        <f>VLOOKUP($B276,'[1]Plant data'!$A$1:$AB$315,21,0)</f>
        <v>NA</v>
      </c>
      <c r="X276" s="8" t="str">
        <f>VLOOKUP($B276,'[1]Plant data'!$A$1:$AB$315,22,0)</f>
        <v>NA</v>
      </c>
      <c r="Y276" s="8" t="str">
        <f>VLOOKUP($B276,'[1]Plant data'!$A$1:$AB$315,23,0)</f>
        <v>NA</v>
      </c>
      <c r="Z276" s="8" t="str">
        <f>VLOOKUP($B276,'[1]Plant data'!$A$1:$AB$315,24,0)</f>
        <v>NA</v>
      </c>
      <c r="AA276" s="8" t="str">
        <f>VLOOKUP($B276,'[1]Plant data'!$A$1:$AB$315,25,0)</f>
        <v>NA</v>
      </c>
      <c r="AB276" s="8" t="s">
        <v>19</v>
      </c>
    </row>
    <row r="277" spans="1:28">
      <c r="A277" s="5" t="s">
        <v>70</v>
      </c>
      <c r="B277" s="40" t="s">
        <v>134</v>
      </c>
      <c r="C277" s="53">
        <v>2</v>
      </c>
      <c r="D277" s="58">
        <v>15</v>
      </c>
      <c r="E277" s="23">
        <f>(C277/15)*2</f>
        <v>0.26666666666666666</v>
      </c>
      <c r="F277" s="54" t="s">
        <v>19</v>
      </c>
      <c r="G277" s="9">
        <v>1</v>
      </c>
      <c r="H277" s="23">
        <f>E277*G277</f>
        <v>0.26666666666666666</v>
      </c>
      <c r="I277" t="s">
        <v>23</v>
      </c>
      <c r="J277" s="11">
        <v>15</v>
      </c>
      <c r="K277" s="11">
        <v>6.9235714289999999</v>
      </c>
      <c r="L277" t="str">
        <f>VLOOKUP(B277,'[1]Plant data'!$A$1:$AB$315,2,0)</f>
        <v>Melastomataceae</v>
      </c>
      <c r="M277" s="9">
        <f>VLOOKUP($B277,'[1]Plant data'!$A$1:$AB$315,6,0)</f>
        <v>11.9</v>
      </c>
      <c r="N277" s="9">
        <f>VLOOKUP($B277,'[1]Plant data'!$A$1:$AB$315,7,0)</f>
        <v>13.3</v>
      </c>
      <c r="O277" s="8" t="str">
        <f>VLOOKUP($B277,'[1]Plant data'!$A$1:$AB$315,10,0)</f>
        <v>NA</v>
      </c>
      <c r="P277" s="8" t="str">
        <f>VLOOKUP($B277,'[1]Plant data'!$A$1:$AB$315,11,0)</f>
        <v>NA</v>
      </c>
      <c r="Q277" s="8" t="str">
        <f>VLOOKUP($B277,'[1]Plant data'!$A$1:$AB$315,12,0)</f>
        <v>NA</v>
      </c>
      <c r="R277" s="8" t="str">
        <f>VLOOKUP($B277,'[1]Plant data'!$A$1:$AB$315,13,0)</f>
        <v>NA</v>
      </c>
      <c r="S277" s="8" t="str">
        <f>VLOOKUP($B277,'[1]Plant data'!$A$1:$AB$315,14,0)</f>
        <v>NA</v>
      </c>
      <c r="T277" s="11" t="str">
        <f>VLOOKUP($B277,'[1]Plant data'!$A$1:$AB$315,15,0)</f>
        <v>NA</v>
      </c>
      <c r="U277" s="9" t="str">
        <f>VLOOKUP($B277,'[1]Plant data'!$A$1:$AB$315,19,0)</f>
        <v>NA</v>
      </c>
      <c r="V277" s="8" t="str">
        <f>VLOOKUP($B277,'[1]Plant data'!$A$1:$AB$315,20,0)</f>
        <v>NA</v>
      </c>
      <c r="W277" s="8" t="str">
        <f>VLOOKUP($B277,'[1]Plant data'!$A$1:$AB$315,21,0)</f>
        <v>NA</v>
      </c>
      <c r="X277" s="8" t="str">
        <f>VLOOKUP($B277,'[1]Plant data'!$A$1:$AB$315,22,0)</f>
        <v>NA</v>
      </c>
      <c r="Y277" s="8" t="str">
        <f>VLOOKUP($B277,'[1]Plant data'!$A$1:$AB$315,23,0)</f>
        <v>NA</v>
      </c>
      <c r="Z277" s="8" t="str">
        <f>VLOOKUP($B277,'[1]Plant data'!$A$1:$AB$315,24,0)</f>
        <v>NA</v>
      </c>
      <c r="AA277" s="8" t="str">
        <f>VLOOKUP($B277,'[1]Plant data'!$A$1:$AB$315,25,0)</f>
        <v>NA</v>
      </c>
      <c r="AB277" s="8" t="s">
        <v>19</v>
      </c>
    </row>
    <row r="278" spans="1:28">
      <c r="A278" s="18" t="s">
        <v>28</v>
      </c>
      <c r="B278" s="40" t="s">
        <v>185</v>
      </c>
      <c r="C278" s="56">
        <v>4</v>
      </c>
      <c r="D278" s="59">
        <v>5</v>
      </c>
      <c r="E278" s="26">
        <f>C278/D278</f>
        <v>0.8</v>
      </c>
      <c r="F278" s="56" t="s">
        <v>19</v>
      </c>
      <c r="G278" s="27" t="s">
        <v>184</v>
      </c>
      <c r="H278" s="23" t="s">
        <v>19</v>
      </c>
      <c r="I278" t="s">
        <v>30</v>
      </c>
      <c r="J278" s="11">
        <v>18</v>
      </c>
      <c r="K278" s="11">
        <v>7.4188405800000004</v>
      </c>
      <c r="L278" t="str">
        <f>VLOOKUP(B278,'[1]Plant data'!$A$1:$AB$315,2,0)</f>
        <v>Rubiaceae</v>
      </c>
      <c r="M278" s="9">
        <f>VLOOKUP($B278,'[1]Plant data'!$A$1:$AB$315,6,0)</f>
        <v>9.8000000000000007</v>
      </c>
      <c r="N278" s="9">
        <f>VLOOKUP($B278,'[1]Plant data'!$A$1:$AB$315,7,0)</f>
        <v>8.1</v>
      </c>
      <c r="O278" s="8" t="str">
        <f>VLOOKUP($B278,'[1]Plant data'!$A$1:$AB$315,10,0)</f>
        <v>NA</v>
      </c>
      <c r="P278" s="8" t="str">
        <f>VLOOKUP($B278,'[1]Plant data'!$A$1:$AB$315,11,0)</f>
        <v>NA</v>
      </c>
      <c r="Q278" s="8" t="str">
        <f>VLOOKUP($B278,'[1]Plant data'!$A$1:$AB$315,12,0)</f>
        <v>NA</v>
      </c>
      <c r="R278" s="8" t="str">
        <f>VLOOKUP($B278,'[1]Plant data'!$A$1:$AB$315,13,0)</f>
        <v>NA</v>
      </c>
      <c r="S278" s="8" t="str">
        <f>VLOOKUP($B278,'[1]Plant data'!$A$1:$AB$315,14,0)</f>
        <v>NA</v>
      </c>
      <c r="T278" s="11" t="str">
        <f>VLOOKUP($B278,'[1]Plant data'!$A$1:$AB$315,15,0)</f>
        <v>NA</v>
      </c>
      <c r="U278" s="9" t="str">
        <f>VLOOKUP($B278,'[1]Plant data'!$A$1:$AB$315,19,0)</f>
        <v>NA</v>
      </c>
      <c r="V278" s="8" t="str">
        <f>VLOOKUP($B278,'[1]Plant data'!$A$1:$AB$315,20,0)</f>
        <v>NA</v>
      </c>
      <c r="W278" s="8" t="str">
        <f>VLOOKUP($B278,'[1]Plant data'!$A$1:$AB$315,21,0)</f>
        <v>NA</v>
      </c>
      <c r="X278" s="8" t="str">
        <f>VLOOKUP($B278,'[1]Plant data'!$A$1:$AB$315,22,0)</f>
        <v>NA</v>
      </c>
      <c r="Y278" s="8" t="str">
        <f>VLOOKUP($B278,'[1]Plant data'!$A$1:$AB$315,23,0)</f>
        <v>NA</v>
      </c>
      <c r="Z278" s="8" t="str">
        <f>VLOOKUP($B278,'[1]Plant data'!$A$1:$AB$315,24,0)</f>
        <v>NA</v>
      </c>
      <c r="AA278" s="8" t="str">
        <f>VLOOKUP($B278,'[1]Plant data'!$A$1:$AB$315,25,0)</f>
        <v>NA</v>
      </c>
      <c r="AB278" s="8" t="s">
        <v>19</v>
      </c>
    </row>
    <row r="279" spans="1:28">
      <c r="A279" s="5" t="s">
        <v>43</v>
      </c>
      <c r="B279" s="37" t="s">
        <v>185</v>
      </c>
      <c r="C279" s="53">
        <v>7</v>
      </c>
      <c r="D279" s="11">
        <v>5</v>
      </c>
      <c r="E279" s="8">
        <f>C279/5</f>
        <v>1.4</v>
      </c>
      <c r="F279" s="54" t="s">
        <v>19</v>
      </c>
      <c r="G279" s="9" t="s">
        <v>19</v>
      </c>
      <c r="H279" s="23" t="s">
        <v>19</v>
      </c>
      <c r="I279" t="s">
        <v>30</v>
      </c>
      <c r="J279" s="11">
        <v>32.5</v>
      </c>
      <c r="K279" s="11">
        <v>8.9205555560000001</v>
      </c>
      <c r="L279" t="str">
        <f>VLOOKUP(B279,'[1]Plant data'!$A$1:$AB$315,2,0)</f>
        <v>Rubiaceae</v>
      </c>
      <c r="M279" s="9">
        <f>VLOOKUP($B279,'[1]Plant data'!$A$1:$AB$315,6,0)</f>
        <v>9.8000000000000007</v>
      </c>
      <c r="N279" s="9">
        <f>VLOOKUP($B279,'[1]Plant data'!$A$1:$AB$315,7,0)</f>
        <v>8.1</v>
      </c>
      <c r="O279" s="8" t="str">
        <f>VLOOKUP($B279,'[1]Plant data'!$A$1:$AB$315,10,0)</f>
        <v>NA</v>
      </c>
      <c r="P279" s="8" t="str">
        <f>VLOOKUP($B279,'[1]Plant data'!$A$1:$AB$315,11,0)</f>
        <v>NA</v>
      </c>
      <c r="Q279" s="8" t="str">
        <f>VLOOKUP($B279,'[1]Plant data'!$A$1:$AB$315,12,0)</f>
        <v>NA</v>
      </c>
      <c r="R279" s="8" t="str">
        <f>VLOOKUP($B279,'[1]Plant data'!$A$1:$AB$315,13,0)</f>
        <v>NA</v>
      </c>
      <c r="S279" s="8" t="str">
        <f>VLOOKUP($B279,'[1]Plant data'!$A$1:$AB$315,14,0)</f>
        <v>NA</v>
      </c>
      <c r="T279" s="11" t="str">
        <f>VLOOKUP($B279,'[1]Plant data'!$A$1:$AB$315,15,0)</f>
        <v>NA</v>
      </c>
      <c r="U279" s="9" t="str">
        <f>VLOOKUP($B279,'[1]Plant data'!$A$1:$AB$315,19,0)</f>
        <v>NA</v>
      </c>
      <c r="V279" s="8" t="str">
        <f>VLOOKUP($B279,'[1]Plant data'!$A$1:$AB$315,20,0)</f>
        <v>NA</v>
      </c>
      <c r="W279" s="8" t="str">
        <f>VLOOKUP($B279,'[1]Plant data'!$A$1:$AB$315,21,0)</f>
        <v>NA</v>
      </c>
      <c r="X279" s="8" t="str">
        <f>VLOOKUP($B279,'[1]Plant data'!$A$1:$AB$315,22,0)</f>
        <v>NA</v>
      </c>
      <c r="Y279" s="8" t="str">
        <f>VLOOKUP($B279,'[1]Plant data'!$A$1:$AB$315,23,0)</f>
        <v>NA</v>
      </c>
      <c r="Z279" s="8" t="str">
        <f>VLOOKUP($B279,'[1]Plant data'!$A$1:$AB$315,24,0)</f>
        <v>NA</v>
      </c>
      <c r="AA279" s="8" t="str">
        <f>VLOOKUP($B279,'[1]Plant data'!$A$1:$AB$315,25,0)</f>
        <v>NA</v>
      </c>
      <c r="AB279" s="8" t="s">
        <v>19</v>
      </c>
    </row>
    <row r="280" spans="1:28">
      <c r="A280" s="21" t="s">
        <v>46</v>
      </c>
      <c r="B280" s="60" t="s">
        <v>232</v>
      </c>
      <c r="C280" s="55">
        <v>9</v>
      </c>
      <c r="D280" s="17">
        <v>32</v>
      </c>
      <c r="E280" s="23">
        <f>C280/32</f>
        <v>0.28125</v>
      </c>
      <c r="F280" s="55">
        <v>27</v>
      </c>
      <c r="G280" s="19">
        <f>F280/C280</f>
        <v>3</v>
      </c>
      <c r="H280" s="23">
        <f>E280*G280</f>
        <v>0.84375</v>
      </c>
      <c r="I280" s="16" t="s">
        <v>47</v>
      </c>
      <c r="J280" s="17">
        <v>54</v>
      </c>
      <c r="K280" s="17">
        <v>11.14875</v>
      </c>
      <c r="L280" t="str">
        <f>VLOOKUP(B280,'[1]Plant data'!$A$1:$AB$315,2,0)</f>
        <v>Annonaceae</v>
      </c>
      <c r="M280" s="9">
        <f>VLOOKUP($B280,'[1]Plant data'!$A$1:$AB$315,6,0)</f>
        <v>6</v>
      </c>
      <c r="N280" s="9">
        <f>VLOOKUP($B280,'[1]Plant data'!$A$1:$AB$315,7,0)</f>
        <v>11.265000000000001</v>
      </c>
      <c r="O280" s="8">
        <f>VLOOKUP($B280,'[1]Plant data'!$A$1:$AB$315,10,0)</f>
        <v>0.38</v>
      </c>
      <c r="P280" s="8" t="str">
        <f>VLOOKUP($B280,'[1]Plant data'!$A$1:$AB$315,11,0)</f>
        <v>NA</v>
      </c>
      <c r="Q280" s="8" t="str">
        <f>VLOOKUP($B280,'[1]Plant data'!$A$1:$AB$315,12,0)</f>
        <v>NA</v>
      </c>
      <c r="R280" s="8" t="str">
        <f>VLOOKUP($B280,'[1]Plant data'!$A$1:$AB$315,13,0)</f>
        <v>NA</v>
      </c>
      <c r="S280" s="8" t="str">
        <f>VLOOKUP($B280,'[1]Plant data'!$A$1:$AB$315,14,0)</f>
        <v>NA</v>
      </c>
      <c r="T280" s="11">
        <f>VLOOKUP($B280,'[1]Plant data'!$A$1:$AB$315,15,0)</f>
        <v>1</v>
      </c>
      <c r="U280" s="9">
        <f>VLOOKUP($B280,'[1]Plant data'!$A$1:$AB$315,19,0)</f>
        <v>0.67800000000000005</v>
      </c>
      <c r="V280" s="8">
        <f>VLOOKUP($B280,'[1]Plant data'!$A$1:$AB$315,20,0)</f>
        <v>8.5999999999999993E-2</v>
      </c>
      <c r="W280" s="8" t="str">
        <f>VLOOKUP($B280,'[1]Plant data'!$A$1:$AB$315,21,0)</f>
        <v>NA</v>
      </c>
      <c r="X280" s="8" t="str">
        <f>VLOOKUP($B280,'[1]Plant data'!$A$1:$AB$315,22,0)</f>
        <v>NA</v>
      </c>
      <c r="Y280" s="8" t="str">
        <f>VLOOKUP($B280,'[1]Plant data'!$A$1:$AB$315,23,0)</f>
        <v>NA</v>
      </c>
      <c r="Z280" s="8" t="str">
        <f>VLOOKUP($B280,'[1]Plant data'!$A$1:$AB$315,24,0)</f>
        <v>NA</v>
      </c>
      <c r="AA280" s="8" t="str">
        <f>VLOOKUP($B280,'[1]Plant data'!$A$1:$AB$315,25,0)</f>
        <v>NA</v>
      </c>
      <c r="AB280" s="8" t="s">
        <v>19</v>
      </c>
    </row>
    <row r="281" spans="1:28">
      <c r="A281" s="21" t="s">
        <v>50</v>
      </c>
      <c r="B281" s="60" t="s">
        <v>232</v>
      </c>
      <c r="C281" s="55">
        <v>16</v>
      </c>
      <c r="D281" s="17">
        <v>32</v>
      </c>
      <c r="E281" s="23">
        <f>C281/32</f>
        <v>0.5</v>
      </c>
      <c r="F281" s="55">
        <v>48</v>
      </c>
      <c r="G281" s="19">
        <v>4</v>
      </c>
      <c r="H281" s="23">
        <f>E281*G281</f>
        <v>2</v>
      </c>
      <c r="I281" s="16" t="s">
        <v>47</v>
      </c>
      <c r="J281" s="17">
        <v>69.5</v>
      </c>
      <c r="K281" s="17">
        <v>13.253214290000001</v>
      </c>
      <c r="L281" t="str">
        <f>VLOOKUP(B281,'[1]Plant data'!$A$1:$AB$315,2,0)</f>
        <v>Annonaceae</v>
      </c>
      <c r="M281" s="9">
        <f>VLOOKUP($B281,'[1]Plant data'!$A$1:$AB$315,6,0)</f>
        <v>6</v>
      </c>
      <c r="N281" s="9">
        <f>VLOOKUP($B281,'[1]Plant data'!$A$1:$AB$315,7,0)</f>
        <v>11.265000000000001</v>
      </c>
      <c r="O281" s="8">
        <f>VLOOKUP($B281,'[1]Plant data'!$A$1:$AB$315,10,0)</f>
        <v>0.38</v>
      </c>
      <c r="P281" s="8" t="str">
        <f>VLOOKUP($B281,'[1]Plant data'!$A$1:$AB$315,11,0)</f>
        <v>NA</v>
      </c>
      <c r="Q281" s="8" t="str">
        <f>VLOOKUP($B281,'[1]Plant data'!$A$1:$AB$315,12,0)</f>
        <v>NA</v>
      </c>
      <c r="R281" s="8" t="str">
        <f>VLOOKUP($B281,'[1]Plant data'!$A$1:$AB$315,13,0)</f>
        <v>NA</v>
      </c>
      <c r="S281" s="8" t="str">
        <f>VLOOKUP($B281,'[1]Plant data'!$A$1:$AB$315,14,0)</f>
        <v>NA</v>
      </c>
      <c r="T281" s="11">
        <f>VLOOKUP($B281,'[1]Plant data'!$A$1:$AB$315,15,0)</f>
        <v>1</v>
      </c>
      <c r="U281" s="9">
        <f>VLOOKUP($B281,'[1]Plant data'!$A$1:$AB$315,19,0)</f>
        <v>0.67800000000000005</v>
      </c>
      <c r="V281" s="8">
        <f>VLOOKUP($B281,'[1]Plant data'!$A$1:$AB$315,20,0)</f>
        <v>8.5999999999999993E-2</v>
      </c>
      <c r="W281" s="8" t="str">
        <f>VLOOKUP($B281,'[1]Plant data'!$A$1:$AB$315,21,0)</f>
        <v>NA</v>
      </c>
      <c r="X281" s="8" t="str">
        <f>VLOOKUP($B281,'[1]Plant data'!$A$1:$AB$315,22,0)</f>
        <v>NA</v>
      </c>
      <c r="Y281" s="8" t="str">
        <f>VLOOKUP($B281,'[1]Plant data'!$A$1:$AB$315,23,0)</f>
        <v>NA</v>
      </c>
      <c r="Z281" s="8" t="str">
        <f>VLOOKUP($B281,'[1]Plant data'!$A$1:$AB$315,24,0)</f>
        <v>NA</v>
      </c>
      <c r="AA281" s="8" t="str">
        <f>VLOOKUP($B281,'[1]Plant data'!$A$1:$AB$315,25,0)</f>
        <v>NA</v>
      </c>
      <c r="AB281" s="8" t="s">
        <v>19</v>
      </c>
    </row>
    <row r="282" spans="1:28">
      <c r="A282" s="5" t="s">
        <v>50</v>
      </c>
      <c r="B282" s="37" t="s">
        <v>195</v>
      </c>
      <c r="C282" s="53">
        <v>8</v>
      </c>
      <c r="D282" s="11">
        <v>3</v>
      </c>
      <c r="E282" s="8">
        <f>C282/3</f>
        <v>2.6666666666666665</v>
      </c>
      <c r="F282" s="54" t="s">
        <v>19</v>
      </c>
      <c r="G282" s="9" t="s">
        <v>19</v>
      </c>
      <c r="H282" s="23" t="s">
        <v>19</v>
      </c>
      <c r="I282" t="s">
        <v>47</v>
      </c>
      <c r="J282" s="11">
        <v>69.5</v>
      </c>
      <c r="K282" s="11">
        <v>13.253214290000001</v>
      </c>
      <c r="L282" t="str">
        <f>VLOOKUP(B282,'[1]Plant data'!$A$1:$AB$315,2,0)</f>
        <v>Meliaceae</v>
      </c>
      <c r="M282" s="9">
        <f>VLOOKUP($B282,'[1]Plant data'!$A$1:$AB$315,6,0)</f>
        <v>8.5383333333333322</v>
      </c>
      <c r="N282" s="9">
        <f>VLOOKUP($B282,'[1]Plant data'!$A$1:$AB$315,7,0)</f>
        <v>11.948333333333332</v>
      </c>
      <c r="O282" s="8">
        <f>VLOOKUP($B282,'[1]Plant data'!$A$1:$AB$315,10,0)</f>
        <v>0.49099999999999994</v>
      </c>
      <c r="P282" s="8">
        <f>VLOOKUP($B282,'[1]Plant data'!$A$1:$AB$315,11,0)</f>
        <v>0.15</v>
      </c>
      <c r="Q282" s="8">
        <f>VLOOKUP($B282,'[1]Plant data'!$A$1:$AB$315,12,0)</f>
        <v>0.323125</v>
      </c>
      <c r="R282" s="8">
        <f>VLOOKUP($B282,'[1]Plant data'!$A$1:$AB$315,13,0)</f>
        <v>0.10837499999999999</v>
      </c>
      <c r="S282" s="8">
        <f>VLOOKUP($B282,'[1]Plant data'!$A$1:$AB$315,14,0)</f>
        <v>0.28625</v>
      </c>
      <c r="T282" s="11">
        <f>VLOOKUP($B282,'[1]Plant data'!$A$1:$AB$315,15,0)</f>
        <v>1</v>
      </c>
      <c r="U282" s="9">
        <f>VLOOKUP($B282,'[1]Plant data'!$A$1:$AB$315,19,0)</f>
        <v>0.73510000000000009</v>
      </c>
      <c r="V282" s="8">
        <f>VLOOKUP($B282,'[1]Plant data'!$A$1:$AB$315,20,0)</f>
        <v>0.44079999999999997</v>
      </c>
      <c r="W282" s="8">
        <f>VLOOKUP($B282,'[1]Plant data'!$A$1:$AB$315,21,0)</f>
        <v>8.9600000000000013E-2</v>
      </c>
      <c r="X282" s="8">
        <f>VLOOKUP($B282,'[1]Plant data'!$A$1:$AB$315,22,0)</f>
        <v>1E-3</v>
      </c>
      <c r="Y282" s="8" t="str">
        <f>VLOOKUP($B282,'[1]Plant data'!$A$1:$AB$315,23,0)</f>
        <v>NA</v>
      </c>
      <c r="Z282" s="8" t="str">
        <f>VLOOKUP($B282,'[1]Plant data'!$A$1:$AB$315,24,0)</f>
        <v>NA</v>
      </c>
      <c r="AA282" s="8" t="str">
        <f>VLOOKUP($B282,'[1]Plant data'!$A$1:$AB$315,25,0)</f>
        <v>NA</v>
      </c>
      <c r="AB282" s="8">
        <f t="shared" ref="AB282:AB289" si="20">SUMIF(X282:Y282,"&gt;0.00001")</f>
        <v>1E-3</v>
      </c>
    </row>
    <row r="283" spans="1:28">
      <c r="A283" s="5" t="s">
        <v>70</v>
      </c>
      <c r="B283" s="40" t="s">
        <v>35</v>
      </c>
      <c r="C283" s="53">
        <v>2</v>
      </c>
      <c r="D283" s="11">
        <v>15.9</v>
      </c>
      <c r="E283" s="8">
        <f>C283/15.9</f>
        <v>0.12578616352201258</v>
      </c>
      <c r="F283" s="54" t="s">
        <v>19</v>
      </c>
      <c r="G283" s="9" t="s">
        <v>19</v>
      </c>
      <c r="H283" s="23" t="s">
        <v>19</v>
      </c>
      <c r="I283" t="s">
        <v>23</v>
      </c>
      <c r="J283" s="11">
        <v>15</v>
      </c>
      <c r="K283" s="11">
        <v>6.9235714289999999</v>
      </c>
      <c r="L283" t="str">
        <f>VLOOKUP(B283,'[1]Plant data'!$A$1:$AB$315,2,0)</f>
        <v>Nyctaginaceae</v>
      </c>
      <c r="M283" s="9">
        <f>VLOOKUP($B283,'[1]Plant data'!$A$1:$AB$315,6,0)</f>
        <v>6.7537500000000001</v>
      </c>
      <c r="N283" s="9">
        <f>VLOOKUP($B283,'[1]Plant data'!$A$1:$AB$315,7,0)</f>
        <v>8.35</v>
      </c>
      <c r="O283" s="8">
        <f>VLOOKUP($B283,'[1]Plant data'!$A$1:$AB$315,10,0)</f>
        <v>0.19342499999999999</v>
      </c>
      <c r="P283" s="8">
        <f>VLOOKUP($B283,'[1]Plant data'!$A$1:$AB$315,11,0)</f>
        <v>0.16</v>
      </c>
      <c r="Q283" s="8">
        <f>VLOOKUP($B283,'[1]Plant data'!$A$1:$AB$315,12,0)</f>
        <v>4.4450000000000003E-2</v>
      </c>
      <c r="R283" s="8">
        <f>VLOOKUP($B283,'[1]Plant data'!$A$1:$AB$315,13,0)</f>
        <v>6.094999999999999E-2</v>
      </c>
      <c r="S283" s="8">
        <f>VLOOKUP($B283,'[1]Plant data'!$A$1:$AB$315,14,0)</f>
        <v>3.1800000000000009E-2</v>
      </c>
      <c r="T283" s="11">
        <f>VLOOKUP($B283,'[1]Plant data'!$A$1:$AB$315,15,0)</f>
        <v>1</v>
      </c>
      <c r="U283" s="9">
        <f>VLOOKUP($B283,'[1]Plant data'!$A$1:$AB$315,19,0)</f>
        <v>0.76200000000000001</v>
      </c>
      <c r="V283" s="8">
        <f>VLOOKUP($B283,'[1]Plant data'!$A$1:$AB$315,20,0)</f>
        <v>2.4614824629022293E-2</v>
      </c>
      <c r="W283" s="8">
        <f>VLOOKUP($B283,'[1]Plant data'!$A$1:$AB$315,21,0)</f>
        <v>0.18857499999999999</v>
      </c>
      <c r="X283" s="8">
        <f>VLOOKUP($B283,'[1]Plant data'!$A$1:$AB$315,22,0)</f>
        <v>3.0427057790241518E-2</v>
      </c>
      <c r="Y283" s="8">
        <f>VLOOKUP($B283,'[1]Plant data'!$A$1:$AB$315,23,0)</f>
        <v>9.273965188665384E-2</v>
      </c>
      <c r="Z283" s="8" t="str">
        <f>VLOOKUP($B283,'[1]Plant data'!$A$1:$AB$315,24,0)</f>
        <v>NA</v>
      </c>
      <c r="AA283" s="8">
        <f>VLOOKUP($B283,'[1]Plant data'!$A$1:$AB$315,25,0)</f>
        <v>0.6915</v>
      </c>
      <c r="AB283" s="8">
        <f t="shared" si="20"/>
        <v>0.12316670967689536</v>
      </c>
    </row>
    <row r="284" spans="1:28">
      <c r="A284" s="5" t="s">
        <v>32</v>
      </c>
      <c r="B284" s="40" t="s">
        <v>35</v>
      </c>
      <c r="C284" s="53">
        <v>11</v>
      </c>
      <c r="D284" s="58">
        <v>25.2</v>
      </c>
      <c r="E284" s="8">
        <f>C284/D284</f>
        <v>0.43650793650793651</v>
      </c>
      <c r="F284" s="54" t="s">
        <v>19</v>
      </c>
      <c r="G284" s="9" t="s">
        <v>19</v>
      </c>
      <c r="H284" s="23" t="s">
        <v>19</v>
      </c>
      <c r="I284" t="s">
        <v>30</v>
      </c>
      <c r="J284" s="11">
        <v>18</v>
      </c>
      <c r="K284" s="11">
        <v>5.1684999999999999</v>
      </c>
      <c r="L284" t="str">
        <f>VLOOKUP(B284,'[1]Plant data'!$A$1:$AB$315,2,0)</f>
        <v>Nyctaginaceae</v>
      </c>
      <c r="M284" s="9">
        <f>VLOOKUP($B284,'[1]Plant data'!$A$1:$AB$315,6,0)</f>
        <v>6.7537500000000001</v>
      </c>
      <c r="N284" s="9">
        <f>VLOOKUP($B284,'[1]Plant data'!$A$1:$AB$315,7,0)</f>
        <v>8.35</v>
      </c>
      <c r="O284" s="8">
        <f>VLOOKUP($B284,'[1]Plant data'!$A$1:$AB$315,10,0)</f>
        <v>0.19342499999999999</v>
      </c>
      <c r="P284" s="8">
        <f>VLOOKUP($B284,'[1]Plant data'!$A$1:$AB$315,11,0)</f>
        <v>0.16</v>
      </c>
      <c r="Q284" s="8">
        <f>VLOOKUP($B284,'[1]Plant data'!$A$1:$AB$315,12,0)</f>
        <v>4.4450000000000003E-2</v>
      </c>
      <c r="R284" s="8">
        <f>VLOOKUP($B284,'[1]Plant data'!$A$1:$AB$315,13,0)</f>
        <v>6.094999999999999E-2</v>
      </c>
      <c r="S284" s="8">
        <f>VLOOKUP($B284,'[1]Plant data'!$A$1:$AB$315,14,0)</f>
        <v>3.1800000000000009E-2</v>
      </c>
      <c r="T284" s="11">
        <f>VLOOKUP($B284,'[1]Plant data'!$A$1:$AB$315,15,0)</f>
        <v>1</v>
      </c>
      <c r="U284" s="9">
        <f>VLOOKUP($B284,'[1]Plant data'!$A$1:$AB$315,19,0)</f>
        <v>0.76200000000000001</v>
      </c>
      <c r="V284" s="8">
        <f>VLOOKUP($B284,'[1]Plant data'!$A$1:$AB$315,20,0)</f>
        <v>2.4614824629022293E-2</v>
      </c>
      <c r="W284" s="8">
        <f>VLOOKUP($B284,'[1]Plant data'!$A$1:$AB$315,21,0)</f>
        <v>0.18857499999999999</v>
      </c>
      <c r="X284" s="8">
        <f>VLOOKUP($B284,'[1]Plant data'!$A$1:$AB$315,22,0)</f>
        <v>3.0427057790241518E-2</v>
      </c>
      <c r="Y284" s="8">
        <f>VLOOKUP($B284,'[1]Plant data'!$A$1:$AB$315,23,0)</f>
        <v>9.273965188665384E-2</v>
      </c>
      <c r="Z284" s="8" t="str">
        <f>VLOOKUP($B284,'[1]Plant data'!$A$1:$AB$315,24,0)</f>
        <v>NA</v>
      </c>
      <c r="AA284" s="8">
        <f>VLOOKUP($B284,'[1]Plant data'!$A$1:$AB$315,25,0)</f>
        <v>0.6915</v>
      </c>
      <c r="AB284" s="8">
        <f t="shared" si="20"/>
        <v>0.12316670967689536</v>
      </c>
    </row>
    <row r="285" spans="1:28">
      <c r="A285" s="5" t="s">
        <v>43</v>
      </c>
      <c r="B285" s="37" t="s">
        <v>35</v>
      </c>
      <c r="C285" s="53">
        <v>1</v>
      </c>
      <c r="D285" s="58">
        <v>254</v>
      </c>
      <c r="E285" s="8">
        <f>C285/D285</f>
        <v>3.937007874015748E-3</v>
      </c>
      <c r="F285" s="54" t="s">
        <v>19</v>
      </c>
      <c r="G285" s="9" t="s">
        <v>19</v>
      </c>
      <c r="H285" s="23" t="s">
        <v>19</v>
      </c>
      <c r="I285" t="s">
        <v>30</v>
      </c>
      <c r="J285" s="11">
        <v>32.5</v>
      </c>
      <c r="K285" s="11">
        <v>8.9205555560000001</v>
      </c>
      <c r="L285" t="str">
        <f>VLOOKUP(B285,'[1]Plant data'!$A$1:$AB$315,2,0)</f>
        <v>Nyctaginaceae</v>
      </c>
      <c r="M285" s="9">
        <f>VLOOKUP($B285,'[1]Plant data'!$A$1:$AB$315,6,0)</f>
        <v>6.7537500000000001</v>
      </c>
      <c r="N285" s="9">
        <f>VLOOKUP($B285,'[1]Plant data'!$A$1:$AB$315,7,0)</f>
        <v>8.35</v>
      </c>
      <c r="O285" s="8">
        <f>VLOOKUP($B285,'[1]Plant data'!$A$1:$AB$315,10,0)</f>
        <v>0.19342499999999999</v>
      </c>
      <c r="P285" s="8">
        <f>VLOOKUP($B285,'[1]Plant data'!$A$1:$AB$315,11,0)</f>
        <v>0.16</v>
      </c>
      <c r="Q285" s="8">
        <f>VLOOKUP($B285,'[1]Plant data'!$A$1:$AB$315,12,0)</f>
        <v>4.4450000000000003E-2</v>
      </c>
      <c r="R285" s="8">
        <f>VLOOKUP($B285,'[1]Plant data'!$A$1:$AB$315,13,0)</f>
        <v>6.094999999999999E-2</v>
      </c>
      <c r="S285" s="8">
        <f>VLOOKUP($B285,'[1]Plant data'!$A$1:$AB$315,14,0)</f>
        <v>3.1800000000000009E-2</v>
      </c>
      <c r="T285" s="11">
        <f>VLOOKUP($B285,'[1]Plant data'!$A$1:$AB$315,15,0)</f>
        <v>1</v>
      </c>
      <c r="U285" s="9">
        <f>VLOOKUP($B285,'[1]Plant data'!$A$1:$AB$315,19,0)</f>
        <v>0.76200000000000001</v>
      </c>
      <c r="V285" s="8">
        <f>VLOOKUP($B285,'[1]Plant data'!$A$1:$AB$315,20,0)</f>
        <v>2.4614824629022293E-2</v>
      </c>
      <c r="W285" s="8">
        <f>VLOOKUP($B285,'[1]Plant data'!$A$1:$AB$315,21,0)</f>
        <v>0.18857499999999999</v>
      </c>
      <c r="X285" s="8">
        <f>VLOOKUP($B285,'[1]Plant data'!$A$1:$AB$315,22,0)</f>
        <v>3.0427057790241518E-2</v>
      </c>
      <c r="Y285" s="8">
        <f>VLOOKUP($B285,'[1]Plant data'!$A$1:$AB$315,23,0)</f>
        <v>9.273965188665384E-2</v>
      </c>
      <c r="Z285" s="8" t="str">
        <f>VLOOKUP($B285,'[1]Plant data'!$A$1:$AB$315,24,0)</f>
        <v>NA</v>
      </c>
      <c r="AA285" s="8">
        <f>VLOOKUP($B285,'[1]Plant data'!$A$1:$AB$315,25,0)</f>
        <v>0.6915</v>
      </c>
      <c r="AB285" s="8">
        <f t="shared" si="20"/>
        <v>0.12316670967689536</v>
      </c>
    </row>
    <row r="286" spans="1:28">
      <c r="A286" s="5" t="s">
        <v>43</v>
      </c>
      <c r="B286" s="37" t="s">
        <v>35</v>
      </c>
      <c r="C286" s="53">
        <v>10</v>
      </c>
      <c r="D286" s="58">
        <v>15.9</v>
      </c>
      <c r="E286" s="8">
        <f>C286/15.9</f>
        <v>0.62893081761006286</v>
      </c>
      <c r="F286" s="54" t="s">
        <v>19</v>
      </c>
      <c r="G286" s="9" t="s">
        <v>19</v>
      </c>
      <c r="H286" s="23" t="s">
        <v>19</v>
      </c>
      <c r="I286" t="s">
        <v>30</v>
      </c>
      <c r="J286" s="11">
        <v>32.5</v>
      </c>
      <c r="K286" s="11">
        <v>8.9205555560000001</v>
      </c>
      <c r="L286" t="str">
        <f>VLOOKUP(B286,'[1]Plant data'!$A$1:$AB$315,2,0)</f>
        <v>Nyctaginaceae</v>
      </c>
      <c r="M286" s="9">
        <f>VLOOKUP($B286,'[1]Plant data'!$A$1:$AB$315,6,0)</f>
        <v>6.7537500000000001</v>
      </c>
      <c r="N286" s="9">
        <f>VLOOKUP($B286,'[1]Plant data'!$A$1:$AB$315,7,0)</f>
        <v>8.35</v>
      </c>
      <c r="O286" s="8">
        <f>VLOOKUP($B286,'[1]Plant data'!$A$1:$AB$315,10,0)</f>
        <v>0.19342499999999999</v>
      </c>
      <c r="P286" s="8">
        <f>VLOOKUP($B286,'[1]Plant data'!$A$1:$AB$315,11,0)</f>
        <v>0.16</v>
      </c>
      <c r="Q286" s="8">
        <f>VLOOKUP($B286,'[1]Plant data'!$A$1:$AB$315,12,0)</f>
        <v>4.4450000000000003E-2</v>
      </c>
      <c r="R286" s="8">
        <f>VLOOKUP($B286,'[1]Plant data'!$A$1:$AB$315,13,0)</f>
        <v>6.094999999999999E-2</v>
      </c>
      <c r="S286" s="8">
        <f>VLOOKUP($B286,'[1]Plant data'!$A$1:$AB$315,14,0)</f>
        <v>3.1800000000000009E-2</v>
      </c>
      <c r="T286" s="11">
        <f>VLOOKUP($B286,'[1]Plant data'!$A$1:$AB$315,15,0)</f>
        <v>1</v>
      </c>
      <c r="U286" s="9">
        <f>VLOOKUP($B286,'[1]Plant data'!$A$1:$AB$315,19,0)</f>
        <v>0.76200000000000001</v>
      </c>
      <c r="V286" s="8">
        <f>VLOOKUP($B286,'[1]Plant data'!$A$1:$AB$315,20,0)</f>
        <v>2.4614824629022293E-2</v>
      </c>
      <c r="W286" s="8">
        <f>VLOOKUP($B286,'[1]Plant data'!$A$1:$AB$315,21,0)</f>
        <v>0.18857499999999999</v>
      </c>
      <c r="X286" s="8">
        <f>VLOOKUP($B286,'[1]Plant data'!$A$1:$AB$315,22,0)</f>
        <v>3.0427057790241518E-2</v>
      </c>
      <c r="Y286" s="8">
        <f>VLOOKUP($B286,'[1]Plant data'!$A$1:$AB$315,23,0)</f>
        <v>9.273965188665384E-2</v>
      </c>
      <c r="Z286" s="8" t="str">
        <f>VLOOKUP($B286,'[1]Plant data'!$A$1:$AB$315,24,0)</f>
        <v>NA</v>
      </c>
      <c r="AA286" s="8">
        <f>VLOOKUP($B286,'[1]Plant data'!$A$1:$AB$315,25,0)</f>
        <v>0.6915</v>
      </c>
      <c r="AB286" s="8">
        <f t="shared" si="20"/>
        <v>0.12316670967689536</v>
      </c>
    </row>
    <row r="287" spans="1:28">
      <c r="A287" s="5" t="s">
        <v>46</v>
      </c>
      <c r="B287" s="40" t="s">
        <v>35</v>
      </c>
      <c r="C287" s="53">
        <v>16</v>
      </c>
      <c r="D287" s="58">
        <v>25.2</v>
      </c>
      <c r="E287" s="8">
        <f>C287/D287</f>
        <v>0.63492063492063489</v>
      </c>
      <c r="F287" s="54" t="s">
        <v>19</v>
      </c>
      <c r="G287" s="9" t="s">
        <v>19</v>
      </c>
      <c r="H287" s="23" t="s">
        <v>19</v>
      </c>
      <c r="I287" t="s">
        <v>47</v>
      </c>
      <c r="J287" s="11">
        <v>54</v>
      </c>
      <c r="K287" s="11">
        <v>11.14875</v>
      </c>
      <c r="L287" t="str">
        <f>VLOOKUP(B287,'[1]Plant data'!$A$1:$AB$315,2,0)</f>
        <v>Nyctaginaceae</v>
      </c>
      <c r="M287" s="9">
        <f>VLOOKUP($B287,'[1]Plant data'!$A$1:$AB$315,6,0)</f>
        <v>6.7537500000000001</v>
      </c>
      <c r="N287" s="9">
        <f>VLOOKUP($B287,'[1]Plant data'!$A$1:$AB$315,7,0)</f>
        <v>8.35</v>
      </c>
      <c r="O287" s="8">
        <f>VLOOKUP($B287,'[1]Plant data'!$A$1:$AB$315,10,0)</f>
        <v>0.19342499999999999</v>
      </c>
      <c r="P287" s="8">
        <f>VLOOKUP($B287,'[1]Plant data'!$A$1:$AB$315,11,0)</f>
        <v>0.16</v>
      </c>
      <c r="Q287" s="8">
        <f>VLOOKUP($B287,'[1]Plant data'!$A$1:$AB$315,12,0)</f>
        <v>4.4450000000000003E-2</v>
      </c>
      <c r="R287" s="8">
        <f>VLOOKUP($B287,'[1]Plant data'!$A$1:$AB$315,13,0)</f>
        <v>6.094999999999999E-2</v>
      </c>
      <c r="S287" s="8">
        <f>VLOOKUP($B287,'[1]Plant data'!$A$1:$AB$315,14,0)</f>
        <v>3.1800000000000009E-2</v>
      </c>
      <c r="T287" s="11">
        <f>VLOOKUP($B287,'[1]Plant data'!$A$1:$AB$315,15,0)</f>
        <v>1</v>
      </c>
      <c r="U287" s="9">
        <f>VLOOKUP($B287,'[1]Plant data'!$A$1:$AB$315,19,0)</f>
        <v>0.76200000000000001</v>
      </c>
      <c r="V287" s="8">
        <f>VLOOKUP($B287,'[1]Plant data'!$A$1:$AB$315,20,0)</f>
        <v>2.4614824629022293E-2</v>
      </c>
      <c r="W287" s="8">
        <f>VLOOKUP($B287,'[1]Plant data'!$A$1:$AB$315,21,0)</f>
        <v>0.18857499999999999</v>
      </c>
      <c r="X287" s="8">
        <f>VLOOKUP($B287,'[1]Plant data'!$A$1:$AB$315,22,0)</f>
        <v>3.0427057790241518E-2</v>
      </c>
      <c r="Y287" s="8">
        <f>VLOOKUP($B287,'[1]Plant data'!$A$1:$AB$315,23,0)</f>
        <v>9.273965188665384E-2</v>
      </c>
      <c r="Z287" s="8" t="str">
        <f>VLOOKUP($B287,'[1]Plant data'!$A$1:$AB$315,24,0)</f>
        <v>NA</v>
      </c>
      <c r="AA287" s="8">
        <f>VLOOKUP($B287,'[1]Plant data'!$A$1:$AB$315,25,0)</f>
        <v>0.6915</v>
      </c>
      <c r="AB287" s="8">
        <f t="shared" si="20"/>
        <v>0.12316670967689536</v>
      </c>
    </row>
    <row r="288" spans="1:28">
      <c r="A288" s="5" t="s">
        <v>46</v>
      </c>
      <c r="B288" s="40" t="s">
        <v>35</v>
      </c>
      <c r="C288" s="53">
        <v>2</v>
      </c>
      <c r="D288" s="58">
        <v>15.9</v>
      </c>
      <c r="E288" s="8">
        <f>C288/15.9</f>
        <v>0.12578616352201258</v>
      </c>
      <c r="F288" s="54" t="s">
        <v>19</v>
      </c>
      <c r="G288" s="9" t="s">
        <v>19</v>
      </c>
      <c r="H288" s="23" t="s">
        <v>19</v>
      </c>
      <c r="I288" t="s">
        <v>47</v>
      </c>
      <c r="J288" s="11">
        <v>54</v>
      </c>
      <c r="K288" s="11">
        <v>11.14875</v>
      </c>
      <c r="L288" t="str">
        <f>VLOOKUP(B288,'[1]Plant data'!$A$1:$AB$315,2,0)</f>
        <v>Nyctaginaceae</v>
      </c>
      <c r="M288" s="9">
        <f>VLOOKUP($B288,'[1]Plant data'!$A$1:$AB$315,6,0)</f>
        <v>6.7537500000000001</v>
      </c>
      <c r="N288" s="9">
        <f>VLOOKUP($B288,'[1]Plant data'!$A$1:$AB$315,7,0)</f>
        <v>8.35</v>
      </c>
      <c r="O288" s="8">
        <f>VLOOKUP($B288,'[1]Plant data'!$A$1:$AB$315,10,0)</f>
        <v>0.19342499999999999</v>
      </c>
      <c r="P288" s="8">
        <f>VLOOKUP($B288,'[1]Plant data'!$A$1:$AB$315,11,0)</f>
        <v>0.16</v>
      </c>
      <c r="Q288" s="8">
        <f>VLOOKUP($B288,'[1]Plant data'!$A$1:$AB$315,12,0)</f>
        <v>4.4450000000000003E-2</v>
      </c>
      <c r="R288" s="8">
        <f>VLOOKUP($B288,'[1]Plant data'!$A$1:$AB$315,13,0)</f>
        <v>6.094999999999999E-2</v>
      </c>
      <c r="S288" s="8">
        <f>VLOOKUP($B288,'[1]Plant data'!$A$1:$AB$315,14,0)</f>
        <v>3.1800000000000009E-2</v>
      </c>
      <c r="T288" s="11">
        <f>VLOOKUP($B288,'[1]Plant data'!$A$1:$AB$315,15,0)</f>
        <v>1</v>
      </c>
      <c r="U288" s="9">
        <f>VLOOKUP($B288,'[1]Plant data'!$A$1:$AB$315,19,0)</f>
        <v>0.76200000000000001</v>
      </c>
      <c r="V288" s="8">
        <f>VLOOKUP($B288,'[1]Plant data'!$A$1:$AB$315,20,0)</f>
        <v>2.4614824629022293E-2</v>
      </c>
      <c r="W288" s="8">
        <f>VLOOKUP($B288,'[1]Plant data'!$A$1:$AB$315,21,0)</f>
        <v>0.18857499999999999</v>
      </c>
      <c r="X288" s="8">
        <f>VLOOKUP($B288,'[1]Plant data'!$A$1:$AB$315,22,0)</f>
        <v>3.0427057790241518E-2</v>
      </c>
      <c r="Y288" s="8">
        <f>VLOOKUP($B288,'[1]Plant data'!$A$1:$AB$315,23,0)</f>
        <v>9.273965188665384E-2</v>
      </c>
      <c r="Z288" s="8" t="str">
        <f>VLOOKUP($B288,'[1]Plant data'!$A$1:$AB$315,24,0)</f>
        <v>NA</v>
      </c>
      <c r="AA288" s="8">
        <f>VLOOKUP($B288,'[1]Plant data'!$A$1:$AB$315,25,0)</f>
        <v>0.6915</v>
      </c>
      <c r="AB288" s="8">
        <f t="shared" si="20"/>
        <v>0.12316670967689536</v>
      </c>
    </row>
    <row r="289" spans="1:28">
      <c r="A289" s="5" t="s">
        <v>50</v>
      </c>
      <c r="B289" s="40" t="s">
        <v>35</v>
      </c>
      <c r="C289" s="53">
        <v>2</v>
      </c>
      <c r="D289" s="58">
        <v>25.2</v>
      </c>
      <c r="E289" s="8">
        <f>C289/D289</f>
        <v>7.9365079365079361E-2</v>
      </c>
      <c r="F289" s="54" t="s">
        <v>19</v>
      </c>
      <c r="G289" s="9" t="s">
        <v>19</v>
      </c>
      <c r="H289" s="23" t="s">
        <v>19</v>
      </c>
      <c r="I289" t="s">
        <v>47</v>
      </c>
      <c r="J289" s="11">
        <v>69.5</v>
      </c>
      <c r="K289" s="11">
        <v>13.253214290000001</v>
      </c>
      <c r="L289" t="str">
        <f>VLOOKUP(B289,'[1]Plant data'!$A$1:$AB$315,2,0)</f>
        <v>Nyctaginaceae</v>
      </c>
      <c r="M289" s="9">
        <f>VLOOKUP($B289,'[1]Plant data'!$A$1:$AB$315,6,0)</f>
        <v>6.7537500000000001</v>
      </c>
      <c r="N289" s="9">
        <f>VLOOKUP($B289,'[1]Plant data'!$A$1:$AB$315,7,0)</f>
        <v>8.35</v>
      </c>
      <c r="O289" s="8">
        <f>VLOOKUP($B289,'[1]Plant data'!$A$1:$AB$315,10,0)</f>
        <v>0.19342499999999999</v>
      </c>
      <c r="P289" s="8">
        <f>VLOOKUP($B289,'[1]Plant data'!$A$1:$AB$315,11,0)</f>
        <v>0.16</v>
      </c>
      <c r="Q289" s="8">
        <f>VLOOKUP($B289,'[1]Plant data'!$A$1:$AB$315,12,0)</f>
        <v>4.4450000000000003E-2</v>
      </c>
      <c r="R289" s="8">
        <f>VLOOKUP($B289,'[1]Plant data'!$A$1:$AB$315,13,0)</f>
        <v>6.094999999999999E-2</v>
      </c>
      <c r="S289" s="8">
        <f>VLOOKUP($B289,'[1]Plant data'!$A$1:$AB$315,14,0)</f>
        <v>3.1800000000000009E-2</v>
      </c>
      <c r="T289" s="11">
        <f>VLOOKUP($B289,'[1]Plant data'!$A$1:$AB$315,15,0)</f>
        <v>1</v>
      </c>
      <c r="U289" s="9">
        <f>VLOOKUP($B289,'[1]Plant data'!$A$1:$AB$315,19,0)</f>
        <v>0.76200000000000001</v>
      </c>
      <c r="V289" s="8">
        <f>VLOOKUP($B289,'[1]Plant data'!$A$1:$AB$315,20,0)</f>
        <v>2.4614824629022293E-2</v>
      </c>
      <c r="W289" s="8">
        <f>VLOOKUP($B289,'[1]Plant data'!$A$1:$AB$315,21,0)</f>
        <v>0.18857499999999999</v>
      </c>
      <c r="X289" s="8">
        <f>VLOOKUP($B289,'[1]Plant data'!$A$1:$AB$315,22,0)</f>
        <v>3.0427057790241518E-2</v>
      </c>
      <c r="Y289" s="8">
        <f>VLOOKUP($B289,'[1]Plant data'!$A$1:$AB$315,23,0)</f>
        <v>9.273965188665384E-2</v>
      </c>
      <c r="Z289" s="8" t="str">
        <f>VLOOKUP($B289,'[1]Plant data'!$A$1:$AB$315,24,0)</f>
        <v>NA</v>
      </c>
      <c r="AA289" s="8">
        <f>VLOOKUP($B289,'[1]Plant data'!$A$1:$AB$315,25,0)</f>
        <v>0.6915</v>
      </c>
      <c r="AB289" s="8">
        <f t="shared" si="20"/>
        <v>0.12316670967689536</v>
      </c>
    </row>
    <row r="290" spans="1:28">
      <c r="A290" s="5" t="s">
        <v>28</v>
      </c>
      <c r="B290" s="39" t="s">
        <v>84</v>
      </c>
      <c r="C290" s="53">
        <v>21</v>
      </c>
      <c r="D290" s="58">
        <v>23</v>
      </c>
      <c r="E290" s="8">
        <f>C290/D290</f>
        <v>0.91304347826086951</v>
      </c>
      <c r="F290" s="54">
        <v>37</v>
      </c>
      <c r="G290" s="9">
        <f>F290/C290</f>
        <v>1.7619047619047619</v>
      </c>
      <c r="H290" s="23">
        <f>E290*G290</f>
        <v>1.6086956521739129</v>
      </c>
      <c r="I290" t="s">
        <v>30</v>
      </c>
      <c r="J290" s="11">
        <v>18</v>
      </c>
      <c r="K290" s="11">
        <v>7.4188405800000004</v>
      </c>
      <c r="L290" t="str">
        <f>VLOOKUP(B290,'[1]Plant data'!$A$1:$AB$315,2,0)</f>
        <v>Rhamnaceae</v>
      </c>
      <c r="M290" s="9">
        <f>VLOOKUP($B290,'[1]Plant data'!$A$1:$AB$315,6,0)</f>
        <v>9</v>
      </c>
      <c r="N290" s="9">
        <f>VLOOKUP($B290,'[1]Plant data'!$A$1:$AB$315,7,0)</f>
        <v>10.6</v>
      </c>
      <c r="O290" s="8">
        <f>VLOOKUP($B290,'[1]Plant data'!$A$1:$AB$315,10,0)</f>
        <v>0.6</v>
      </c>
      <c r="P290" s="8" t="str">
        <f>VLOOKUP($B290,'[1]Plant data'!$A$1:$AB$315,11,0)</f>
        <v>NA</v>
      </c>
      <c r="Q290" s="8">
        <f>VLOOKUP($B290,'[1]Plant data'!$A$1:$AB$315,12,0)</f>
        <v>0.1</v>
      </c>
      <c r="R290" s="8">
        <f>VLOOKUP($B290,'[1]Plant data'!$A$1:$AB$315,13,0)</f>
        <v>0.13</v>
      </c>
      <c r="S290" s="8" t="str">
        <f>VLOOKUP($B290,'[1]Plant data'!$A$1:$AB$315,14,0)</f>
        <v>NA</v>
      </c>
      <c r="T290" s="11">
        <f>VLOOKUP($B290,'[1]Plant data'!$A$1:$AB$315,15,0)</f>
        <v>1</v>
      </c>
      <c r="U290" s="9" t="str">
        <f>VLOOKUP($B290,'[1]Plant data'!$A$1:$AB$315,19,0)</f>
        <v>NA</v>
      </c>
      <c r="V290" s="8" t="str">
        <f>VLOOKUP($B290,'[1]Plant data'!$A$1:$AB$315,20,0)</f>
        <v>NA</v>
      </c>
      <c r="W290" s="8" t="str">
        <f>VLOOKUP($B290,'[1]Plant data'!$A$1:$AB$315,21,0)</f>
        <v>NA</v>
      </c>
      <c r="X290" s="8" t="str">
        <f>VLOOKUP($B290,'[1]Plant data'!$A$1:$AB$315,22,0)</f>
        <v>NA</v>
      </c>
      <c r="Y290" s="8" t="str">
        <f>VLOOKUP($B290,'[1]Plant data'!$A$1:$AB$315,23,0)</f>
        <v>NA</v>
      </c>
      <c r="Z290" s="8" t="str">
        <f>VLOOKUP($B290,'[1]Plant data'!$A$1:$AB$315,24,0)</f>
        <v>NA</v>
      </c>
      <c r="AA290" s="8" t="str">
        <f>VLOOKUP($B290,'[1]Plant data'!$A$1:$AB$315,25,0)</f>
        <v>NA</v>
      </c>
      <c r="AB290" s="8" t="s">
        <v>19</v>
      </c>
    </row>
    <row r="291" spans="1:28">
      <c r="A291" s="5" t="s">
        <v>43</v>
      </c>
      <c r="B291" s="37" t="s">
        <v>84</v>
      </c>
      <c r="C291" s="53">
        <v>42</v>
      </c>
      <c r="D291" s="58">
        <v>23</v>
      </c>
      <c r="E291" s="8">
        <f>C291/23</f>
        <v>1.826086956521739</v>
      </c>
      <c r="F291" s="54">
        <v>104</v>
      </c>
      <c r="G291" s="9">
        <v>3.5</v>
      </c>
      <c r="H291" s="23">
        <f>E291*G291</f>
        <v>6.3913043478260869</v>
      </c>
      <c r="I291" t="s">
        <v>30</v>
      </c>
      <c r="J291" s="11">
        <v>32.5</v>
      </c>
      <c r="K291" s="11">
        <v>8.9205555560000001</v>
      </c>
      <c r="L291" t="str">
        <f>VLOOKUP(B291,'[1]Plant data'!$A$1:$AB$315,2,0)</f>
        <v>Rhamnaceae</v>
      </c>
      <c r="M291" s="9">
        <f>VLOOKUP($B291,'[1]Plant data'!$A$1:$AB$315,6,0)</f>
        <v>9</v>
      </c>
      <c r="N291" s="9">
        <f>VLOOKUP($B291,'[1]Plant data'!$A$1:$AB$315,7,0)</f>
        <v>10.6</v>
      </c>
      <c r="O291" s="8">
        <f>VLOOKUP($B291,'[1]Plant data'!$A$1:$AB$315,10,0)</f>
        <v>0.6</v>
      </c>
      <c r="P291" s="8" t="str">
        <f>VLOOKUP($B291,'[1]Plant data'!$A$1:$AB$315,11,0)</f>
        <v>NA</v>
      </c>
      <c r="Q291" s="8">
        <f>VLOOKUP($B291,'[1]Plant data'!$A$1:$AB$315,12,0)</f>
        <v>0.1</v>
      </c>
      <c r="R291" s="8">
        <f>VLOOKUP($B291,'[1]Plant data'!$A$1:$AB$315,13,0)</f>
        <v>0.13</v>
      </c>
      <c r="S291" s="8" t="str">
        <f>VLOOKUP($B291,'[1]Plant data'!$A$1:$AB$315,14,0)</f>
        <v>NA</v>
      </c>
      <c r="T291" s="11">
        <f>VLOOKUP($B291,'[1]Plant data'!$A$1:$AB$315,15,0)</f>
        <v>1</v>
      </c>
      <c r="U291" s="9" t="str">
        <f>VLOOKUP($B291,'[1]Plant data'!$A$1:$AB$315,19,0)</f>
        <v>NA</v>
      </c>
      <c r="V291" s="8" t="str">
        <f>VLOOKUP($B291,'[1]Plant data'!$A$1:$AB$315,20,0)</f>
        <v>NA</v>
      </c>
      <c r="W291" s="8" t="str">
        <f>VLOOKUP($B291,'[1]Plant data'!$A$1:$AB$315,21,0)</f>
        <v>NA</v>
      </c>
      <c r="X291" s="8" t="str">
        <f>VLOOKUP($B291,'[1]Plant data'!$A$1:$AB$315,22,0)</f>
        <v>NA</v>
      </c>
      <c r="Y291" s="8" t="str">
        <f>VLOOKUP($B291,'[1]Plant data'!$A$1:$AB$315,23,0)</f>
        <v>NA</v>
      </c>
      <c r="Z291" s="8" t="str">
        <f>VLOOKUP($B291,'[1]Plant data'!$A$1:$AB$315,24,0)</f>
        <v>NA</v>
      </c>
      <c r="AA291" s="8" t="str">
        <f>VLOOKUP($B291,'[1]Plant data'!$A$1:$AB$315,25,0)</f>
        <v>NA</v>
      </c>
      <c r="AB291" s="8" t="s">
        <v>19</v>
      </c>
    </row>
    <row r="292" spans="1:28">
      <c r="A292" s="5" t="s">
        <v>43</v>
      </c>
      <c r="B292" s="39" t="s">
        <v>84</v>
      </c>
      <c r="C292" s="53">
        <v>42</v>
      </c>
      <c r="D292" s="58">
        <v>23</v>
      </c>
      <c r="E292" s="8">
        <f>C292/D292</f>
        <v>1.826086956521739</v>
      </c>
      <c r="F292" s="54">
        <v>104</v>
      </c>
      <c r="G292" s="9">
        <f>F292/C292</f>
        <v>2.4761904761904763</v>
      </c>
      <c r="H292" s="23">
        <f>E292*G292</f>
        <v>4.5217391304347823</v>
      </c>
      <c r="I292" t="s">
        <v>30</v>
      </c>
      <c r="J292" s="11">
        <v>32.5</v>
      </c>
      <c r="K292" s="11">
        <v>8.9205555560000001</v>
      </c>
      <c r="L292" t="str">
        <f>VLOOKUP(B292,'[1]Plant data'!$A$1:$AB$315,2,0)</f>
        <v>Rhamnaceae</v>
      </c>
      <c r="M292" s="9">
        <f>VLOOKUP($B292,'[1]Plant data'!$A$1:$AB$315,6,0)</f>
        <v>9</v>
      </c>
      <c r="N292" s="9">
        <f>VLOOKUP($B292,'[1]Plant data'!$A$1:$AB$315,7,0)</f>
        <v>10.6</v>
      </c>
      <c r="O292" s="8">
        <f>VLOOKUP($B292,'[1]Plant data'!$A$1:$AB$315,10,0)</f>
        <v>0.6</v>
      </c>
      <c r="P292" s="8" t="str">
        <f>VLOOKUP($B292,'[1]Plant data'!$A$1:$AB$315,11,0)</f>
        <v>NA</v>
      </c>
      <c r="Q292" s="8">
        <f>VLOOKUP($B292,'[1]Plant data'!$A$1:$AB$315,12,0)</f>
        <v>0.1</v>
      </c>
      <c r="R292" s="8">
        <f>VLOOKUP($B292,'[1]Plant data'!$A$1:$AB$315,13,0)</f>
        <v>0.13</v>
      </c>
      <c r="S292" s="8" t="str">
        <f>VLOOKUP($B292,'[1]Plant data'!$A$1:$AB$315,14,0)</f>
        <v>NA</v>
      </c>
      <c r="T292" s="11">
        <f>VLOOKUP($B292,'[1]Plant data'!$A$1:$AB$315,15,0)</f>
        <v>1</v>
      </c>
      <c r="U292" s="9" t="str">
        <f>VLOOKUP($B292,'[1]Plant data'!$A$1:$AB$315,19,0)</f>
        <v>NA</v>
      </c>
      <c r="V292" s="8" t="str">
        <f>VLOOKUP($B292,'[1]Plant data'!$A$1:$AB$315,20,0)</f>
        <v>NA</v>
      </c>
      <c r="W292" s="8" t="str">
        <f>VLOOKUP($B292,'[1]Plant data'!$A$1:$AB$315,21,0)</f>
        <v>NA</v>
      </c>
      <c r="X292" s="8" t="str">
        <f>VLOOKUP($B292,'[1]Plant data'!$A$1:$AB$315,22,0)</f>
        <v>NA</v>
      </c>
      <c r="Y292" s="8" t="str">
        <f>VLOOKUP($B292,'[1]Plant data'!$A$1:$AB$315,23,0)</f>
        <v>NA</v>
      </c>
      <c r="Z292" s="8" t="str">
        <f>VLOOKUP($B292,'[1]Plant data'!$A$1:$AB$315,24,0)</f>
        <v>NA</v>
      </c>
      <c r="AA292" s="8" t="str">
        <f>VLOOKUP($B292,'[1]Plant data'!$A$1:$AB$315,25,0)</f>
        <v>NA</v>
      </c>
      <c r="AB292" s="8" t="s">
        <v>19</v>
      </c>
    </row>
    <row r="293" spans="1:28">
      <c r="A293" s="18" t="s">
        <v>65</v>
      </c>
      <c r="B293" s="62" t="s">
        <v>151</v>
      </c>
      <c r="C293" s="57">
        <v>7</v>
      </c>
      <c r="D293" s="58">
        <v>30</v>
      </c>
      <c r="E293" s="8">
        <f>C293/D293</f>
        <v>0.23333333333333334</v>
      </c>
      <c r="F293" s="54" t="s">
        <v>19</v>
      </c>
      <c r="G293" t="s">
        <v>19</v>
      </c>
      <c r="H293" s="23" t="s">
        <v>19</v>
      </c>
      <c r="I293" t="s">
        <v>23</v>
      </c>
      <c r="J293" s="11">
        <v>11</v>
      </c>
      <c r="K293" s="11">
        <v>6.1466666669999999</v>
      </c>
      <c r="L293" t="str">
        <f>VLOOKUP(B293,'[1]Plant data'!$A$1:$AB$315,2,0)</f>
        <v>Moraceae</v>
      </c>
      <c r="M293" s="9">
        <f>VLOOKUP($B293,'[1]Plant data'!$A$1:$AB$315,6,0)</f>
        <v>8</v>
      </c>
      <c r="N293" s="9">
        <f>VLOOKUP($B293,'[1]Plant data'!$A$1:$AB$315,7,0)</f>
        <v>10</v>
      </c>
      <c r="O293" s="8" t="str">
        <f>VLOOKUP($B293,'[1]Plant data'!$A$1:$AB$315,10,0)</f>
        <v>NA</v>
      </c>
      <c r="P293" s="8" t="str">
        <f>VLOOKUP($B293,'[1]Plant data'!$A$1:$AB$315,11,0)</f>
        <v>NA</v>
      </c>
      <c r="Q293" s="8" t="str">
        <f>VLOOKUP($B293,'[1]Plant data'!$A$1:$AB$315,12,0)</f>
        <v>NA</v>
      </c>
      <c r="R293" s="8" t="str">
        <f>VLOOKUP($B293,'[1]Plant data'!$A$1:$AB$315,13,0)</f>
        <v>NA</v>
      </c>
      <c r="S293" s="8" t="str">
        <f>VLOOKUP($B293,'[1]Plant data'!$A$1:$AB$315,14,0)</f>
        <v>NA</v>
      </c>
      <c r="T293" s="11" t="str">
        <f>VLOOKUP($B293,'[1]Plant data'!$A$1:$AB$315,15,0)</f>
        <v>NA</v>
      </c>
      <c r="U293" s="9" t="str">
        <f>VLOOKUP($B293,'[1]Plant data'!$A$1:$AB$315,19,0)</f>
        <v>NA</v>
      </c>
      <c r="V293" s="8" t="str">
        <f>VLOOKUP($B293,'[1]Plant data'!$A$1:$AB$315,20,0)</f>
        <v>NA</v>
      </c>
      <c r="W293" s="8" t="str">
        <f>VLOOKUP($B293,'[1]Plant data'!$A$1:$AB$315,21,0)</f>
        <v>NA</v>
      </c>
      <c r="X293" s="8" t="str">
        <f>VLOOKUP($B293,'[1]Plant data'!$A$1:$AB$315,22,0)</f>
        <v>NA</v>
      </c>
      <c r="Y293" s="8" t="str">
        <f>VLOOKUP($B293,'[1]Plant data'!$A$1:$AB$315,23,0)</f>
        <v>NA</v>
      </c>
      <c r="Z293" s="8" t="str">
        <f>VLOOKUP($B293,'[1]Plant data'!$A$1:$AB$315,24,0)</f>
        <v>NA</v>
      </c>
      <c r="AA293" s="8" t="str">
        <f>VLOOKUP($B293,'[1]Plant data'!$A$1:$AB$315,25,0)</f>
        <v>NA</v>
      </c>
      <c r="AB293" s="8" t="s">
        <v>19</v>
      </c>
    </row>
    <row r="294" spans="1:28">
      <c r="A294" s="18" t="s">
        <v>28</v>
      </c>
      <c r="B294" s="62" t="s">
        <v>151</v>
      </c>
      <c r="C294" s="57">
        <v>61</v>
      </c>
      <c r="D294" s="58">
        <v>30</v>
      </c>
      <c r="E294" s="8">
        <f>C294/D294</f>
        <v>2.0333333333333332</v>
      </c>
      <c r="F294" s="54" t="s">
        <v>19</v>
      </c>
      <c r="G294" s="41">
        <v>1</v>
      </c>
      <c r="H294" s="23">
        <f t="shared" ref="H294:H299" si="21">E294*G294</f>
        <v>2.0333333333333332</v>
      </c>
      <c r="I294" t="s">
        <v>30</v>
      </c>
      <c r="J294" s="11">
        <v>18</v>
      </c>
      <c r="K294" s="11">
        <v>7.4188405800000004</v>
      </c>
      <c r="L294" t="str">
        <f>VLOOKUP(B294,'[1]Plant data'!$A$1:$AB$315,2,0)</f>
        <v>Moraceae</v>
      </c>
      <c r="M294" s="9">
        <f>VLOOKUP($B294,'[1]Plant data'!$A$1:$AB$315,6,0)</f>
        <v>8</v>
      </c>
      <c r="N294" s="9">
        <f>VLOOKUP($B294,'[1]Plant data'!$A$1:$AB$315,7,0)</f>
        <v>10</v>
      </c>
      <c r="O294" s="8" t="str">
        <f>VLOOKUP($B294,'[1]Plant data'!$A$1:$AB$315,10,0)</f>
        <v>NA</v>
      </c>
      <c r="P294" s="8" t="str">
        <f>VLOOKUP($B294,'[1]Plant data'!$A$1:$AB$315,11,0)</f>
        <v>NA</v>
      </c>
      <c r="Q294" s="8" t="str">
        <f>VLOOKUP($B294,'[1]Plant data'!$A$1:$AB$315,12,0)</f>
        <v>NA</v>
      </c>
      <c r="R294" s="8" t="str">
        <f>VLOOKUP($B294,'[1]Plant data'!$A$1:$AB$315,13,0)</f>
        <v>NA</v>
      </c>
      <c r="S294" s="8" t="str">
        <f>VLOOKUP($B294,'[1]Plant data'!$A$1:$AB$315,14,0)</f>
        <v>NA</v>
      </c>
      <c r="T294" s="11" t="str">
        <f>VLOOKUP($B294,'[1]Plant data'!$A$1:$AB$315,15,0)</f>
        <v>NA</v>
      </c>
      <c r="U294" s="9" t="str">
        <f>VLOOKUP($B294,'[1]Plant data'!$A$1:$AB$315,19,0)</f>
        <v>NA</v>
      </c>
      <c r="V294" s="8" t="str">
        <f>VLOOKUP($B294,'[1]Plant data'!$A$1:$AB$315,20,0)</f>
        <v>NA</v>
      </c>
      <c r="W294" s="8" t="str">
        <f>VLOOKUP($B294,'[1]Plant data'!$A$1:$AB$315,21,0)</f>
        <v>NA</v>
      </c>
      <c r="X294" s="8" t="str">
        <f>VLOOKUP($B294,'[1]Plant data'!$A$1:$AB$315,22,0)</f>
        <v>NA</v>
      </c>
      <c r="Y294" s="8" t="str">
        <f>VLOOKUP($B294,'[1]Plant data'!$A$1:$AB$315,23,0)</f>
        <v>NA</v>
      </c>
      <c r="Z294" s="8" t="str">
        <f>VLOOKUP($B294,'[1]Plant data'!$A$1:$AB$315,24,0)</f>
        <v>NA</v>
      </c>
      <c r="AA294" s="8" t="str">
        <f>VLOOKUP($B294,'[1]Plant data'!$A$1:$AB$315,25,0)</f>
        <v>NA</v>
      </c>
      <c r="AB294" s="8" t="s">
        <v>19</v>
      </c>
    </row>
    <row r="295" spans="1:28">
      <c r="A295" s="5" t="s">
        <v>28</v>
      </c>
      <c r="B295" s="40" t="s">
        <v>151</v>
      </c>
      <c r="C295" s="56">
        <v>4</v>
      </c>
      <c r="D295" s="59">
        <v>4.5</v>
      </c>
      <c r="E295" s="26">
        <f>C295/D295</f>
        <v>0.88888888888888884</v>
      </c>
      <c r="F295" s="56" t="s">
        <v>19</v>
      </c>
      <c r="G295" s="41">
        <v>1</v>
      </c>
      <c r="H295" s="23">
        <f t="shared" si="21"/>
        <v>0.88888888888888884</v>
      </c>
      <c r="I295" t="s">
        <v>30</v>
      </c>
      <c r="J295" s="11">
        <v>18</v>
      </c>
      <c r="K295" s="11">
        <v>7.4188405800000004</v>
      </c>
      <c r="L295" t="str">
        <f>VLOOKUP(B295,'[1]Plant data'!$A$1:$AB$315,2,0)</f>
        <v>Moraceae</v>
      </c>
      <c r="M295" s="9">
        <f>VLOOKUP($B295,'[1]Plant data'!$A$1:$AB$315,6,0)</f>
        <v>8</v>
      </c>
      <c r="N295" s="9">
        <f>VLOOKUP($B295,'[1]Plant data'!$A$1:$AB$315,7,0)</f>
        <v>10</v>
      </c>
      <c r="O295" s="8" t="str">
        <f>VLOOKUP($B295,'[1]Plant data'!$A$1:$AB$315,10,0)</f>
        <v>NA</v>
      </c>
      <c r="P295" s="8" t="str">
        <f>VLOOKUP($B295,'[1]Plant data'!$A$1:$AB$315,11,0)</f>
        <v>NA</v>
      </c>
      <c r="Q295" s="8" t="str">
        <f>VLOOKUP($B295,'[1]Plant data'!$A$1:$AB$315,12,0)</f>
        <v>NA</v>
      </c>
      <c r="R295" s="8" t="str">
        <f>VLOOKUP($B295,'[1]Plant data'!$A$1:$AB$315,13,0)</f>
        <v>NA</v>
      </c>
      <c r="S295" s="8" t="str">
        <f>VLOOKUP($B295,'[1]Plant data'!$A$1:$AB$315,14,0)</f>
        <v>NA</v>
      </c>
      <c r="T295" s="11" t="str">
        <f>VLOOKUP($B295,'[1]Plant data'!$A$1:$AB$315,15,0)</f>
        <v>NA</v>
      </c>
      <c r="U295" s="9" t="str">
        <f>VLOOKUP($B295,'[1]Plant data'!$A$1:$AB$315,19,0)</f>
        <v>NA</v>
      </c>
      <c r="V295" s="8" t="str">
        <f>VLOOKUP($B295,'[1]Plant data'!$A$1:$AB$315,20,0)</f>
        <v>NA</v>
      </c>
      <c r="W295" s="8" t="str">
        <f>VLOOKUP($B295,'[1]Plant data'!$A$1:$AB$315,21,0)</f>
        <v>NA</v>
      </c>
      <c r="X295" s="8" t="str">
        <f>VLOOKUP($B295,'[1]Plant data'!$A$1:$AB$315,22,0)</f>
        <v>NA</v>
      </c>
      <c r="Y295" s="8" t="str">
        <f>VLOOKUP($B295,'[1]Plant data'!$A$1:$AB$315,23,0)</f>
        <v>NA</v>
      </c>
      <c r="Z295" s="8" t="str">
        <f>VLOOKUP($B295,'[1]Plant data'!$A$1:$AB$315,24,0)</f>
        <v>NA</v>
      </c>
      <c r="AA295" s="8" t="str">
        <f>VLOOKUP($B295,'[1]Plant data'!$A$1:$AB$315,25,0)</f>
        <v>NA</v>
      </c>
      <c r="AB295" s="8" t="s">
        <v>19</v>
      </c>
    </row>
    <row r="296" spans="1:28">
      <c r="A296" s="18" t="s">
        <v>43</v>
      </c>
      <c r="B296" s="62" t="s">
        <v>151</v>
      </c>
      <c r="C296" s="57">
        <v>126</v>
      </c>
      <c r="D296" s="58">
        <v>30</v>
      </c>
      <c r="E296" s="8">
        <f>C296/D296</f>
        <v>4.2</v>
      </c>
      <c r="F296" s="54" t="s">
        <v>19</v>
      </c>
      <c r="G296" s="41">
        <v>1</v>
      </c>
      <c r="H296" s="23">
        <f t="shared" si="21"/>
        <v>4.2</v>
      </c>
      <c r="I296" t="s">
        <v>30</v>
      </c>
      <c r="J296" s="11">
        <v>32.5</v>
      </c>
      <c r="K296" s="11">
        <v>8.9205555560000001</v>
      </c>
      <c r="L296" t="str">
        <f>VLOOKUP(B296,'[1]Plant data'!$A$1:$AB$315,2,0)</f>
        <v>Moraceae</v>
      </c>
      <c r="M296" s="9">
        <f>VLOOKUP($B296,'[1]Plant data'!$A$1:$AB$315,6,0)</f>
        <v>8</v>
      </c>
      <c r="N296" s="9">
        <f>VLOOKUP($B296,'[1]Plant data'!$A$1:$AB$315,7,0)</f>
        <v>10</v>
      </c>
      <c r="O296" s="8" t="str">
        <f>VLOOKUP($B296,'[1]Plant data'!$A$1:$AB$315,10,0)</f>
        <v>NA</v>
      </c>
      <c r="P296" s="8" t="str">
        <f>VLOOKUP($B296,'[1]Plant data'!$A$1:$AB$315,11,0)</f>
        <v>NA</v>
      </c>
      <c r="Q296" s="8" t="str">
        <f>VLOOKUP($B296,'[1]Plant data'!$A$1:$AB$315,12,0)</f>
        <v>NA</v>
      </c>
      <c r="R296" s="8" t="str">
        <f>VLOOKUP($B296,'[1]Plant data'!$A$1:$AB$315,13,0)</f>
        <v>NA</v>
      </c>
      <c r="S296" s="8" t="str">
        <f>VLOOKUP($B296,'[1]Plant data'!$A$1:$AB$315,14,0)</f>
        <v>NA</v>
      </c>
      <c r="T296" s="11" t="str">
        <f>VLOOKUP($B296,'[1]Plant data'!$A$1:$AB$315,15,0)</f>
        <v>NA</v>
      </c>
      <c r="U296" s="9" t="str">
        <f>VLOOKUP($B296,'[1]Plant data'!$A$1:$AB$315,19,0)</f>
        <v>NA</v>
      </c>
      <c r="V296" s="8" t="str">
        <f>VLOOKUP($B296,'[1]Plant data'!$A$1:$AB$315,20,0)</f>
        <v>NA</v>
      </c>
      <c r="W296" s="8" t="str">
        <f>VLOOKUP($B296,'[1]Plant data'!$A$1:$AB$315,21,0)</f>
        <v>NA</v>
      </c>
      <c r="X296" s="8" t="str">
        <f>VLOOKUP($B296,'[1]Plant data'!$A$1:$AB$315,22,0)</f>
        <v>NA</v>
      </c>
      <c r="Y296" s="8" t="str">
        <f>VLOOKUP($B296,'[1]Plant data'!$A$1:$AB$315,23,0)</f>
        <v>NA</v>
      </c>
      <c r="Z296" s="8" t="str">
        <f>VLOOKUP($B296,'[1]Plant data'!$A$1:$AB$315,24,0)</f>
        <v>NA</v>
      </c>
      <c r="AA296" s="8" t="str">
        <f>VLOOKUP($B296,'[1]Plant data'!$A$1:$AB$315,25,0)</f>
        <v>NA</v>
      </c>
      <c r="AB296" s="8" t="s">
        <v>19</v>
      </c>
    </row>
    <row r="297" spans="1:28">
      <c r="A297" s="5" t="s">
        <v>43</v>
      </c>
      <c r="B297" s="37" t="s">
        <v>151</v>
      </c>
      <c r="C297" s="53">
        <v>12</v>
      </c>
      <c r="D297" s="11">
        <v>4.5</v>
      </c>
      <c r="E297" s="8">
        <f>C297/4.5</f>
        <v>2.6666666666666665</v>
      </c>
      <c r="F297" s="54" t="s">
        <v>19</v>
      </c>
      <c r="G297" s="19">
        <v>1</v>
      </c>
      <c r="H297" s="23">
        <f t="shared" si="21"/>
        <v>2.6666666666666665</v>
      </c>
      <c r="I297" t="s">
        <v>30</v>
      </c>
      <c r="J297" s="11">
        <v>32.5</v>
      </c>
      <c r="K297" s="11">
        <v>8.9205555560000001</v>
      </c>
      <c r="L297" t="str">
        <f>VLOOKUP(B297,'[1]Plant data'!$A$1:$AB$315,2,0)</f>
        <v>Moraceae</v>
      </c>
      <c r="M297" s="9">
        <f>VLOOKUP($B297,'[1]Plant data'!$A$1:$AB$315,6,0)</f>
        <v>8</v>
      </c>
      <c r="N297" s="9">
        <f>VLOOKUP($B297,'[1]Plant data'!$A$1:$AB$315,7,0)</f>
        <v>10</v>
      </c>
      <c r="O297" s="8" t="str">
        <f>VLOOKUP($B297,'[1]Plant data'!$A$1:$AB$315,10,0)</f>
        <v>NA</v>
      </c>
      <c r="P297" s="8" t="str">
        <f>VLOOKUP($B297,'[1]Plant data'!$A$1:$AB$315,11,0)</f>
        <v>NA</v>
      </c>
      <c r="Q297" s="8" t="str">
        <f>VLOOKUP($B297,'[1]Plant data'!$A$1:$AB$315,12,0)</f>
        <v>NA</v>
      </c>
      <c r="R297" s="8" t="str">
        <f>VLOOKUP($B297,'[1]Plant data'!$A$1:$AB$315,13,0)</f>
        <v>NA</v>
      </c>
      <c r="S297" s="8" t="str">
        <f>VLOOKUP($B297,'[1]Plant data'!$A$1:$AB$315,14,0)</f>
        <v>NA</v>
      </c>
      <c r="T297" s="11" t="str">
        <f>VLOOKUP($B297,'[1]Plant data'!$A$1:$AB$315,15,0)</f>
        <v>NA</v>
      </c>
      <c r="U297" s="9" t="str">
        <f>VLOOKUP($B297,'[1]Plant data'!$A$1:$AB$315,19,0)</f>
        <v>NA</v>
      </c>
      <c r="V297" s="8" t="str">
        <f>VLOOKUP($B297,'[1]Plant data'!$A$1:$AB$315,20,0)</f>
        <v>NA</v>
      </c>
      <c r="W297" s="8" t="str">
        <f>VLOOKUP($B297,'[1]Plant data'!$A$1:$AB$315,21,0)</f>
        <v>NA</v>
      </c>
      <c r="X297" s="8" t="str">
        <f>VLOOKUP($B297,'[1]Plant data'!$A$1:$AB$315,22,0)</f>
        <v>NA</v>
      </c>
      <c r="Y297" s="8" t="str">
        <f>VLOOKUP($B297,'[1]Plant data'!$A$1:$AB$315,23,0)</f>
        <v>NA</v>
      </c>
      <c r="Z297" s="8" t="str">
        <f>VLOOKUP($B297,'[1]Plant data'!$A$1:$AB$315,24,0)</f>
        <v>NA</v>
      </c>
      <c r="AA297" s="8" t="str">
        <f>VLOOKUP($B297,'[1]Plant data'!$A$1:$AB$315,25,0)</f>
        <v>NA</v>
      </c>
      <c r="AB297" s="8" t="s">
        <v>19</v>
      </c>
    </row>
    <row r="298" spans="1:28">
      <c r="A298" s="5" t="s">
        <v>50</v>
      </c>
      <c r="B298" s="37" t="s">
        <v>151</v>
      </c>
      <c r="C298" s="53">
        <v>11</v>
      </c>
      <c r="D298" s="11">
        <v>4.5</v>
      </c>
      <c r="E298" s="8">
        <f>C298/4.5</f>
        <v>2.4444444444444446</v>
      </c>
      <c r="F298" s="54" t="s">
        <v>19</v>
      </c>
      <c r="G298" s="19">
        <v>5</v>
      </c>
      <c r="H298" s="23">
        <f t="shared" si="21"/>
        <v>12.222222222222223</v>
      </c>
      <c r="I298" t="s">
        <v>47</v>
      </c>
      <c r="J298" s="11">
        <v>69.5</v>
      </c>
      <c r="K298" s="11">
        <v>13.253214290000001</v>
      </c>
      <c r="L298" t="str">
        <f>VLOOKUP(B298,'[1]Plant data'!$A$1:$AB$315,2,0)</f>
        <v>Moraceae</v>
      </c>
      <c r="M298" s="9">
        <f>VLOOKUP($B298,'[1]Plant data'!$A$1:$AB$315,6,0)</f>
        <v>8</v>
      </c>
      <c r="N298" s="9">
        <f>VLOOKUP($B298,'[1]Plant data'!$A$1:$AB$315,7,0)</f>
        <v>10</v>
      </c>
      <c r="O298" s="8" t="str">
        <f>VLOOKUP($B298,'[1]Plant data'!$A$1:$AB$315,10,0)</f>
        <v>NA</v>
      </c>
      <c r="P298" s="8" t="str">
        <f>VLOOKUP($B298,'[1]Plant data'!$A$1:$AB$315,11,0)</f>
        <v>NA</v>
      </c>
      <c r="Q298" s="8" t="str">
        <f>VLOOKUP($B298,'[1]Plant data'!$A$1:$AB$315,12,0)</f>
        <v>NA</v>
      </c>
      <c r="R298" s="8" t="str">
        <f>VLOOKUP($B298,'[1]Plant data'!$A$1:$AB$315,13,0)</f>
        <v>NA</v>
      </c>
      <c r="S298" s="8" t="str">
        <f>VLOOKUP($B298,'[1]Plant data'!$A$1:$AB$315,14,0)</f>
        <v>NA</v>
      </c>
      <c r="T298" s="11" t="str">
        <f>VLOOKUP($B298,'[1]Plant data'!$A$1:$AB$315,15,0)</f>
        <v>NA</v>
      </c>
      <c r="U298" s="9" t="str">
        <f>VLOOKUP($B298,'[1]Plant data'!$A$1:$AB$315,19,0)</f>
        <v>NA</v>
      </c>
      <c r="V298" s="8" t="str">
        <f>VLOOKUP($B298,'[1]Plant data'!$A$1:$AB$315,20,0)</f>
        <v>NA</v>
      </c>
      <c r="W298" s="8" t="str">
        <f>VLOOKUP($B298,'[1]Plant data'!$A$1:$AB$315,21,0)</f>
        <v>NA</v>
      </c>
      <c r="X298" s="8" t="str">
        <f>VLOOKUP($B298,'[1]Plant data'!$A$1:$AB$315,22,0)</f>
        <v>NA</v>
      </c>
      <c r="Y298" s="8" t="str">
        <f>VLOOKUP($B298,'[1]Plant data'!$A$1:$AB$315,23,0)</f>
        <v>NA</v>
      </c>
      <c r="Z298" s="8" t="str">
        <f>VLOOKUP($B298,'[1]Plant data'!$A$1:$AB$315,24,0)</f>
        <v>NA</v>
      </c>
      <c r="AA298" s="8" t="str">
        <f>VLOOKUP($B298,'[1]Plant data'!$A$1:$AB$315,25,0)</f>
        <v>NA</v>
      </c>
      <c r="AB298" s="8" t="s">
        <v>19</v>
      </c>
    </row>
    <row r="299" spans="1:28">
      <c r="A299" s="5" t="s">
        <v>43</v>
      </c>
      <c r="B299" s="37" t="s">
        <v>189</v>
      </c>
      <c r="C299" s="53">
        <v>3</v>
      </c>
      <c r="D299" s="11">
        <v>2</v>
      </c>
      <c r="E299" s="8">
        <f>C299/2</f>
        <v>1.5</v>
      </c>
      <c r="F299" s="54" t="s">
        <v>19</v>
      </c>
      <c r="G299" s="19">
        <v>10</v>
      </c>
      <c r="H299" s="23">
        <f t="shared" si="21"/>
        <v>15</v>
      </c>
      <c r="I299" t="s">
        <v>30</v>
      </c>
      <c r="J299" s="11">
        <v>32.5</v>
      </c>
      <c r="K299" s="11">
        <v>8.9205555560000001</v>
      </c>
      <c r="L299" t="str">
        <f>VLOOKUP(B299,'[1]Plant data'!$A$1:$AB$315,2,0)</f>
        <v>Moraceae</v>
      </c>
      <c r="M299" s="9">
        <f>VLOOKUP($B299,'[1]Plant data'!$A$1:$AB$315,6,0)</f>
        <v>24.310000000000002</v>
      </c>
      <c r="N299" s="9">
        <f>VLOOKUP($B299,'[1]Plant data'!$A$1:$AB$315,7,0)</f>
        <v>24.738333333333333</v>
      </c>
      <c r="O299" s="8">
        <f>VLOOKUP($B299,'[1]Plant data'!$A$1:$AB$315,10,0)</f>
        <v>9.7347999999999999</v>
      </c>
      <c r="P299" s="8">
        <f>VLOOKUP($B299,'[1]Plant data'!$A$1:$AB$315,11,0)</f>
        <v>10.237</v>
      </c>
      <c r="Q299" s="8">
        <f>VLOOKUP($B299,'[1]Plant data'!$A$1:$AB$315,12,0)</f>
        <v>8.900000000000001E-2</v>
      </c>
      <c r="R299" s="8">
        <f>VLOOKUP($B299,'[1]Plant data'!$A$1:$AB$315,13,0)</f>
        <v>2.2876250000000002</v>
      </c>
      <c r="S299" s="8">
        <f>VLOOKUP($B299,'[1]Plant data'!$A$1:$AB$315,14,0)</f>
        <v>0.19350000000000001</v>
      </c>
      <c r="T299" s="11">
        <f>VLOOKUP($B299,'[1]Plant data'!$A$1:$AB$315,15,0)</f>
        <v>148.9</v>
      </c>
      <c r="U299" s="9">
        <f>VLOOKUP($B299,'[1]Plant data'!$A$1:$AB$315,19,0)</f>
        <v>0.85849999999999993</v>
      </c>
      <c r="V299" s="8">
        <f>VLOOKUP($B299,'[1]Plant data'!$A$1:$AB$315,20,0)</f>
        <v>4.4947077333843483E-2</v>
      </c>
      <c r="W299" s="8">
        <f>VLOOKUP($B299,'[1]Plant data'!$A$1:$AB$315,21,0)</f>
        <v>5.3575999999999999E-2</v>
      </c>
      <c r="X299" s="8">
        <f>VLOOKUP($B299,'[1]Plant data'!$A$1:$AB$315,22,0)</f>
        <v>2.4763407008446025E-3</v>
      </c>
      <c r="Y299" s="8">
        <f>VLOOKUP($B299,'[1]Plant data'!$A$1:$AB$315,23,0)</f>
        <v>9.1702662701896559E-2</v>
      </c>
      <c r="Z299" s="8">
        <f>VLOOKUP($B299,'[1]Plant data'!$A$1:$AB$315,24,0)</f>
        <v>0.90800000000000003</v>
      </c>
      <c r="AA299" s="8">
        <f>VLOOKUP($B299,'[1]Plant data'!$A$1:$AB$315,25,0)</f>
        <v>0.80799999999999994</v>
      </c>
      <c r="AB299" s="8">
        <f>SUMIF(X299:Y299,"&gt;0.00001")</f>
        <v>9.4179003402741157E-2</v>
      </c>
    </row>
    <row r="300" spans="1:28">
      <c r="A300" s="5" t="s">
        <v>70</v>
      </c>
      <c r="B300" s="40" t="s">
        <v>72</v>
      </c>
      <c r="C300" s="53">
        <v>149</v>
      </c>
      <c r="D300" s="11">
        <v>18.100000000000001</v>
      </c>
      <c r="E300" s="8">
        <f>C300/18.1</f>
        <v>8.2320441988950268</v>
      </c>
      <c r="F300" s="54" t="s">
        <v>19</v>
      </c>
      <c r="G300" s="9" t="s">
        <v>19</v>
      </c>
      <c r="H300" s="23" t="s">
        <v>19</v>
      </c>
      <c r="I300" t="s">
        <v>23</v>
      </c>
      <c r="J300" s="11">
        <v>15</v>
      </c>
      <c r="K300" s="11">
        <v>6.9235714289999999</v>
      </c>
      <c r="L300" t="str">
        <f>VLOOKUP(B300,'[1]Plant data'!$A$1:$AB$315,2,0)</f>
        <v>Moraceae</v>
      </c>
      <c r="M300" s="9">
        <f>VLOOKUP($B300,'[1]Plant data'!$A$1:$AB$315,6,0)</f>
        <v>8.1999999999999993</v>
      </c>
      <c r="N300" s="9">
        <f>VLOOKUP($B300,'[1]Plant data'!$A$1:$AB$315,7,0)</f>
        <v>9.1</v>
      </c>
      <c r="O300" s="8">
        <f>VLOOKUP($B300,'[1]Plant data'!$A$1:$AB$315,10,0)</f>
        <v>0.26</v>
      </c>
      <c r="P300" s="8" t="str">
        <f>VLOOKUP($B300,'[1]Plant data'!$A$1:$AB$315,11,0)</f>
        <v>NA</v>
      </c>
      <c r="Q300" s="8">
        <f>VLOOKUP($B300,'[1]Plant data'!$A$1:$AB$315,12,0)</f>
        <v>8.0000000000000004E-4</v>
      </c>
      <c r="R300" s="8" t="str">
        <f>VLOOKUP($B300,'[1]Plant data'!$A$1:$AB$315,13,0)</f>
        <v>NA</v>
      </c>
      <c r="S300" s="8" t="str">
        <f>VLOOKUP($B300,'[1]Plant data'!$A$1:$AB$315,14,0)</f>
        <v>NA</v>
      </c>
      <c r="T300" s="11">
        <f>VLOOKUP($B300,'[1]Plant data'!$A$1:$AB$315,15,0)</f>
        <v>41.7</v>
      </c>
      <c r="U300" s="9" t="str">
        <f>VLOOKUP($B300,'[1]Plant data'!$A$1:$AB$315,19,0)</f>
        <v>NA</v>
      </c>
      <c r="V300" s="8" t="str">
        <f>VLOOKUP($B300,'[1]Plant data'!$A$1:$AB$315,20,0)</f>
        <v>NA</v>
      </c>
      <c r="W300" s="8" t="str">
        <f>VLOOKUP($B300,'[1]Plant data'!$A$1:$AB$315,21,0)</f>
        <v>NA</v>
      </c>
      <c r="X300" s="8" t="str">
        <f>VLOOKUP($B300,'[1]Plant data'!$A$1:$AB$315,22,0)</f>
        <v>NA</v>
      </c>
      <c r="Y300" s="8" t="str">
        <f>VLOOKUP($B300,'[1]Plant data'!$A$1:$AB$315,23,0)</f>
        <v>NA</v>
      </c>
      <c r="Z300" s="8" t="str">
        <f>VLOOKUP($B300,'[1]Plant data'!$A$1:$AB$315,24,0)</f>
        <v>NA</v>
      </c>
      <c r="AA300" s="8" t="str">
        <f>VLOOKUP($B300,'[1]Plant data'!$A$1:$AB$315,25,0)</f>
        <v>NA</v>
      </c>
      <c r="AB300" s="8" t="s">
        <v>19</v>
      </c>
    </row>
    <row r="301" spans="1:28">
      <c r="A301" s="5" t="s">
        <v>110</v>
      </c>
      <c r="B301" s="32" t="s">
        <v>161</v>
      </c>
      <c r="C301" s="53">
        <v>2</v>
      </c>
      <c r="D301" s="11" t="s">
        <v>19</v>
      </c>
      <c r="E301" s="8" t="s">
        <v>19</v>
      </c>
      <c r="F301" s="54" t="s">
        <v>19</v>
      </c>
      <c r="G301" s="9" t="s">
        <v>19</v>
      </c>
      <c r="H301" s="23" t="s">
        <v>19</v>
      </c>
      <c r="I301" t="s">
        <v>101</v>
      </c>
      <c r="J301" s="11">
        <v>1250</v>
      </c>
      <c r="K301" s="11">
        <v>19.114999999999998</v>
      </c>
      <c r="L301" t="str">
        <f>VLOOKUP(B301,'[1]Plant data'!$A$1:$AB$315,2,0)</f>
        <v>Moraceae</v>
      </c>
      <c r="M301" s="9">
        <f>VLOOKUP($B301,'[1]Plant data'!$A$1:$AB$315,6,0)</f>
        <v>14</v>
      </c>
      <c r="N301" s="9">
        <f>VLOOKUP($B301,'[1]Plant data'!$A$1:$AB$315,7,0)</f>
        <v>14</v>
      </c>
      <c r="O301" s="8">
        <f>VLOOKUP($B301,'[1]Plant data'!$A$1:$AB$315,10,0)</f>
        <v>1.3</v>
      </c>
      <c r="P301" s="8" t="str">
        <f>VLOOKUP($B301,'[1]Plant data'!$A$1:$AB$315,11,0)</f>
        <v>NA</v>
      </c>
      <c r="Q301" s="8" t="str">
        <f>VLOOKUP($B301,'[1]Plant data'!$A$1:$AB$315,12,0)</f>
        <v>NA</v>
      </c>
      <c r="R301" s="8" t="str">
        <f>VLOOKUP($B301,'[1]Plant data'!$A$1:$AB$315,13,0)</f>
        <v>NA</v>
      </c>
      <c r="S301" s="8" t="str">
        <f>VLOOKUP($B301,'[1]Plant data'!$A$1:$AB$315,14,0)</f>
        <v>NA</v>
      </c>
      <c r="T301" s="11">
        <f>VLOOKUP($B301,'[1]Plant data'!$A$1:$AB$315,15,0)</f>
        <v>50</v>
      </c>
      <c r="U301" s="9">
        <f>VLOOKUP($B301,'[1]Plant data'!$A$1:$AB$315,19,0)</f>
        <v>0.79500000000000004</v>
      </c>
      <c r="V301" s="8">
        <f>VLOOKUP($B301,'[1]Plant data'!$A$1:$AB$315,20,0)</f>
        <v>5.4000000000000006E-2</v>
      </c>
      <c r="W301" s="8">
        <f>VLOOKUP($B301,'[1]Plant data'!$A$1:$AB$315,21,0)</f>
        <v>3.5000000000000003E-2</v>
      </c>
      <c r="X301" s="8" t="str">
        <f>VLOOKUP($B301,'[1]Plant data'!$A$1:$AB$315,22,0)</f>
        <v>NA</v>
      </c>
      <c r="Y301" s="8" t="str">
        <f>VLOOKUP($B301,'[1]Plant data'!$A$1:$AB$315,23,0)</f>
        <v>NA</v>
      </c>
      <c r="Z301" s="8" t="str">
        <f>VLOOKUP($B301,'[1]Plant data'!$A$1:$AB$315,24,0)</f>
        <v>NA</v>
      </c>
      <c r="AA301" s="8">
        <f>VLOOKUP($B301,'[1]Plant data'!$A$1:$AB$315,25,0)</f>
        <v>0.79599999999999993</v>
      </c>
      <c r="AB301" s="8" t="s">
        <v>19</v>
      </c>
    </row>
    <row r="302" spans="1:28">
      <c r="A302" s="5" t="s">
        <v>41</v>
      </c>
      <c r="B302" s="34" t="s">
        <v>271</v>
      </c>
      <c r="C302" s="53">
        <v>5</v>
      </c>
      <c r="D302" s="58">
        <v>8.5500000000000007</v>
      </c>
      <c r="E302" s="8">
        <f>C302/D302</f>
        <v>0.58479532163742687</v>
      </c>
      <c r="F302" s="54">
        <v>6</v>
      </c>
      <c r="G302" s="9">
        <f>F302/3</f>
        <v>2</v>
      </c>
      <c r="H302" s="23">
        <f>E302*G302</f>
        <v>1.1695906432748537</v>
      </c>
      <c r="I302" s="16" t="s">
        <v>30</v>
      </c>
      <c r="J302" s="17">
        <v>39</v>
      </c>
      <c r="K302" s="17">
        <v>8.2839869279999991</v>
      </c>
      <c r="L302" t="str">
        <f>VLOOKUP(B302,'[1]Plant data'!$A$1:$AB$315,2,0)</f>
        <v>Moraceae</v>
      </c>
      <c r="M302" s="9">
        <f>VLOOKUP($B302,'[1]Plant data'!$A$1:$AB$315,6,0)</f>
        <v>7.6</v>
      </c>
      <c r="N302" s="9">
        <f>VLOOKUP($B302,'[1]Plant data'!$A$1:$AB$315,7,0)</f>
        <v>8.9</v>
      </c>
      <c r="O302" s="8">
        <f>VLOOKUP($B302,'[1]Plant data'!$A$1:$AB$315,10,0)</f>
        <v>0.84499999999999997</v>
      </c>
      <c r="P302" s="8" t="str">
        <f>VLOOKUP($B302,'[1]Plant data'!$A$1:$AB$315,11,0)</f>
        <v>NA</v>
      </c>
      <c r="Q302" s="8" t="str">
        <f>VLOOKUP($B302,'[1]Plant data'!$A$1:$AB$315,12,0)</f>
        <v>NA</v>
      </c>
      <c r="R302" s="8">
        <f>VLOOKUP($B302,'[1]Plant data'!$A$1:$AB$315,13,0)</f>
        <v>8.2000000000000003E-2</v>
      </c>
      <c r="S302" s="8">
        <f>VLOOKUP($B302,'[1]Plant data'!$A$1:$AB$315,14,0)</f>
        <v>7.5999999999999998E-2</v>
      </c>
      <c r="T302" s="11" t="str">
        <f>VLOOKUP($B302,'[1]Plant data'!$A$1:$AB$315,15,0)</f>
        <v>NA</v>
      </c>
      <c r="U302" s="9">
        <f>VLOOKUP($B302,'[1]Plant data'!$A$1:$AB$315,19,0)</f>
        <v>0.79600000000000004</v>
      </c>
      <c r="V302" s="8">
        <f>VLOOKUP($B302,'[1]Plant data'!$A$1:$AB$315,20,0)</f>
        <v>4.4999999999999998E-2</v>
      </c>
      <c r="W302" s="8">
        <f>VLOOKUP($B302,'[1]Plant data'!$A$1:$AB$315,21,0)</f>
        <v>6.4000000000000001E-2</v>
      </c>
      <c r="X302" s="8" t="str">
        <f>VLOOKUP($B302,'[1]Plant data'!$A$1:$AB$315,22,0)</f>
        <v>NA</v>
      </c>
      <c r="Y302" s="8" t="str">
        <f>VLOOKUP($B302,'[1]Plant data'!$A$1:$AB$315,23,0)</f>
        <v>NA</v>
      </c>
      <c r="Z302" s="8">
        <f>VLOOKUP($B302,'[1]Plant data'!$A$1:$AB$315,24,0)</f>
        <v>0.79900000000000004</v>
      </c>
      <c r="AA302" s="8" t="str">
        <f>VLOOKUP($B302,'[1]Plant data'!$A$1:$AB$315,25,0)</f>
        <v>NA</v>
      </c>
      <c r="AB302" s="8" t="s">
        <v>19</v>
      </c>
    </row>
    <row r="303" spans="1:28">
      <c r="A303" s="5" t="s">
        <v>43</v>
      </c>
      <c r="B303" s="39" t="s">
        <v>271</v>
      </c>
      <c r="C303" s="53">
        <v>38</v>
      </c>
      <c r="D303" s="58">
        <v>8.5500000000000007</v>
      </c>
      <c r="E303" s="8">
        <f>C303/D303</f>
        <v>4.4444444444444438</v>
      </c>
      <c r="F303" s="54">
        <v>59</v>
      </c>
      <c r="G303" s="9">
        <f>F303/31</f>
        <v>1.903225806451613</v>
      </c>
      <c r="H303" s="23">
        <f>E303*G303</f>
        <v>8.4587813620071675</v>
      </c>
      <c r="I303" t="s">
        <v>30</v>
      </c>
      <c r="J303" s="11">
        <v>32.5</v>
      </c>
      <c r="K303" s="11">
        <v>8.9205555560000001</v>
      </c>
      <c r="L303" t="str">
        <f>VLOOKUP(B303,'[1]Plant data'!$A$1:$AB$315,2,0)</f>
        <v>Moraceae</v>
      </c>
      <c r="M303" s="9">
        <f>VLOOKUP($B303,'[1]Plant data'!$A$1:$AB$315,6,0)</f>
        <v>7.6</v>
      </c>
      <c r="N303" s="9">
        <f>VLOOKUP($B303,'[1]Plant data'!$A$1:$AB$315,7,0)</f>
        <v>8.9</v>
      </c>
      <c r="O303" s="8">
        <f>VLOOKUP($B303,'[1]Plant data'!$A$1:$AB$315,10,0)</f>
        <v>0.84499999999999997</v>
      </c>
      <c r="P303" s="8" t="str">
        <f>VLOOKUP($B303,'[1]Plant data'!$A$1:$AB$315,11,0)</f>
        <v>NA</v>
      </c>
      <c r="Q303" s="8" t="str">
        <f>VLOOKUP($B303,'[1]Plant data'!$A$1:$AB$315,12,0)</f>
        <v>NA</v>
      </c>
      <c r="R303" s="8">
        <f>VLOOKUP($B303,'[1]Plant data'!$A$1:$AB$315,13,0)</f>
        <v>8.2000000000000003E-2</v>
      </c>
      <c r="S303" s="8">
        <f>VLOOKUP($B303,'[1]Plant data'!$A$1:$AB$315,14,0)</f>
        <v>7.5999999999999998E-2</v>
      </c>
      <c r="T303" s="11" t="str">
        <f>VLOOKUP($B303,'[1]Plant data'!$A$1:$AB$315,15,0)</f>
        <v>NA</v>
      </c>
      <c r="U303" s="9">
        <f>VLOOKUP($B303,'[1]Plant data'!$A$1:$AB$315,19,0)</f>
        <v>0.79600000000000004</v>
      </c>
      <c r="V303" s="8">
        <f>VLOOKUP($B303,'[1]Plant data'!$A$1:$AB$315,20,0)</f>
        <v>4.4999999999999998E-2</v>
      </c>
      <c r="W303" s="8">
        <f>VLOOKUP($B303,'[1]Plant data'!$A$1:$AB$315,21,0)</f>
        <v>6.4000000000000001E-2</v>
      </c>
      <c r="X303" s="8" t="str">
        <f>VLOOKUP($B303,'[1]Plant data'!$A$1:$AB$315,22,0)</f>
        <v>NA</v>
      </c>
      <c r="Y303" s="8" t="str">
        <f>VLOOKUP($B303,'[1]Plant data'!$A$1:$AB$315,23,0)</f>
        <v>NA</v>
      </c>
      <c r="Z303" s="8">
        <f>VLOOKUP($B303,'[1]Plant data'!$A$1:$AB$315,24,0)</f>
        <v>0.79900000000000004</v>
      </c>
      <c r="AA303" s="8" t="str">
        <f>VLOOKUP($B303,'[1]Plant data'!$A$1:$AB$315,25,0)</f>
        <v>NA</v>
      </c>
      <c r="AB303" s="8" t="s">
        <v>19</v>
      </c>
    </row>
    <row r="304" spans="1:28">
      <c r="A304" s="5" t="s">
        <v>43</v>
      </c>
      <c r="B304" s="40" t="s">
        <v>45</v>
      </c>
      <c r="C304" s="53">
        <v>1</v>
      </c>
      <c r="D304" s="58">
        <v>8</v>
      </c>
      <c r="E304" s="8">
        <f>C304/D304</f>
        <v>0.125</v>
      </c>
      <c r="F304" s="54" t="s">
        <v>19</v>
      </c>
      <c r="G304" s="9" t="s">
        <v>19</v>
      </c>
      <c r="H304" s="23" t="s">
        <v>19</v>
      </c>
      <c r="I304" t="s">
        <v>30</v>
      </c>
      <c r="J304" s="11">
        <v>32.5</v>
      </c>
      <c r="K304" s="11">
        <v>8.9205555560000001</v>
      </c>
      <c r="L304" t="str">
        <f>VLOOKUP(B304,'[1]Plant data'!$A$1:$AB$315,2,0)</f>
        <v>Arecaceae</v>
      </c>
      <c r="M304" s="9">
        <f>VLOOKUP($B304,'[1]Plant data'!$A$1:$AB$315,6,0)</f>
        <v>12.3</v>
      </c>
      <c r="N304" s="9">
        <f>VLOOKUP($B304,'[1]Plant data'!$A$1:$AB$315,7,0)</f>
        <v>12.4</v>
      </c>
      <c r="O304" s="8" t="str">
        <f>VLOOKUP($B304,'[1]Plant data'!$A$1:$AB$315,10,0)</f>
        <v>NA</v>
      </c>
      <c r="P304" s="8" t="str">
        <f>VLOOKUP($B304,'[1]Plant data'!$A$1:$AB$315,11,0)</f>
        <v>NA</v>
      </c>
      <c r="Q304" s="8" t="str">
        <f>VLOOKUP($B304,'[1]Plant data'!$A$1:$AB$315,12,0)</f>
        <v>NA</v>
      </c>
      <c r="R304" s="8" t="str">
        <f>VLOOKUP($B304,'[1]Plant data'!$A$1:$AB$315,13,0)</f>
        <v>NA</v>
      </c>
      <c r="S304" s="8" t="str">
        <f>VLOOKUP($B304,'[1]Plant data'!$A$1:$AB$315,14,0)</f>
        <v>NA</v>
      </c>
      <c r="T304" s="11">
        <f>VLOOKUP($B304,'[1]Plant data'!$A$1:$AB$315,15,0)</f>
        <v>1</v>
      </c>
      <c r="U304" s="9" t="str">
        <f>VLOOKUP($B304,'[1]Plant data'!$A$1:$AB$315,19,0)</f>
        <v>NA</v>
      </c>
      <c r="V304" s="8">
        <f>VLOOKUP($B304,'[1]Plant data'!$A$1:$AB$315,20,0)</f>
        <v>0.40749999999999997</v>
      </c>
      <c r="W304" s="8">
        <f>VLOOKUP($B304,'[1]Plant data'!$A$1:$AB$315,21,0)</f>
        <v>8.1299999999999997E-2</v>
      </c>
      <c r="X304" s="8" t="str">
        <f>VLOOKUP($B304,'[1]Plant data'!$A$1:$AB$315,22,0)</f>
        <v>NA</v>
      </c>
      <c r="Y304" s="8" t="str">
        <f>VLOOKUP($B304,'[1]Plant data'!$A$1:$AB$315,23,0)</f>
        <v>NA</v>
      </c>
      <c r="Z304" s="8" t="str">
        <f>VLOOKUP($B304,'[1]Plant data'!$A$1:$AB$315,24,0)</f>
        <v>NA</v>
      </c>
      <c r="AA304" s="8">
        <f>VLOOKUP($B304,'[1]Plant data'!$A$1:$AB$315,25,0)</f>
        <v>0.42530000000000001</v>
      </c>
      <c r="AB304" s="8" t="s">
        <v>19</v>
      </c>
    </row>
    <row r="305" spans="1:28">
      <c r="A305" s="5" t="s">
        <v>50</v>
      </c>
      <c r="B305" s="40" t="s">
        <v>45</v>
      </c>
      <c r="C305" s="53">
        <v>17</v>
      </c>
      <c r="D305" s="58">
        <v>8</v>
      </c>
      <c r="E305" s="8">
        <f>C305/D305</f>
        <v>2.125</v>
      </c>
      <c r="F305" s="54" t="s">
        <v>19</v>
      </c>
      <c r="G305" s="41">
        <v>1.6008333333333331</v>
      </c>
      <c r="H305" s="23">
        <f>E305*G305</f>
        <v>3.401770833333333</v>
      </c>
      <c r="I305" t="s">
        <v>47</v>
      </c>
      <c r="J305" s="11">
        <v>69.5</v>
      </c>
      <c r="K305" s="11">
        <v>13.253214290000001</v>
      </c>
      <c r="L305" t="str">
        <f>VLOOKUP(B305,'[1]Plant data'!$A$1:$AB$315,2,0)</f>
        <v>Arecaceae</v>
      </c>
      <c r="M305" s="9">
        <f>VLOOKUP($B305,'[1]Plant data'!$A$1:$AB$315,6,0)</f>
        <v>12.3</v>
      </c>
      <c r="N305" s="9">
        <f>VLOOKUP($B305,'[1]Plant data'!$A$1:$AB$315,7,0)</f>
        <v>12.4</v>
      </c>
      <c r="O305" s="8" t="str">
        <f>VLOOKUP($B305,'[1]Plant data'!$A$1:$AB$315,10,0)</f>
        <v>NA</v>
      </c>
      <c r="P305" s="8" t="str">
        <f>VLOOKUP($B305,'[1]Plant data'!$A$1:$AB$315,11,0)</f>
        <v>NA</v>
      </c>
      <c r="Q305" s="8" t="str">
        <f>VLOOKUP($B305,'[1]Plant data'!$A$1:$AB$315,12,0)</f>
        <v>NA</v>
      </c>
      <c r="R305" s="8" t="str">
        <f>VLOOKUP($B305,'[1]Plant data'!$A$1:$AB$315,13,0)</f>
        <v>NA</v>
      </c>
      <c r="S305" s="8" t="str">
        <f>VLOOKUP($B305,'[1]Plant data'!$A$1:$AB$315,14,0)</f>
        <v>NA</v>
      </c>
      <c r="T305" s="11">
        <f>VLOOKUP($B305,'[1]Plant data'!$A$1:$AB$315,15,0)</f>
        <v>1</v>
      </c>
      <c r="U305" s="9" t="str">
        <f>VLOOKUP($B305,'[1]Plant data'!$A$1:$AB$315,19,0)</f>
        <v>NA</v>
      </c>
      <c r="V305" s="8">
        <f>VLOOKUP($B305,'[1]Plant data'!$A$1:$AB$315,20,0)</f>
        <v>0.40749999999999997</v>
      </c>
      <c r="W305" s="8">
        <f>VLOOKUP($B305,'[1]Plant data'!$A$1:$AB$315,21,0)</f>
        <v>8.1299999999999997E-2</v>
      </c>
      <c r="X305" s="8" t="str">
        <f>VLOOKUP($B305,'[1]Plant data'!$A$1:$AB$315,22,0)</f>
        <v>NA</v>
      </c>
      <c r="Y305" s="8" t="str">
        <f>VLOOKUP($B305,'[1]Plant data'!$A$1:$AB$315,23,0)</f>
        <v>NA</v>
      </c>
      <c r="Z305" s="8" t="str">
        <f>VLOOKUP($B305,'[1]Plant data'!$A$1:$AB$315,24,0)</f>
        <v>NA</v>
      </c>
      <c r="AA305" s="8">
        <f>VLOOKUP($B305,'[1]Plant data'!$A$1:$AB$315,25,0)</f>
        <v>0.42530000000000001</v>
      </c>
      <c r="AB305" s="8" t="s">
        <v>19</v>
      </c>
    </row>
    <row r="306" spans="1:28">
      <c r="A306" s="5" t="s">
        <v>110</v>
      </c>
      <c r="B306" s="37" t="s">
        <v>97</v>
      </c>
      <c r="C306" s="53">
        <v>7</v>
      </c>
      <c r="D306" s="11" t="s">
        <v>19</v>
      </c>
      <c r="E306" s="8" t="s">
        <v>19</v>
      </c>
      <c r="F306" s="54" t="s">
        <v>19</v>
      </c>
      <c r="G306" s="41">
        <v>41.982380952381</v>
      </c>
      <c r="H306" s="23" t="s">
        <v>19</v>
      </c>
      <c r="I306" t="s">
        <v>101</v>
      </c>
      <c r="J306" s="11">
        <v>1250</v>
      </c>
      <c r="K306" s="11">
        <v>19.114999999999998</v>
      </c>
      <c r="L306" t="str">
        <f>VLOOKUP(B306,'[1]Plant data'!$A$1:$AB$315,2,0)</f>
        <v>Arecaceae</v>
      </c>
      <c r="M306" s="9">
        <f>VLOOKUP($B306,'[1]Plant data'!$A$1:$AB$315,6,0)</f>
        <v>13.294285714285715</v>
      </c>
      <c r="N306" s="9">
        <f>VLOOKUP($B306,'[1]Plant data'!$A$1:$AB$315,7,0)</f>
        <v>12.980000000000002</v>
      </c>
      <c r="O306" s="8">
        <f>VLOOKUP($B306,'[1]Plant data'!$A$1:$AB$315,10,0)</f>
        <v>1.4212800000000001</v>
      </c>
      <c r="P306" s="8">
        <f>VLOOKUP($B306,'[1]Plant data'!$A$1:$AB$315,11,0)</f>
        <v>0.46</v>
      </c>
      <c r="Q306" s="8">
        <f>VLOOKUP($B306,'[1]Plant data'!$A$1:$AB$315,12,0)</f>
        <v>1.06515</v>
      </c>
      <c r="R306" s="8">
        <f>VLOOKUP($B306,'[1]Plant data'!$A$1:$AB$315,13,0)</f>
        <v>0.32305000000000006</v>
      </c>
      <c r="S306" s="8">
        <f>VLOOKUP($B306,'[1]Plant data'!$A$1:$AB$315,14,0)</f>
        <v>0.96343333333333325</v>
      </c>
      <c r="T306" s="11">
        <f>VLOOKUP($B306,'[1]Plant data'!$A$1:$AB$315,15,0)</f>
        <v>1</v>
      </c>
      <c r="U306" s="9">
        <f>VLOOKUP($B306,'[1]Plant data'!$A$1:$AB$315,19,0)</f>
        <v>0.67774999999999996</v>
      </c>
      <c r="V306" s="8">
        <f>VLOOKUP($B306,'[1]Plant data'!$A$1:$AB$315,20,0)</f>
        <v>0.13617499999999999</v>
      </c>
      <c r="W306" s="8">
        <f>VLOOKUP($B306,'[1]Plant data'!$A$1:$AB$315,21,0)</f>
        <v>5.0733332999999999E-2</v>
      </c>
      <c r="X306" s="8">
        <f>VLOOKUP($B306,'[1]Plant data'!$A$1:$AB$315,22,0)</f>
        <v>3.65E-3</v>
      </c>
      <c r="Y306" s="8">
        <f>VLOOKUP($B306,'[1]Plant data'!$A$1:$AB$315,23,0)</f>
        <v>0.182</v>
      </c>
      <c r="Z306" s="8" t="str">
        <f>VLOOKUP($B306,'[1]Plant data'!$A$1:$AB$315,24,0)</f>
        <v>NA</v>
      </c>
      <c r="AA306" s="8">
        <f>VLOOKUP($B306,'[1]Plant data'!$A$1:$AB$315,25,0)</f>
        <v>0.69899999999999995</v>
      </c>
      <c r="AB306" s="8">
        <f t="shared" ref="AB306:AB337" si="22">SUMIF(X306:Y306,"&gt;0.00001")</f>
        <v>0.18564999999999998</v>
      </c>
    </row>
    <row r="307" spans="1:28">
      <c r="A307" s="5" t="s">
        <v>110</v>
      </c>
      <c r="B307" s="37" t="s">
        <v>97</v>
      </c>
      <c r="C307" s="53">
        <v>3</v>
      </c>
      <c r="D307" s="11" t="s">
        <v>19</v>
      </c>
      <c r="E307" s="8" t="s">
        <v>19</v>
      </c>
      <c r="F307" s="54" t="s">
        <v>19</v>
      </c>
      <c r="G307" s="41">
        <v>41.982380952381</v>
      </c>
      <c r="H307" s="23" t="s">
        <v>19</v>
      </c>
      <c r="I307" t="s">
        <v>101</v>
      </c>
      <c r="J307" s="11">
        <v>1250</v>
      </c>
      <c r="K307" s="11">
        <v>19.114999999999998</v>
      </c>
      <c r="L307" t="str">
        <f>VLOOKUP(B307,'[1]Plant data'!$A$1:$AB$315,2,0)</f>
        <v>Arecaceae</v>
      </c>
      <c r="M307" s="9">
        <f>VLOOKUP($B307,'[1]Plant data'!$A$1:$AB$315,6,0)</f>
        <v>13.294285714285715</v>
      </c>
      <c r="N307" s="9">
        <f>VLOOKUP($B307,'[1]Plant data'!$A$1:$AB$315,7,0)</f>
        <v>12.980000000000002</v>
      </c>
      <c r="O307" s="8">
        <f>VLOOKUP($B307,'[1]Plant data'!$A$1:$AB$315,10,0)</f>
        <v>1.4212800000000001</v>
      </c>
      <c r="P307" s="8">
        <f>VLOOKUP($B307,'[1]Plant data'!$A$1:$AB$315,11,0)</f>
        <v>0.46</v>
      </c>
      <c r="Q307" s="8">
        <f>VLOOKUP($B307,'[1]Plant data'!$A$1:$AB$315,12,0)</f>
        <v>1.06515</v>
      </c>
      <c r="R307" s="8">
        <f>VLOOKUP($B307,'[1]Plant data'!$A$1:$AB$315,13,0)</f>
        <v>0.32305000000000006</v>
      </c>
      <c r="S307" s="8">
        <f>VLOOKUP($B307,'[1]Plant data'!$A$1:$AB$315,14,0)</f>
        <v>0.96343333333333325</v>
      </c>
      <c r="T307" s="11">
        <f>VLOOKUP($B307,'[1]Plant data'!$A$1:$AB$315,15,0)</f>
        <v>1</v>
      </c>
      <c r="U307" s="9">
        <f>VLOOKUP($B307,'[1]Plant data'!$A$1:$AB$315,19,0)</f>
        <v>0.67774999999999996</v>
      </c>
      <c r="V307" s="8">
        <f>VLOOKUP($B307,'[1]Plant data'!$A$1:$AB$315,20,0)</f>
        <v>0.13617499999999999</v>
      </c>
      <c r="W307" s="8">
        <f>VLOOKUP($B307,'[1]Plant data'!$A$1:$AB$315,21,0)</f>
        <v>5.0733332999999999E-2</v>
      </c>
      <c r="X307" s="8">
        <f>VLOOKUP($B307,'[1]Plant data'!$A$1:$AB$315,22,0)</f>
        <v>3.65E-3</v>
      </c>
      <c r="Y307" s="8">
        <f>VLOOKUP($B307,'[1]Plant data'!$A$1:$AB$315,23,0)</f>
        <v>0.182</v>
      </c>
      <c r="Z307" s="8" t="str">
        <f>VLOOKUP($B307,'[1]Plant data'!$A$1:$AB$315,24,0)</f>
        <v>NA</v>
      </c>
      <c r="AA307" s="8">
        <f>VLOOKUP($B307,'[1]Plant data'!$A$1:$AB$315,25,0)</f>
        <v>0.69899999999999995</v>
      </c>
      <c r="AB307" s="8">
        <f t="shared" si="22"/>
        <v>0.18564999999999998</v>
      </c>
    </row>
    <row r="308" spans="1:28">
      <c r="A308" s="5" t="s">
        <v>110</v>
      </c>
      <c r="B308" s="37" t="s">
        <v>97</v>
      </c>
      <c r="C308" s="53">
        <v>3</v>
      </c>
      <c r="D308" s="11">
        <v>330</v>
      </c>
      <c r="E308" s="8">
        <f>(C308/330)*2</f>
        <v>1.8181818181818181E-2</v>
      </c>
      <c r="F308" s="56" t="s">
        <v>19</v>
      </c>
      <c r="G308" s="9">
        <v>85</v>
      </c>
      <c r="H308" s="23">
        <f t="shared" ref="H308:H314" si="23">E308*G308</f>
        <v>1.5454545454545454</v>
      </c>
      <c r="I308" t="s">
        <v>101</v>
      </c>
      <c r="J308" s="11">
        <v>1250</v>
      </c>
      <c r="K308" s="11">
        <v>19.114999999999998</v>
      </c>
      <c r="L308" t="str">
        <f>VLOOKUP(B308,'[1]Plant data'!$A$1:$AB$315,2,0)</f>
        <v>Arecaceae</v>
      </c>
      <c r="M308" s="9">
        <f>VLOOKUP($B308,'[1]Plant data'!$A$1:$AB$315,6,0)</f>
        <v>13.294285714285715</v>
      </c>
      <c r="N308" s="9">
        <f>VLOOKUP($B308,'[1]Plant data'!$A$1:$AB$315,7,0)</f>
        <v>12.980000000000002</v>
      </c>
      <c r="O308" s="8">
        <f>VLOOKUP($B308,'[1]Plant data'!$A$1:$AB$315,10,0)</f>
        <v>1.4212800000000001</v>
      </c>
      <c r="P308" s="8">
        <f>VLOOKUP($B308,'[1]Plant data'!$A$1:$AB$315,11,0)</f>
        <v>0.46</v>
      </c>
      <c r="Q308" s="8">
        <f>VLOOKUP($B308,'[1]Plant data'!$A$1:$AB$315,12,0)</f>
        <v>1.06515</v>
      </c>
      <c r="R308" s="8">
        <f>VLOOKUP($B308,'[1]Plant data'!$A$1:$AB$315,13,0)</f>
        <v>0.32305000000000006</v>
      </c>
      <c r="S308" s="8">
        <f>VLOOKUP($B308,'[1]Plant data'!$A$1:$AB$315,14,0)</f>
        <v>0.96343333333333325</v>
      </c>
      <c r="T308" s="11">
        <f>VLOOKUP($B308,'[1]Plant data'!$A$1:$AB$315,15,0)</f>
        <v>1</v>
      </c>
      <c r="U308" s="9">
        <f>VLOOKUP($B308,'[1]Plant data'!$A$1:$AB$315,19,0)</f>
        <v>0.67774999999999996</v>
      </c>
      <c r="V308" s="8">
        <f>VLOOKUP($B308,'[1]Plant data'!$A$1:$AB$315,20,0)</f>
        <v>0.13617499999999999</v>
      </c>
      <c r="W308" s="8">
        <f>VLOOKUP($B308,'[1]Plant data'!$A$1:$AB$315,21,0)</f>
        <v>5.0733332999999999E-2</v>
      </c>
      <c r="X308" s="8">
        <f>VLOOKUP($B308,'[1]Plant data'!$A$1:$AB$315,22,0)</f>
        <v>3.65E-3</v>
      </c>
      <c r="Y308" s="8">
        <f>VLOOKUP($B308,'[1]Plant data'!$A$1:$AB$315,23,0)</f>
        <v>0.182</v>
      </c>
      <c r="Z308" s="8" t="str">
        <f>VLOOKUP($B308,'[1]Plant data'!$A$1:$AB$315,24,0)</f>
        <v>NA</v>
      </c>
      <c r="AA308" s="8">
        <f>VLOOKUP($B308,'[1]Plant data'!$A$1:$AB$315,25,0)</f>
        <v>0.69899999999999995</v>
      </c>
      <c r="AB308" s="8">
        <f t="shared" si="22"/>
        <v>0.18564999999999998</v>
      </c>
    </row>
    <row r="309" spans="1:28">
      <c r="A309" s="5" t="s">
        <v>110</v>
      </c>
      <c r="B309" s="37" t="s">
        <v>97</v>
      </c>
      <c r="C309" s="53" t="s">
        <v>19</v>
      </c>
      <c r="D309" s="11" t="s">
        <v>19</v>
      </c>
      <c r="E309" s="8">
        <f>0.18/10</f>
        <v>1.7999999999999999E-2</v>
      </c>
      <c r="F309" s="54" t="s">
        <v>19</v>
      </c>
      <c r="G309">
        <v>30.09</v>
      </c>
      <c r="H309" s="23">
        <f t="shared" si="23"/>
        <v>0.54161999999999999</v>
      </c>
      <c r="I309" t="s">
        <v>101</v>
      </c>
      <c r="J309" s="11">
        <v>1250</v>
      </c>
      <c r="K309" s="11">
        <v>19.114999999999998</v>
      </c>
      <c r="L309" t="str">
        <f>VLOOKUP(B309,'[1]Plant data'!$A$1:$AB$315,2,0)</f>
        <v>Arecaceae</v>
      </c>
      <c r="M309" s="9">
        <f>VLOOKUP($B309,'[1]Plant data'!$A$1:$AB$315,6,0)</f>
        <v>13.294285714285715</v>
      </c>
      <c r="N309" s="9">
        <f>VLOOKUP($B309,'[1]Plant data'!$A$1:$AB$315,7,0)</f>
        <v>12.980000000000002</v>
      </c>
      <c r="O309" s="8">
        <f>VLOOKUP($B309,'[1]Plant data'!$A$1:$AB$315,10,0)</f>
        <v>1.4212800000000001</v>
      </c>
      <c r="P309" s="8">
        <f>VLOOKUP($B309,'[1]Plant data'!$A$1:$AB$315,11,0)</f>
        <v>0.46</v>
      </c>
      <c r="Q309" s="8">
        <f>VLOOKUP($B309,'[1]Plant data'!$A$1:$AB$315,12,0)</f>
        <v>1.06515</v>
      </c>
      <c r="R309" s="8">
        <f>VLOOKUP($B309,'[1]Plant data'!$A$1:$AB$315,13,0)</f>
        <v>0.32305000000000006</v>
      </c>
      <c r="S309" s="8">
        <f>VLOOKUP($B309,'[1]Plant data'!$A$1:$AB$315,14,0)</f>
        <v>0.96343333333333325</v>
      </c>
      <c r="T309" s="11">
        <f>VLOOKUP($B309,'[1]Plant data'!$A$1:$AB$315,15,0)</f>
        <v>1</v>
      </c>
      <c r="U309" s="9">
        <f>VLOOKUP($B309,'[1]Plant data'!$A$1:$AB$315,19,0)</f>
        <v>0.67774999999999996</v>
      </c>
      <c r="V309" s="8">
        <f>VLOOKUP($B309,'[1]Plant data'!$A$1:$AB$315,20,0)</f>
        <v>0.13617499999999999</v>
      </c>
      <c r="W309" s="8">
        <f>VLOOKUP($B309,'[1]Plant data'!$A$1:$AB$315,21,0)</f>
        <v>5.0733332999999999E-2</v>
      </c>
      <c r="X309" s="8">
        <f>VLOOKUP($B309,'[1]Plant data'!$A$1:$AB$315,22,0)</f>
        <v>3.65E-3</v>
      </c>
      <c r="Y309" s="8">
        <f>VLOOKUP($B309,'[1]Plant data'!$A$1:$AB$315,23,0)</f>
        <v>0.182</v>
      </c>
      <c r="Z309" s="8" t="str">
        <f>VLOOKUP($B309,'[1]Plant data'!$A$1:$AB$315,24,0)</f>
        <v>NA</v>
      </c>
      <c r="AA309" s="8">
        <f>VLOOKUP($B309,'[1]Plant data'!$A$1:$AB$315,25,0)</f>
        <v>0.69899999999999995</v>
      </c>
      <c r="AB309" s="8">
        <f t="shared" si="22"/>
        <v>0.18564999999999998</v>
      </c>
    </row>
    <row r="310" spans="1:28">
      <c r="A310" s="5" t="s">
        <v>110</v>
      </c>
      <c r="B310" s="37" t="s">
        <v>97</v>
      </c>
      <c r="C310" s="53">
        <v>7</v>
      </c>
      <c r="D310" s="11">
        <v>276</v>
      </c>
      <c r="E310" s="8">
        <f>0.225/10</f>
        <v>2.2499999999999999E-2</v>
      </c>
      <c r="F310" s="54">
        <v>76</v>
      </c>
      <c r="G310" s="9">
        <f>F310/C310</f>
        <v>10.857142857142858</v>
      </c>
      <c r="H310" s="23">
        <f t="shared" si="23"/>
        <v>0.2442857142857143</v>
      </c>
      <c r="I310" t="s">
        <v>101</v>
      </c>
      <c r="J310" s="11">
        <v>1250</v>
      </c>
      <c r="K310" s="11">
        <v>19.114999999999998</v>
      </c>
      <c r="L310" t="str">
        <f>VLOOKUP(B310,'[1]Plant data'!$A$1:$AB$315,2,0)</f>
        <v>Arecaceae</v>
      </c>
      <c r="M310" s="9">
        <f>VLOOKUP($B310,'[1]Plant data'!$A$1:$AB$315,6,0)</f>
        <v>13.294285714285715</v>
      </c>
      <c r="N310" s="9">
        <f>VLOOKUP($B310,'[1]Plant data'!$A$1:$AB$315,7,0)</f>
        <v>12.980000000000002</v>
      </c>
      <c r="O310" s="8">
        <f>VLOOKUP($B310,'[1]Plant data'!$A$1:$AB$315,10,0)</f>
        <v>1.4212800000000001</v>
      </c>
      <c r="P310" s="8">
        <f>VLOOKUP($B310,'[1]Plant data'!$A$1:$AB$315,11,0)</f>
        <v>0.46</v>
      </c>
      <c r="Q310" s="8">
        <f>VLOOKUP($B310,'[1]Plant data'!$A$1:$AB$315,12,0)</f>
        <v>1.06515</v>
      </c>
      <c r="R310" s="8">
        <f>VLOOKUP($B310,'[1]Plant data'!$A$1:$AB$315,13,0)</f>
        <v>0.32305000000000006</v>
      </c>
      <c r="S310" s="8">
        <f>VLOOKUP($B310,'[1]Plant data'!$A$1:$AB$315,14,0)</f>
        <v>0.96343333333333325</v>
      </c>
      <c r="T310" s="11">
        <f>VLOOKUP($B310,'[1]Plant data'!$A$1:$AB$315,15,0)</f>
        <v>1</v>
      </c>
      <c r="U310" s="9">
        <f>VLOOKUP($B310,'[1]Plant data'!$A$1:$AB$315,19,0)</f>
        <v>0.67774999999999996</v>
      </c>
      <c r="V310" s="8">
        <f>VLOOKUP($B310,'[1]Plant data'!$A$1:$AB$315,20,0)</f>
        <v>0.13617499999999999</v>
      </c>
      <c r="W310" s="8">
        <f>VLOOKUP($B310,'[1]Plant data'!$A$1:$AB$315,21,0)</f>
        <v>5.0733332999999999E-2</v>
      </c>
      <c r="X310" s="8">
        <f>VLOOKUP($B310,'[1]Plant data'!$A$1:$AB$315,22,0)</f>
        <v>3.65E-3</v>
      </c>
      <c r="Y310" s="8">
        <f>VLOOKUP($B310,'[1]Plant data'!$A$1:$AB$315,23,0)</f>
        <v>0.182</v>
      </c>
      <c r="Z310" s="8" t="str">
        <f>VLOOKUP($B310,'[1]Plant data'!$A$1:$AB$315,24,0)</f>
        <v>NA</v>
      </c>
      <c r="AA310" s="8">
        <f>VLOOKUP($B310,'[1]Plant data'!$A$1:$AB$315,25,0)</f>
        <v>0.69899999999999995</v>
      </c>
      <c r="AB310" s="8">
        <f t="shared" si="22"/>
        <v>0.18564999999999998</v>
      </c>
    </row>
    <row r="311" spans="1:28">
      <c r="A311" s="5" t="s">
        <v>110</v>
      </c>
      <c r="B311" s="37" t="s">
        <v>97</v>
      </c>
      <c r="C311" s="53">
        <v>3</v>
      </c>
      <c r="D311" s="11">
        <v>750</v>
      </c>
      <c r="E311" s="8">
        <f>3/750</f>
        <v>4.0000000000000001E-3</v>
      </c>
      <c r="F311" s="56" t="s">
        <v>19</v>
      </c>
      <c r="G311" s="41">
        <v>41.982380952381</v>
      </c>
      <c r="H311" s="23">
        <f t="shared" si="23"/>
        <v>0.167929523809524</v>
      </c>
      <c r="I311" t="s">
        <v>101</v>
      </c>
      <c r="J311" s="11">
        <v>1250</v>
      </c>
      <c r="K311" s="11">
        <v>19.114999999999998</v>
      </c>
      <c r="L311" t="str">
        <f>VLOOKUP(B311,'[1]Plant data'!$A$1:$AB$315,2,0)</f>
        <v>Arecaceae</v>
      </c>
      <c r="M311" s="9">
        <f>VLOOKUP($B311,'[1]Plant data'!$A$1:$AB$315,6,0)</f>
        <v>13.294285714285715</v>
      </c>
      <c r="N311" s="9">
        <f>VLOOKUP($B311,'[1]Plant data'!$A$1:$AB$315,7,0)</f>
        <v>12.980000000000002</v>
      </c>
      <c r="O311" s="8">
        <f>VLOOKUP($B311,'[1]Plant data'!$A$1:$AB$315,10,0)</f>
        <v>1.4212800000000001</v>
      </c>
      <c r="P311" s="8">
        <f>VLOOKUP($B311,'[1]Plant data'!$A$1:$AB$315,11,0)</f>
        <v>0.46</v>
      </c>
      <c r="Q311" s="8">
        <f>VLOOKUP($B311,'[1]Plant data'!$A$1:$AB$315,12,0)</f>
        <v>1.06515</v>
      </c>
      <c r="R311" s="8">
        <f>VLOOKUP($B311,'[1]Plant data'!$A$1:$AB$315,13,0)</f>
        <v>0.32305000000000006</v>
      </c>
      <c r="S311" s="8">
        <f>VLOOKUP($B311,'[1]Plant data'!$A$1:$AB$315,14,0)</f>
        <v>0.96343333333333325</v>
      </c>
      <c r="T311" s="11">
        <f>VLOOKUP($B311,'[1]Plant data'!$A$1:$AB$315,15,0)</f>
        <v>1</v>
      </c>
      <c r="U311" s="9">
        <f>VLOOKUP($B311,'[1]Plant data'!$A$1:$AB$315,19,0)</f>
        <v>0.67774999999999996</v>
      </c>
      <c r="V311" s="8">
        <f>VLOOKUP($B311,'[1]Plant data'!$A$1:$AB$315,20,0)</f>
        <v>0.13617499999999999</v>
      </c>
      <c r="W311" s="8">
        <f>VLOOKUP($B311,'[1]Plant data'!$A$1:$AB$315,21,0)</f>
        <v>5.0733332999999999E-2</v>
      </c>
      <c r="X311" s="8">
        <f>VLOOKUP($B311,'[1]Plant data'!$A$1:$AB$315,22,0)</f>
        <v>3.65E-3</v>
      </c>
      <c r="Y311" s="8">
        <f>VLOOKUP($B311,'[1]Plant data'!$A$1:$AB$315,23,0)</f>
        <v>0.182</v>
      </c>
      <c r="Z311" s="8" t="str">
        <f>VLOOKUP($B311,'[1]Plant data'!$A$1:$AB$315,24,0)</f>
        <v>NA</v>
      </c>
      <c r="AA311" s="8">
        <f>VLOOKUP($B311,'[1]Plant data'!$A$1:$AB$315,25,0)</f>
        <v>0.69899999999999995</v>
      </c>
      <c r="AB311" s="8">
        <f t="shared" si="22"/>
        <v>0.18564999999999998</v>
      </c>
    </row>
    <row r="312" spans="1:28">
      <c r="A312" s="5" t="s">
        <v>144</v>
      </c>
      <c r="B312" s="39" t="s">
        <v>97</v>
      </c>
      <c r="C312" s="53">
        <v>6</v>
      </c>
      <c r="D312" s="11">
        <v>330</v>
      </c>
      <c r="E312" s="8">
        <f>(C312/330)*3</f>
        <v>5.4545454545454543E-2</v>
      </c>
      <c r="F312" s="56" t="s">
        <v>19</v>
      </c>
      <c r="G312" s="9">
        <v>9</v>
      </c>
      <c r="H312" s="23">
        <f t="shared" si="23"/>
        <v>0.49090909090909091</v>
      </c>
      <c r="I312" t="s">
        <v>94</v>
      </c>
      <c r="J312" s="11">
        <v>146</v>
      </c>
      <c r="K312" s="11">
        <v>23.6</v>
      </c>
      <c r="L312" t="str">
        <f>VLOOKUP(B312,'[1]Plant data'!$A$1:$AB$315,2,0)</f>
        <v>Arecaceae</v>
      </c>
      <c r="M312" s="9">
        <f>VLOOKUP($B312,'[1]Plant data'!$A$1:$AB$315,6,0)</f>
        <v>13.294285714285715</v>
      </c>
      <c r="N312" s="9">
        <f>VLOOKUP($B312,'[1]Plant data'!$A$1:$AB$315,7,0)</f>
        <v>12.980000000000002</v>
      </c>
      <c r="O312" s="8">
        <f>VLOOKUP($B312,'[1]Plant data'!$A$1:$AB$315,10,0)</f>
        <v>1.4212800000000001</v>
      </c>
      <c r="P312" s="8">
        <f>VLOOKUP($B312,'[1]Plant data'!$A$1:$AB$315,11,0)</f>
        <v>0.46</v>
      </c>
      <c r="Q312" s="8">
        <f>VLOOKUP($B312,'[1]Plant data'!$A$1:$AB$315,12,0)</f>
        <v>1.06515</v>
      </c>
      <c r="R312" s="8">
        <f>VLOOKUP($B312,'[1]Plant data'!$A$1:$AB$315,13,0)</f>
        <v>0.32305000000000006</v>
      </c>
      <c r="S312" s="8">
        <f>VLOOKUP($B312,'[1]Plant data'!$A$1:$AB$315,14,0)</f>
        <v>0.96343333333333325</v>
      </c>
      <c r="T312" s="11">
        <f>VLOOKUP($B312,'[1]Plant data'!$A$1:$AB$315,15,0)</f>
        <v>1</v>
      </c>
      <c r="U312" s="9">
        <f>VLOOKUP($B312,'[1]Plant data'!$A$1:$AB$315,19,0)</f>
        <v>0.67774999999999996</v>
      </c>
      <c r="V312" s="8">
        <f>VLOOKUP($B312,'[1]Plant data'!$A$1:$AB$315,20,0)</f>
        <v>0.13617499999999999</v>
      </c>
      <c r="W312" s="8">
        <f>VLOOKUP($B312,'[1]Plant data'!$A$1:$AB$315,21,0)</f>
        <v>5.0733332999999999E-2</v>
      </c>
      <c r="X312" s="8">
        <f>VLOOKUP($B312,'[1]Plant data'!$A$1:$AB$315,22,0)</f>
        <v>3.65E-3</v>
      </c>
      <c r="Y312" s="8">
        <f>VLOOKUP($B312,'[1]Plant data'!$A$1:$AB$315,23,0)</f>
        <v>0.182</v>
      </c>
      <c r="Z312" s="8" t="str">
        <f>VLOOKUP($B312,'[1]Plant data'!$A$1:$AB$315,24,0)</f>
        <v>NA</v>
      </c>
      <c r="AA312" s="8">
        <f>VLOOKUP($B312,'[1]Plant data'!$A$1:$AB$315,25,0)</f>
        <v>0.69899999999999995</v>
      </c>
      <c r="AB312" s="8">
        <f t="shared" si="22"/>
        <v>0.18564999999999998</v>
      </c>
    </row>
    <row r="313" spans="1:28">
      <c r="A313" s="5" t="s">
        <v>144</v>
      </c>
      <c r="B313" s="39" t="s">
        <v>97</v>
      </c>
      <c r="C313" s="53" t="s">
        <v>19</v>
      </c>
      <c r="D313" s="11" t="s">
        <v>19</v>
      </c>
      <c r="E313" s="8">
        <f>0.45/10</f>
        <v>4.4999999999999998E-2</v>
      </c>
      <c r="F313" s="56" t="s">
        <v>19</v>
      </c>
      <c r="G313" s="9">
        <v>3.6</v>
      </c>
      <c r="H313" s="23">
        <f t="shared" si="23"/>
        <v>0.16200000000000001</v>
      </c>
      <c r="I313" t="s">
        <v>94</v>
      </c>
      <c r="J313" s="11">
        <v>146</v>
      </c>
      <c r="K313" s="11">
        <v>23.6</v>
      </c>
      <c r="L313" t="str">
        <f>VLOOKUP(B313,'[1]Plant data'!$A$1:$AB$315,2,0)</f>
        <v>Arecaceae</v>
      </c>
      <c r="M313" s="9">
        <f>VLOOKUP($B313,'[1]Plant data'!$A$1:$AB$315,6,0)</f>
        <v>13.294285714285715</v>
      </c>
      <c r="N313" s="9">
        <f>VLOOKUP($B313,'[1]Plant data'!$A$1:$AB$315,7,0)</f>
        <v>12.980000000000002</v>
      </c>
      <c r="O313" s="8">
        <f>VLOOKUP($B313,'[1]Plant data'!$A$1:$AB$315,10,0)</f>
        <v>1.4212800000000001</v>
      </c>
      <c r="P313" s="8">
        <f>VLOOKUP($B313,'[1]Plant data'!$A$1:$AB$315,11,0)</f>
        <v>0.46</v>
      </c>
      <c r="Q313" s="8">
        <f>VLOOKUP($B313,'[1]Plant data'!$A$1:$AB$315,12,0)</f>
        <v>1.06515</v>
      </c>
      <c r="R313" s="8">
        <f>VLOOKUP($B313,'[1]Plant data'!$A$1:$AB$315,13,0)</f>
        <v>0.32305000000000006</v>
      </c>
      <c r="S313" s="8">
        <f>VLOOKUP($B313,'[1]Plant data'!$A$1:$AB$315,14,0)</f>
        <v>0.96343333333333325</v>
      </c>
      <c r="T313" s="11">
        <f>VLOOKUP($B313,'[1]Plant data'!$A$1:$AB$315,15,0)</f>
        <v>1</v>
      </c>
      <c r="U313" s="9">
        <f>VLOOKUP($B313,'[1]Plant data'!$A$1:$AB$315,19,0)</f>
        <v>0.67774999999999996</v>
      </c>
      <c r="V313" s="8">
        <f>VLOOKUP($B313,'[1]Plant data'!$A$1:$AB$315,20,0)</f>
        <v>0.13617499999999999</v>
      </c>
      <c r="W313" s="8">
        <f>VLOOKUP($B313,'[1]Plant data'!$A$1:$AB$315,21,0)</f>
        <v>5.0733332999999999E-2</v>
      </c>
      <c r="X313" s="8">
        <f>VLOOKUP($B313,'[1]Plant data'!$A$1:$AB$315,22,0)</f>
        <v>3.65E-3</v>
      </c>
      <c r="Y313" s="8">
        <f>VLOOKUP($B313,'[1]Plant data'!$A$1:$AB$315,23,0)</f>
        <v>0.182</v>
      </c>
      <c r="Z313" s="8" t="str">
        <f>VLOOKUP($B313,'[1]Plant data'!$A$1:$AB$315,24,0)</f>
        <v>NA</v>
      </c>
      <c r="AA313" s="8">
        <f>VLOOKUP($B313,'[1]Plant data'!$A$1:$AB$315,25,0)</f>
        <v>0.69899999999999995</v>
      </c>
      <c r="AB313" s="8">
        <f t="shared" si="22"/>
        <v>0.18564999999999998</v>
      </c>
    </row>
    <row r="314" spans="1:28">
      <c r="A314" s="5" t="s">
        <v>144</v>
      </c>
      <c r="B314" s="39" t="s">
        <v>97</v>
      </c>
      <c r="C314" s="53">
        <v>6</v>
      </c>
      <c r="D314" s="11">
        <v>750</v>
      </c>
      <c r="E314" s="8">
        <f>C314/750</f>
        <v>8.0000000000000002E-3</v>
      </c>
      <c r="F314" s="56" t="s">
        <v>19</v>
      </c>
      <c r="G314" s="41">
        <v>6.3</v>
      </c>
      <c r="H314" s="23">
        <f t="shared" si="23"/>
        <v>5.04E-2</v>
      </c>
      <c r="I314" t="s">
        <v>94</v>
      </c>
      <c r="J314" s="11">
        <v>146</v>
      </c>
      <c r="K314" s="11">
        <v>23.6</v>
      </c>
      <c r="L314" t="str">
        <f>VLOOKUP(B314,'[1]Plant data'!$A$1:$AB$315,2,0)</f>
        <v>Arecaceae</v>
      </c>
      <c r="M314" s="9">
        <f>VLOOKUP($B314,'[1]Plant data'!$A$1:$AB$315,6,0)</f>
        <v>13.294285714285715</v>
      </c>
      <c r="N314" s="9">
        <f>VLOOKUP($B314,'[1]Plant data'!$A$1:$AB$315,7,0)</f>
        <v>12.980000000000002</v>
      </c>
      <c r="O314" s="8">
        <f>VLOOKUP($B314,'[1]Plant data'!$A$1:$AB$315,10,0)</f>
        <v>1.4212800000000001</v>
      </c>
      <c r="P314" s="8">
        <f>VLOOKUP($B314,'[1]Plant data'!$A$1:$AB$315,11,0)</f>
        <v>0.46</v>
      </c>
      <c r="Q314" s="8">
        <f>VLOOKUP($B314,'[1]Plant data'!$A$1:$AB$315,12,0)</f>
        <v>1.06515</v>
      </c>
      <c r="R314" s="8">
        <f>VLOOKUP($B314,'[1]Plant data'!$A$1:$AB$315,13,0)</f>
        <v>0.32305000000000006</v>
      </c>
      <c r="S314" s="8">
        <f>VLOOKUP($B314,'[1]Plant data'!$A$1:$AB$315,14,0)</f>
        <v>0.96343333333333325</v>
      </c>
      <c r="T314" s="11">
        <f>VLOOKUP($B314,'[1]Plant data'!$A$1:$AB$315,15,0)</f>
        <v>1</v>
      </c>
      <c r="U314" s="9">
        <f>VLOOKUP($B314,'[1]Plant data'!$A$1:$AB$315,19,0)</f>
        <v>0.67774999999999996</v>
      </c>
      <c r="V314" s="8">
        <f>VLOOKUP($B314,'[1]Plant data'!$A$1:$AB$315,20,0)</f>
        <v>0.13617499999999999</v>
      </c>
      <c r="W314" s="8">
        <f>VLOOKUP($B314,'[1]Plant data'!$A$1:$AB$315,21,0)</f>
        <v>5.0733332999999999E-2</v>
      </c>
      <c r="X314" s="8">
        <f>VLOOKUP($B314,'[1]Plant data'!$A$1:$AB$315,22,0)</f>
        <v>3.65E-3</v>
      </c>
      <c r="Y314" s="8">
        <f>VLOOKUP($B314,'[1]Plant data'!$A$1:$AB$315,23,0)</f>
        <v>0.182</v>
      </c>
      <c r="Z314" s="8" t="str">
        <f>VLOOKUP($B314,'[1]Plant data'!$A$1:$AB$315,24,0)</f>
        <v>NA</v>
      </c>
      <c r="AA314" s="8">
        <f>VLOOKUP($B314,'[1]Plant data'!$A$1:$AB$315,25,0)</f>
        <v>0.69899999999999995</v>
      </c>
      <c r="AB314" s="8">
        <f t="shared" si="22"/>
        <v>0.18564999999999998</v>
      </c>
    </row>
    <row r="315" spans="1:28">
      <c r="A315" s="5" t="s">
        <v>96</v>
      </c>
      <c r="B315" s="39" t="s">
        <v>97</v>
      </c>
      <c r="C315" s="53">
        <v>2</v>
      </c>
      <c r="D315" s="58" t="s">
        <v>19</v>
      </c>
      <c r="E315" s="8" t="s">
        <v>19</v>
      </c>
      <c r="F315" s="54" t="s">
        <v>19</v>
      </c>
      <c r="G315" s="41">
        <v>8.9700000000000006</v>
      </c>
      <c r="H315" s="23" t="s">
        <v>19</v>
      </c>
      <c r="I315" t="s">
        <v>101</v>
      </c>
      <c r="J315" s="11">
        <v>1770</v>
      </c>
      <c r="K315" s="11">
        <v>22.349</v>
      </c>
      <c r="L315" t="str">
        <f>VLOOKUP(B315,'[1]Plant data'!$A$1:$AB$315,2,0)</f>
        <v>Arecaceae</v>
      </c>
      <c r="M315" s="9">
        <f>VLOOKUP($B315,'[1]Plant data'!$A$1:$AB$315,6,0)</f>
        <v>13.294285714285715</v>
      </c>
      <c r="N315" s="9">
        <f>VLOOKUP($B315,'[1]Plant data'!$A$1:$AB$315,7,0)</f>
        <v>12.980000000000002</v>
      </c>
      <c r="O315" s="8">
        <f>VLOOKUP($B315,'[1]Plant data'!$A$1:$AB$315,10,0)</f>
        <v>1.4212800000000001</v>
      </c>
      <c r="P315" s="8">
        <f>VLOOKUP($B315,'[1]Plant data'!$A$1:$AB$315,11,0)</f>
        <v>0.46</v>
      </c>
      <c r="Q315" s="8">
        <f>VLOOKUP($B315,'[1]Plant data'!$A$1:$AB$315,12,0)</f>
        <v>1.06515</v>
      </c>
      <c r="R315" s="8">
        <f>VLOOKUP($B315,'[1]Plant data'!$A$1:$AB$315,13,0)</f>
        <v>0.32305000000000006</v>
      </c>
      <c r="S315" s="8">
        <f>VLOOKUP($B315,'[1]Plant data'!$A$1:$AB$315,14,0)</f>
        <v>0.96343333333333325</v>
      </c>
      <c r="T315" s="11">
        <f>VLOOKUP($B315,'[1]Plant data'!$A$1:$AB$315,15,0)</f>
        <v>1</v>
      </c>
      <c r="U315" s="9">
        <f>VLOOKUP($B315,'[1]Plant data'!$A$1:$AB$315,19,0)</f>
        <v>0.67774999999999996</v>
      </c>
      <c r="V315" s="8">
        <f>VLOOKUP($B315,'[1]Plant data'!$A$1:$AB$315,20,0)</f>
        <v>0.13617499999999999</v>
      </c>
      <c r="W315" s="8">
        <f>VLOOKUP($B315,'[1]Plant data'!$A$1:$AB$315,21,0)</f>
        <v>5.0733332999999999E-2</v>
      </c>
      <c r="X315" s="8">
        <f>VLOOKUP($B315,'[1]Plant data'!$A$1:$AB$315,22,0)</f>
        <v>3.65E-3</v>
      </c>
      <c r="Y315" s="8">
        <f>VLOOKUP($B315,'[1]Plant data'!$A$1:$AB$315,23,0)</f>
        <v>0.182</v>
      </c>
      <c r="Z315" s="8" t="str">
        <f>VLOOKUP($B315,'[1]Plant data'!$A$1:$AB$315,24,0)</f>
        <v>NA</v>
      </c>
      <c r="AA315" s="8">
        <f>VLOOKUP($B315,'[1]Plant data'!$A$1:$AB$315,25,0)</f>
        <v>0.69899999999999995</v>
      </c>
      <c r="AB315" s="8">
        <f t="shared" si="22"/>
        <v>0.18564999999999998</v>
      </c>
    </row>
    <row r="316" spans="1:28">
      <c r="A316" s="5" t="s">
        <v>96</v>
      </c>
      <c r="B316" s="39" t="s">
        <v>97</v>
      </c>
      <c r="C316" s="53">
        <v>3</v>
      </c>
      <c r="D316" s="58">
        <v>330</v>
      </c>
      <c r="E316" s="8">
        <f>(C316/330)*2</f>
        <v>1.8181818181818181E-2</v>
      </c>
      <c r="F316" s="56" t="s">
        <v>19</v>
      </c>
      <c r="G316" s="9">
        <v>8</v>
      </c>
      <c r="H316" s="23">
        <f t="shared" ref="H316:H347" si="24">E316*G316</f>
        <v>0.14545454545454545</v>
      </c>
      <c r="I316" t="s">
        <v>101</v>
      </c>
      <c r="J316" s="11">
        <v>1770</v>
      </c>
      <c r="K316" s="11">
        <v>22.349</v>
      </c>
      <c r="L316" t="str">
        <f>VLOOKUP(B316,'[1]Plant data'!$A$1:$AB$315,2,0)</f>
        <v>Arecaceae</v>
      </c>
      <c r="M316" s="9">
        <f>VLOOKUP($B316,'[1]Plant data'!$A$1:$AB$315,6,0)</f>
        <v>13.294285714285715</v>
      </c>
      <c r="N316" s="9">
        <f>VLOOKUP($B316,'[1]Plant data'!$A$1:$AB$315,7,0)</f>
        <v>12.980000000000002</v>
      </c>
      <c r="O316" s="8">
        <f>VLOOKUP($B316,'[1]Plant data'!$A$1:$AB$315,10,0)</f>
        <v>1.4212800000000001</v>
      </c>
      <c r="P316" s="8">
        <f>VLOOKUP($B316,'[1]Plant data'!$A$1:$AB$315,11,0)</f>
        <v>0.46</v>
      </c>
      <c r="Q316" s="8">
        <f>VLOOKUP($B316,'[1]Plant data'!$A$1:$AB$315,12,0)</f>
        <v>1.06515</v>
      </c>
      <c r="R316" s="8">
        <f>VLOOKUP($B316,'[1]Plant data'!$A$1:$AB$315,13,0)</f>
        <v>0.32305000000000006</v>
      </c>
      <c r="S316" s="8">
        <f>VLOOKUP($B316,'[1]Plant data'!$A$1:$AB$315,14,0)</f>
        <v>0.96343333333333325</v>
      </c>
      <c r="T316" s="11">
        <f>VLOOKUP($B316,'[1]Plant data'!$A$1:$AB$315,15,0)</f>
        <v>1</v>
      </c>
      <c r="U316" s="9">
        <f>VLOOKUP($B316,'[1]Plant data'!$A$1:$AB$315,19,0)</f>
        <v>0.67774999999999996</v>
      </c>
      <c r="V316" s="8">
        <f>VLOOKUP($B316,'[1]Plant data'!$A$1:$AB$315,20,0)</f>
        <v>0.13617499999999999</v>
      </c>
      <c r="W316" s="8">
        <f>VLOOKUP($B316,'[1]Plant data'!$A$1:$AB$315,21,0)</f>
        <v>5.0733332999999999E-2</v>
      </c>
      <c r="X316" s="8">
        <f>VLOOKUP($B316,'[1]Plant data'!$A$1:$AB$315,22,0)</f>
        <v>3.65E-3</v>
      </c>
      <c r="Y316" s="8">
        <f>VLOOKUP($B316,'[1]Plant data'!$A$1:$AB$315,23,0)</f>
        <v>0.182</v>
      </c>
      <c r="Z316" s="8" t="str">
        <f>VLOOKUP($B316,'[1]Plant data'!$A$1:$AB$315,24,0)</f>
        <v>NA</v>
      </c>
      <c r="AA316" s="8">
        <f>VLOOKUP($B316,'[1]Plant data'!$A$1:$AB$315,25,0)</f>
        <v>0.69899999999999995</v>
      </c>
      <c r="AB316" s="8">
        <f t="shared" si="22"/>
        <v>0.18564999999999998</v>
      </c>
    </row>
    <row r="317" spans="1:28">
      <c r="A317" s="5" t="s">
        <v>96</v>
      </c>
      <c r="B317" s="39" t="s">
        <v>97</v>
      </c>
      <c r="C317" s="53" t="s">
        <v>19</v>
      </c>
      <c r="D317" s="58" t="s">
        <v>19</v>
      </c>
      <c r="E317" s="8">
        <f>0.12/10</f>
        <v>1.2E-2</v>
      </c>
      <c r="F317" s="54" t="s">
        <v>19</v>
      </c>
      <c r="G317" s="9">
        <v>8.91</v>
      </c>
      <c r="H317" s="23">
        <f t="shared" si="24"/>
        <v>0.10692</v>
      </c>
      <c r="I317" t="s">
        <v>101</v>
      </c>
      <c r="J317" s="11">
        <v>1770</v>
      </c>
      <c r="K317" s="11">
        <v>22.349</v>
      </c>
      <c r="L317" t="str">
        <f>VLOOKUP(B317,'[1]Plant data'!$A$1:$AB$315,2,0)</f>
        <v>Arecaceae</v>
      </c>
      <c r="M317" s="9">
        <f>VLOOKUP($B317,'[1]Plant data'!$A$1:$AB$315,6,0)</f>
        <v>13.294285714285715</v>
      </c>
      <c r="N317" s="9">
        <f>VLOOKUP($B317,'[1]Plant data'!$A$1:$AB$315,7,0)</f>
        <v>12.980000000000002</v>
      </c>
      <c r="O317" s="8">
        <f>VLOOKUP($B317,'[1]Plant data'!$A$1:$AB$315,10,0)</f>
        <v>1.4212800000000001</v>
      </c>
      <c r="P317" s="8">
        <f>VLOOKUP($B317,'[1]Plant data'!$A$1:$AB$315,11,0)</f>
        <v>0.46</v>
      </c>
      <c r="Q317" s="8">
        <f>VLOOKUP($B317,'[1]Plant data'!$A$1:$AB$315,12,0)</f>
        <v>1.06515</v>
      </c>
      <c r="R317" s="8">
        <f>VLOOKUP($B317,'[1]Plant data'!$A$1:$AB$315,13,0)</f>
        <v>0.32305000000000006</v>
      </c>
      <c r="S317" s="8">
        <f>VLOOKUP($B317,'[1]Plant data'!$A$1:$AB$315,14,0)</f>
        <v>0.96343333333333325</v>
      </c>
      <c r="T317" s="11">
        <f>VLOOKUP($B317,'[1]Plant data'!$A$1:$AB$315,15,0)</f>
        <v>1</v>
      </c>
      <c r="U317" s="9">
        <f>VLOOKUP($B317,'[1]Plant data'!$A$1:$AB$315,19,0)</f>
        <v>0.67774999999999996</v>
      </c>
      <c r="V317" s="8">
        <f>VLOOKUP($B317,'[1]Plant data'!$A$1:$AB$315,20,0)</f>
        <v>0.13617499999999999</v>
      </c>
      <c r="W317" s="8">
        <f>VLOOKUP($B317,'[1]Plant data'!$A$1:$AB$315,21,0)</f>
        <v>5.0733332999999999E-2</v>
      </c>
      <c r="X317" s="8">
        <f>VLOOKUP($B317,'[1]Plant data'!$A$1:$AB$315,22,0)</f>
        <v>3.65E-3</v>
      </c>
      <c r="Y317" s="8">
        <f>VLOOKUP($B317,'[1]Plant data'!$A$1:$AB$315,23,0)</f>
        <v>0.182</v>
      </c>
      <c r="Z317" s="8" t="str">
        <f>VLOOKUP($B317,'[1]Plant data'!$A$1:$AB$315,24,0)</f>
        <v>NA</v>
      </c>
      <c r="AA317" s="8">
        <f>VLOOKUP($B317,'[1]Plant data'!$A$1:$AB$315,25,0)</f>
        <v>0.69899999999999995</v>
      </c>
      <c r="AB317" s="8">
        <f t="shared" si="22"/>
        <v>0.18564999999999998</v>
      </c>
    </row>
    <row r="318" spans="1:28">
      <c r="A318" s="5" t="s">
        <v>96</v>
      </c>
      <c r="B318" s="34" t="s">
        <v>97</v>
      </c>
      <c r="C318" s="53">
        <v>2</v>
      </c>
      <c r="D318" s="58">
        <v>250</v>
      </c>
      <c r="E318" s="8">
        <f>C318/250</f>
        <v>8.0000000000000002E-3</v>
      </c>
      <c r="F318" s="54" t="s">
        <v>19</v>
      </c>
      <c r="G318" s="41">
        <v>8.9700000000000006</v>
      </c>
      <c r="H318" s="23">
        <f t="shared" si="24"/>
        <v>7.1760000000000004E-2</v>
      </c>
      <c r="I318" t="s">
        <v>101</v>
      </c>
      <c r="J318" s="11">
        <v>1770</v>
      </c>
      <c r="K318" s="11">
        <v>22.349</v>
      </c>
      <c r="L318" t="str">
        <f>VLOOKUP(B318,'[1]Plant data'!$A$1:$AB$315,2,0)</f>
        <v>Arecaceae</v>
      </c>
      <c r="M318" s="9">
        <f>VLOOKUP($B318,'[1]Plant data'!$A$1:$AB$315,6,0)</f>
        <v>13.294285714285715</v>
      </c>
      <c r="N318" s="9">
        <f>VLOOKUP($B318,'[1]Plant data'!$A$1:$AB$315,7,0)</f>
        <v>12.980000000000002</v>
      </c>
      <c r="O318" s="8">
        <f>VLOOKUP($B318,'[1]Plant data'!$A$1:$AB$315,10,0)</f>
        <v>1.4212800000000001</v>
      </c>
      <c r="P318" s="8">
        <f>VLOOKUP($B318,'[1]Plant data'!$A$1:$AB$315,11,0)</f>
        <v>0.46</v>
      </c>
      <c r="Q318" s="8">
        <f>VLOOKUP($B318,'[1]Plant data'!$A$1:$AB$315,12,0)</f>
        <v>1.06515</v>
      </c>
      <c r="R318" s="8">
        <f>VLOOKUP($B318,'[1]Plant data'!$A$1:$AB$315,13,0)</f>
        <v>0.32305000000000006</v>
      </c>
      <c r="S318" s="8">
        <f>VLOOKUP($B318,'[1]Plant data'!$A$1:$AB$315,14,0)</f>
        <v>0.96343333333333325</v>
      </c>
      <c r="T318" s="11">
        <f>VLOOKUP($B318,'[1]Plant data'!$A$1:$AB$315,15,0)</f>
        <v>1</v>
      </c>
      <c r="U318" s="9">
        <f>VLOOKUP($B318,'[1]Plant data'!$A$1:$AB$315,19,0)</f>
        <v>0.67774999999999996</v>
      </c>
      <c r="V318" s="8">
        <f>VLOOKUP($B318,'[1]Plant data'!$A$1:$AB$315,20,0)</f>
        <v>0.13617499999999999</v>
      </c>
      <c r="W318" s="8">
        <f>VLOOKUP($B318,'[1]Plant data'!$A$1:$AB$315,21,0)</f>
        <v>5.0733332999999999E-2</v>
      </c>
      <c r="X318" s="8">
        <f>VLOOKUP($B318,'[1]Plant data'!$A$1:$AB$315,22,0)</f>
        <v>3.65E-3</v>
      </c>
      <c r="Y318" s="8">
        <f>VLOOKUP($B318,'[1]Plant data'!$A$1:$AB$315,23,0)</f>
        <v>0.182</v>
      </c>
      <c r="Z318" s="8" t="str">
        <f>VLOOKUP($B318,'[1]Plant data'!$A$1:$AB$315,24,0)</f>
        <v>NA</v>
      </c>
      <c r="AA318" s="8">
        <f>VLOOKUP($B318,'[1]Plant data'!$A$1:$AB$315,25,0)</f>
        <v>0.69899999999999995</v>
      </c>
      <c r="AB318" s="8">
        <f t="shared" si="22"/>
        <v>0.18564999999999998</v>
      </c>
    </row>
    <row r="319" spans="1:28">
      <c r="A319" s="5" t="s">
        <v>96</v>
      </c>
      <c r="B319" s="34" t="s">
        <v>97</v>
      </c>
      <c r="C319" s="53">
        <v>3</v>
      </c>
      <c r="D319" s="58">
        <v>750</v>
      </c>
      <c r="E319" s="8">
        <f>C319/750</f>
        <v>4.0000000000000001E-3</v>
      </c>
      <c r="F319" s="56" t="s">
        <v>19</v>
      </c>
      <c r="G319" s="41">
        <v>8.9700000000000006</v>
      </c>
      <c r="H319" s="23">
        <f t="shared" si="24"/>
        <v>3.5880000000000002E-2</v>
      </c>
      <c r="I319" t="s">
        <v>101</v>
      </c>
      <c r="J319" s="11">
        <v>1770</v>
      </c>
      <c r="K319" s="11">
        <v>22.349</v>
      </c>
      <c r="L319" t="str">
        <f>VLOOKUP(B319,'[1]Plant data'!$A$1:$AB$315,2,0)</f>
        <v>Arecaceae</v>
      </c>
      <c r="M319" s="9">
        <f>VLOOKUP($B319,'[1]Plant data'!$A$1:$AB$315,6,0)</f>
        <v>13.294285714285715</v>
      </c>
      <c r="N319" s="9">
        <f>VLOOKUP($B319,'[1]Plant data'!$A$1:$AB$315,7,0)</f>
        <v>12.980000000000002</v>
      </c>
      <c r="O319" s="8">
        <f>VLOOKUP($B319,'[1]Plant data'!$A$1:$AB$315,10,0)</f>
        <v>1.4212800000000001</v>
      </c>
      <c r="P319" s="8">
        <f>VLOOKUP($B319,'[1]Plant data'!$A$1:$AB$315,11,0)</f>
        <v>0.46</v>
      </c>
      <c r="Q319" s="8">
        <f>VLOOKUP($B319,'[1]Plant data'!$A$1:$AB$315,12,0)</f>
        <v>1.06515</v>
      </c>
      <c r="R319" s="8">
        <f>VLOOKUP($B319,'[1]Plant data'!$A$1:$AB$315,13,0)</f>
        <v>0.32305000000000006</v>
      </c>
      <c r="S319" s="8">
        <f>VLOOKUP($B319,'[1]Plant data'!$A$1:$AB$315,14,0)</f>
        <v>0.96343333333333325</v>
      </c>
      <c r="T319" s="11">
        <f>VLOOKUP($B319,'[1]Plant data'!$A$1:$AB$315,15,0)</f>
        <v>1</v>
      </c>
      <c r="U319" s="9">
        <f>VLOOKUP($B319,'[1]Plant data'!$A$1:$AB$315,19,0)</f>
        <v>0.67774999999999996</v>
      </c>
      <c r="V319" s="8">
        <f>VLOOKUP($B319,'[1]Plant data'!$A$1:$AB$315,20,0)</f>
        <v>0.13617499999999999</v>
      </c>
      <c r="W319" s="8">
        <f>VLOOKUP($B319,'[1]Plant data'!$A$1:$AB$315,21,0)</f>
        <v>5.0733332999999999E-2</v>
      </c>
      <c r="X319" s="8">
        <f>VLOOKUP($B319,'[1]Plant data'!$A$1:$AB$315,22,0)</f>
        <v>3.65E-3</v>
      </c>
      <c r="Y319" s="8">
        <f>VLOOKUP($B319,'[1]Plant data'!$A$1:$AB$315,23,0)</f>
        <v>0.182</v>
      </c>
      <c r="Z319" s="8" t="str">
        <f>VLOOKUP($B319,'[1]Plant data'!$A$1:$AB$315,24,0)</f>
        <v>NA</v>
      </c>
      <c r="AA319" s="8">
        <f>VLOOKUP($B319,'[1]Plant data'!$A$1:$AB$315,25,0)</f>
        <v>0.69899999999999995</v>
      </c>
      <c r="AB319" s="8">
        <f t="shared" si="22"/>
        <v>0.18564999999999998</v>
      </c>
    </row>
    <row r="320" spans="1:28">
      <c r="A320" s="5" t="s">
        <v>96</v>
      </c>
      <c r="B320" s="34" t="s">
        <v>97</v>
      </c>
      <c r="C320" s="53">
        <v>1</v>
      </c>
      <c r="D320" s="11">
        <v>324</v>
      </c>
      <c r="E320" s="8">
        <f>C320/324</f>
        <v>3.0864197530864196E-3</v>
      </c>
      <c r="F320" s="54">
        <v>10</v>
      </c>
      <c r="G320" s="9">
        <f>F320/C320</f>
        <v>10</v>
      </c>
      <c r="H320" s="23">
        <f t="shared" si="24"/>
        <v>3.0864197530864196E-2</v>
      </c>
      <c r="I320" t="s">
        <v>101</v>
      </c>
      <c r="J320" s="11">
        <v>1770</v>
      </c>
      <c r="K320" s="11">
        <v>22.349</v>
      </c>
      <c r="L320" t="str">
        <f>VLOOKUP(B320,'[1]Plant data'!$A$1:$AB$315,2,0)</f>
        <v>Arecaceae</v>
      </c>
      <c r="M320" s="9">
        <f>VLOOKUP($B320,'[1]Plant data'!$A$1:$AB$315,6,0)</f>
        <v>13.294285714285715</v>
      </c>
      <c r="N320" s="9">
        <f>VLOOKUP($B320,'[1]Plant data'!$A$1:$AB$315,7,0)</f>
        <v>12.980000000000002</v>
      </c>
      <c r="O320" s="8">
        <f>VLOOKUP($B320,'[1]Plant data'!$A$1:$AB$315,10,0)</f>
        <v>1.4212800000000001</v>
      </c>
      <c r="P320" s="8">
        <f>VLOOKUP($B320,'[1]Plant data'!$A$1:$AB$315,11,0)</f>
        <v>0.46</v>
      </c>
      <c r="Q320" s="8">
        <f>VLOOKUP($B320,'[1]Plant data'!$A$1:$AB$315,12,0)</f>
        <v>1.06515</v>
      </c>
      <c r="R320" s="8">
        <f>VLOOKUP($B320,'[1]Plant data'!$A$1:$AB$315,13,0)</f>
        <v>0.32305000000000006</v>
      </c>
      <c r="S320" s="8">
        <f>VLOOKUP($B320,'[1]Plant data'!$A$1:$AB$315,14,0)</f>
        <v>0.96343333333333325</v>
      </c>
      <c r="T320" s="11">
        <f>VLOOKUP($B320,'[1]Plant data'!$A$1:$AB$315,15,0)</f>
        <v>1</v>
      </c>
      <c r="U320" s="9">
        <f>VLOOKUP($B320,'[1]Plant data'!$A$1:$AB$315,19,0)</f>
        <v>0.67774999999999996</v>
      </c>
      <c r="V320" s="8">
        <f>VLOOKUP($B320,'[1]Plant data'!$A$1:$AB$315,20,0)</f>
        <v>0.13617499999999999</v>
      </c>
      <c r="W320" s="8">
        <f>VLOOKUP($B320,'[1]Plant data'!$A$1:$AB$315,21,0)</f>
        <v>5.0733332999999999E-2</v>
      </c>
      <c r="X320" s="8">
        <f>VLOOKUP($B320,'[1]Plant data'!$A$1:$AB$315,22,0)</f>
        <v>3.65E-3</v>
      </c>
      <c r="Y320" s="8">
        <f>VLOOKUP($B320,'[1]Plant data'!$A$1:$AB$315,23,0)</f>
        <v>0.182</v>
      </c>
      <c r="Z320" s="8" t="str">
        <f>VLOOKUP($B320,'[1]Plant data'!$A$1:$AB$315,24,0)</f>
        <v>NA</v>
      </c>
      <c r="AA320" s="8">
        <f>VLOOKUP($B320,'[1]Plant data'!$A$1:$AB$315,25,0)</f>
        <v>0.69899999999999995</v>
      </c>
      <c r="AB320" s="8">
        <f t="shared" si="22"/>
        <v>0.18564999999999998</v>
      </c>
    </row>
    <row r="321" spans="1:28">
      <c r="A321" s="5" t="s">
        <v>74</v>
      </c>
      <c r="B321" s="32" t="s">
        <v>97</v>
      </c>
      <c r="C321" s="53" t="s">
        <v>19</v>
      </c>
      <c r="D321" s="11" t="s">
        <v>19</v>
      </c>
      <c r="E321" s="8">
        <f>0.42/10</f>
        <v>4.1999999999999996E-2</v>
      </c>
      <c r="F321" s="56" t="s">
        <v>19</v>
      </c>
      <c r="G321" s="9">
        <v>5.54</v>
      </c>
      <c r="H321" s="23">
        <f t="shared" si="24"/>
        <v>0.23267999999999997</v>
      </c>
      <c r="I321" t="s">
        <v>75</v>
      </c>
      <c r="J321" s="11">
        <v>200</v>
      </c>
      <c r="K321" s="11">
        <v>23.614285710000001</v>
      </c>
      <c r="L321" t="str">
        <f>VLOOKUP(B321,'[1]Plant data'!$A$1:$AB$315,2,0)</f>
        <v>Arecaceae</v>
      </c>
      <c r="M321" s="9">
        <f>VLOOKUP($B321,'[1]Plant data'!$A$1:$AB$315,6,0)</f>
        <v>13.294285714285715</v>
      </c>
      <c r="N321" s="9">
        <f>VLOOKUP($B321,'[1]Plant data'!$A$1:$AB$315,7,0)</f>
        <v>12.980000000000002</v>
      </c>
      <c r="O321" s="8">
        <f>VLOOKUP($B321,'[1]Plant data'!$A$1:$AB$315,10,0)</f>
        <v>1.4212800000000001</v>
      </c>
      <c r="P321" s="8">
        <f>VLOOKUP($B321,'[1]Plant data'!$A$1:$AB$315,11,0)</f>
        <v>0.46</v>
      </c>
      <c r="Q321" s="8">
        <f>VLOOKUP($B321,'[1]Plant data'!$A$1:$AB$315,12,0)</f>
        <v>1.06515</v>
      </c>
      <c r="R321" s="8">
        <f>VLOOKUP($B321,'[1]Plant data'!$A$1:$AB$315,13,0)</f>
        <v>0.32305000000000006</v>
      </c>
      <c r="S321" s="8">
        <f>VLOOKUP($B321,'[1]Plant data'!$A$1:$AB$315,14,0)</f>
        <v>0.96343333333333325</v>
      </c>
      <c r="T321" s="11">
        <f>VLOOKUP($B321,'[1]Plant data'!$A$1:$AB$315,15,0)</f>
        <v>1</v>
      </c>
      <c r="U321" s="9">
        <f>VLOOKUP($B321,'[1]Plant data'!$A$1:$AB$315,19,0)</f>
        <v>0.67774999999999996</v>
      </c>
      <c r="V321" s="8">
        <f>VLOOKUP($B321,'[1]Plant data'!$A$1:$AB$315,20,0)</f>
        <v>0.13617499999999999</v>
      </c>
      <c r="W321" s="8">
        <f>VLOOKUP($B321,'[1]Plant data'!$A$1:$AB$315,21,0)</f>
        <v>5.0733332999999999E-2</v>
      </c>
      <c r="X321" s="8">
        <f>VLOOKUP($B321,'[1]Plant data'!$A$1:$AB$315,22,0)</f>
        <v>3.65E-3</v>
      </c>
      <c r="Y321" s="8">
        <f>VLOOKUP($B321,'[1]Plant data'!$A$1:$AB$315,23,0)</f>
        <v>0.182</v>
      </c>
      <c r="Z321" s="8" t="str">
        <f>VLOOKUP($B321,'[1]Plant data'!$A$1:$AB$315,24,0)</f>
        <v>NA</v>
      </c>
      <c r="AA321" s="8">
        <f>VLOOKUP($B321,'[1]Plant data'!$A$1:$AB$315,25,0)</f>
        <v>0.69899999999999995</v>
      </c>
      <c r="AB321" s="8">
        <f t="shared" si="22"/>
        <v>0.18564999999999998</v>
      </c>
    </row>
    <row r="322" spans="1:28">
      <c r="A322" s="5" t="s">
        <v>74</v>
      </c>
      <c r="B322" s="32" t="s">
        <v>97</v>
      </c>
      <c r="C322" s="53">
        <v>8</v>
      </c>
      <c r="D322" s="11">
        <v>190</v>
      </c>
      <c r="E322" s="8">
        <f>C322/190</f>
        <v>4.2105263157894736E-2</v>
      </c>
      <c r="F322" s="54">
        <v>30</v>
      </c>
      <c r="G322" s="9">
        <f>F322/C322</f>
        <v>3.75</v>
      </c>
      <c r="H322" s="23">
        <f t="shared" si="24"/>
        <v>0.15789473684210525</v>
      </c>
      <c r="I322" t="s">
        <v>75</v>
      </c>
      <c r="J322" s="11">
        <v>200</v>
      </c>
      <c r="K322" s="11">
        <v>23.614285710000001</v>
      </c>
      <c r="L322" t="str">
        <f>VLOOKUP(B322,'[1]Plant data'!$A$1:$AB$315,2,0)</f>
        <v>Arecaceae</v>
      </c>
      <c r="M322" s="9">
        <f>VLOOKUP($B322,'[1]Plant data'!$A$1:$AB$315,6,0)</f>
        <v>13.294285714285715</v>
      </c>
      <c r="N322" s="9">
        <f>VLOOKUP($B322,'[1]Plant data'!$A$1:$AB$315,7,0)</f>
        <v>12.980000000000002</v>
      </c>
      <c r="O322" s="8">
        <f>VLOOKUP($B322,'[1]Plant data'!$A$1:$AB$315,10,0)</f>
        <v>1.4212800000000001</v>
      </c>
      <c r="P322" s="8">
        <f>VLOOKUP($B322,'[1]Plant data'!$A$1:$AB$315,11,0)</f>
        <v>0.46</v>
      </c>
      <c r="Q322" s="8">
        <f>VLOOKUP($B322,'[1]Plant data'!$A$1:$AB$315,12,0)</f>
        <v>1.06515</v>
      </c>
      <c r="R322" s="8">
        <f>VLOOKUP($B322,'[1]Plant data'!$A$1:$AB$315,13,0)</f>
        <v>0.32305000000000006</v>
      </c>
      <c r="S322" s="8">
        <f>VLOOKUP($B322,'[1]Plant data'!$A$1:$AB$315,14,0)</f>
        <v>0.96343333333333325</v>
      </c>
      <c r="T322" s="11">
        <f>VLOOKUP($B322,'[1]Plant data'!$A$1:$AB$315,15,0)</f>
        <v>1</v>
      </c>
      <c r="U322" s="9">
        <f>VLOOKUP($B322,'[1]Plant data'!$A$1:$AB$315,19,0)</f>
        <v>0.67774999999999996</v>
      </c>
      <c r="V322" s="8">
        <f>VLOOKUP($B322,'[1]Plant data'!$A$1:$AB$315,20,0)</f>
        <v>0.13617499999999999</v>
      </c>
      <c r="W322" s="8">
        <f>VLOOKUP($B322,'[1]Plant data'!$A$1:$AB$315,21,0)</f>
        <v>5.0733332999999999E-2</v>
      </c>
      <c r="X322" s="8">
        <f>VLOOKUP($B322,'[1]Plant data'!$A$1:$AB$315,22,0)</f>
        <v>3.65E-3</v>
      </c>
      <c r="Y322" s="8">
        <f>VLOOKUP($B322,'[1]Plant data'!$A$1:$AB$315,23,0)</f>
        <v>0.182</v>
      </c>
      <c r="Z322" s="8" t="str">
        <f>VLOOKUP($B322,'[1]Plant data'!$A$1:$AB$315,24,0)</f>
        <v>NA</v>
      </c>
      <c r="AA322" s="8">
        <f>VLOOKUP($B322,'[1]Plant data'!$A$1:$AB$315,25,0)</f>
        <v>0.69899999999999995</v>
      </c>
      <c r="AB322" s="8">
        <f t="shared" si="22"/>
        <v>0.18564999999999998</v>
      </c>
    </row>
    <row r="323" spans="1:28">
      <c r="A323" s="5" t="s">
        <v>74</v>
      </c>
      <c r="B323" s="32" t="s">
        <v>97</v>
      </c>
      <c r="C323" s="53">
        <v>5</v>
      </c>
      <c r="D323" s="11">
        <v>276</v>
      </c>
      <c r="E323" s="8">
        <f>0.161/10</f>
        <v>1.61E-2</v>
      </c>
      <c r="F323" s="54">
        <v>49</v>
      </c>
      <c r="G323" s="9">
        <v>8.8000000000000007</v>
      </c>
      <c r="H323" s="23">
        <f t="shared" si="24"/>
        <v>0.14168</v>
      </c>
      <c r="I323" t="s">
        <v>75</v>
      </c>
      <c r="J323" s="11">
        <v>200</v>
      </c>
      <c r="K323" s="11">
        <v>23.614285710000001</v>
      </c>
      <c r="L323" t="str">
        <f>VLOOKUP(B323,'[1]Plant data'!$A$1:$AB$315,2,0)</f>
        <v>Arecaceae</v>
      </c>
      <c r="M323" s="9">
        <f>VLOOKUP($B323,'[1]Plant data'!$A$1:$AB$315,6,0)</f>
        <v>13.294285714285715</v>
      </c>
      <c r="N323" s="9">
        <f>VLOOKUP($B323,'[1]Plant data'!$A$1:$AB$315,7,0)</f>
        <v>12.980000000000002</v>
      </c>
      <c r="O323" s="8">
        <f>VLOOKUP($B323,'[1]Plant data'!$A$1:$AB$315,10,0)</f>
        <v>1.4212800000000001</v>
      </c>
      <c r="P323" s="8">
        <f>VLOOKUP($B323,'[1]Plant data'!$A$1:$AB$315,11,0)</f>
        <v>0.46</v>
      </c>
      <c r="Q323" s="8">
        <f>VLOOKUP($B323,'[1]Plant data'!$A$1:$AB$315,12,0)</f>
        <v>1.06515</v>
      </c>
      <c r="R323" s="8">
        <f>VLOOKUP($B323,'[1]Plant data'!$A$1:$AB$315,13,0)</f>
        <v>0.32305000000000006</v>
      </c>
      <c r="S323" s="8">
        <f>VLOOKUP($B323,'[1]Plant data'!$A$1:$AB$315,14,0)</f>
        <v>0.96343333333333325</v>
      </c>
      <c r="T323" s="11">
        <f>VLOOKUP($B323,'[1]Plant data'!$A$1:$AB$315,15,0)</f>
        <v>1</v>
      </c>
      <c r="U323" s="9">
        <f>VLOOKUP($B323,'[1]Plant data'!$A$1:$AB$315,19,0)</f>
        <v>0.67774999999999996</v>
      </c>
      <c r="V323" s="8">
        <f>VLOOKUP($B323,'[1]Plant data'!$A$1:$AB$315,20,0)</f>
        <v>0.13617499999999999</v>
      </c>
      <c r="W323" s="8">
        <f>VLOOKUP($B323,'[1]Plant data'!$A$1:$AB$315,21,0)</f>
        <v>5.0733332999999999E-2</v>
      </c>
      <c r="X323" s="8">
        <f>VLOOKUP($B323,'[1]Plant data'!$A$1:$AB$315,22,0)</f>
        <v>3.65E-3</v>
      </c>
      <c r="Y323" s="8">
        <f>VLOOKUP($B323,'[1]Plant data'!$A$1:$AB$315,23,0)</f>
        <v>0.182</v>
      </c>
      <c r="Z323" s="8" t="str">
        <f>VLOOKUP($B323,'[1]Plant data'!$A$1:$AB$315,24,0)</f>
        <v>NA</v>
      </c>
      <c r="AA323" s="8">
        <f>VLOOKUP($B323,'[1]Plant data'!$A$1:$AB$315,25,0)</f>
        <v>0.69899999999999995</v>
      </c>
      <c r="AB323" s="8">
        <f t="shared" si="22"/>
        <v>0.18564999999999998</v>
      </c>
    </row>
    <row r="324" spans="1:28">
      <c r="A324" s="5" t="s">
        <v>74</v>
      </c>
      <c r="B324" s="32" t="s">
        <v>97</v>
      </c>
      <c r="C324" s="53">
        <v>6</v>
      </c>
      <c r="D324" s="11">
        <v>324</v>
      </c>
      <c r="E324" s="8">
        <f>C324/324</f>
        <v>1.8518518518518517E-2</v>
      </c>
      <c r="F324" s="54">
        <v>28</v>
      </c>
      <c r="G324" s="9">
        <f>F324/C324</f>
        <v>4.666666666666667</v>
      </c>
      <c r="H324" s="23">
        <f t="shared" si="24"/>
        <v>8.6419753086419748E-2</v>
      </c>
      <c r="I324" t="s">
        <v>75</v>
      </c>
      <c r="J324" s="11">
        <v>200</v>
      </c>
      <c r="K324" s="11">
        <v>23.614285710000001</v>
      </c>
      <c r="L324" t="str">
        <f>VLOOKUP(B324,'[1]Plant data'!$A$1:$AB$315,2,0)</f>
        <v>Arecaceae</v>
      </c>
      <c r="M324" s="9">
        <f>VLOOKUP($B324,'[1]Plant data'!$A$1:$AB$315,6,0)</f>
        <v>13.294285714285715</v>
      </c>
      <c r="N324" s="9">
        <f>VLOOKUP($B324,'[1]Plant data'!$A$1:$AB$315,7,0)</f>
        <v>12.980000000000002</v>
      </c>
      <c r="O324" s="8">
        <f>VLOOKUP($B324,'[1]Plant data'!$A$1:$AB$315,10,0)</f>
        <v>1.4212800000000001</v>
      </c>
      <c r="P324" s="8">
        <f>VLOOKUP($B324,'[1]Plant data'!$A$1:$AB$315,11,0)</f>
        <v>0.46</v>
      </c>
      <c r="Q324" s="8">
        <f>VLOOKUP($B324,'[1]Plant data'!$A$1:$AB$315,12,0)</f>
        <v>1.06515</v>
      </c>
      <c r="R324" s="8">
        <f>VLOOKUP($B324,'[1]Plant data'!$A$1:$AB$315,13,0)</f>
        <v>0.32305000000000006</v>
      </c>
      <c r="S324" s="8">
        <f>VLOOKUP($B324,'[1]Plant data'!$A$1:$AB$315,14,0)</f>
        <v>0.96343333333333325</v>
      </c>
      <c r="T324" s="11">
        <f>VLOOKUP($B324,'[1]Plant data'!$A$1:$AB$315,15,0)</f>
        <v>1</v>
      </c>
      <c r="U324" s="9">
        <f>VLOOKUP($B324,'[1]Plant data'!$A$1:$AB$315,19,0)</f>
        <v>0.67774999999999996</v>
      </c>
      <c r="V324" s="8">
        <f>VLOOKUP($B324,'[1]Plant data'!$A$1:$AB$315,20,0)</f>
        <v>0.13617499999999999</v>
      </c>
      <c r="W324" s="8">
        <f>VLOOKUP($B324,'[1]Plant data'!$A$1:$AB$315,21,0)</f>
        <v>5.0733332999999999E-2</v>
      </c>
      <c r="X324" s="8">
        <f>VLOOKUP($B324,'[1]Plant data'!$A$1:$AB$315,22,0)</f>
        <v>3.65E-3</v>
      </c>
      <c r="Y324" s="8">
        <f>VLOOKUP($B324,'[1]Plant data'!$A$1:$AB$315,23,0)</f>
        <v>0.182</v>
      </c>
      <c r="Z324" s="8" t="str">
        <f>VLOOKUP($B324,'[1]Plant data'!$A$1:$AB$315,24,0)</f>
        <v>NA</v>
      </c>
      <c r="AA324" s="8">
        <f>VLOOKUP($B324,'[1]Plant data'!$A$1:$AB$315,25,0)</f>
        <v>0.69899999999999995</v>
      </c>
      <c r="AB324" s="8">
        <f t="shared" si="22"/>
        <v>0.18564999999999998</v>
      </c>
    </row>
    <row r="325" spans="1:28">
      <c r="A325" s="5" t="s">
        <v>74</v>
      </c>
      <c r="B325" s="32" t="s">
        <v>97</v>
      </c>
      <c r="C325" s="53">
        <v>9</v>
      </c>
      <c r="D325" s="11">
        <v>324</v>
      </c>
      <c r="E325" s="8">
        <f>C325/324</f>
        <v>2.7777777777777776E-2</v>
      </c>
      <c r="F325" s="54">
        <v>21</v>
      </c>
      <c r="G325" s="9">
        <f>F325/C325</f>
        <v>2.3333333333333335</v>
      </c>
      <c r="H325" s="23">
        <f t="shared" si="24"/>
        <v>6.4814814814814811E-2</v>
      </c>
      <c r="I325" t="s">
        <v>75</v>
      </c>
      <c r="J325" s="11">
        <v>200</v>
      </c>
      <c r="K325" s="11">
        <v>23.614285710000001</v>
      </c>
      <c r="L325" t="str">
        <f>VLOOKUP(B325,'[1]Plant data'!$A$1:$AB$315,2,0)</f>
        <v>Arecaceae</v>
      </c>
      <c r="M325" s="9">
        <f>VLOOKUP($B325,'[1]Plant data'!$A$1:$AB$315,6,0)</f>
        <v>13.294285714285715</v>
      </c>
      <c r="N325" s="9">
        <f>VLOOKUP($B325,'[1]Plant data'!$A$1:$AB$315,7,0)</f>
        <v>12.980000000000002</v>
      </c>
      <c r="O325" s="8">
        <f>VLOOKUP($B325,'[1]Plant data'!$A$1:$AB$315,10,0)</f>
        <v>1.4212800000000001</v>
      </c>
      <c r="P325" s="8">
        <f>VLOOKUP($B325,'[1]Plant data'!$A$1:$AB$315,11,0)</f>
        <v>0.46</v>
      </c>
      <c r="Q325" s="8">
        <f>VLOOKUP($B325,'[1]Plant data'!$A$1:$AB$315,12,0)</f>
        <v>1.06515</v>
      </c>
      <c r="R325" s="8">
        <f>VLOOKUP($B325,'[1]Plant data'!$A$1:$AB$315,13,0)</f>
        <v>0.32305000000000006</v>
      </c>
      <c r="S325" s="8">
        <f>VLOOKUP($B325,'[1]Plant data'!$A$1:$AB$315,14,0)</f>
        <v>0.96343333333333325</v>
      </c>
      <c r="T325" s="11">
        <f>VLOOKUP($B325,'[1]Plant data'!$A$1:$AB$315,15,0)</f>
        <v>1</v>
      </c>
      <c r="U325" s="9">
        <f>VLOOKUP($B325,'[1]Plant data'!$A$1:$AB$315,19,0)</f>
        <v>0.67774999999999996</v>
      </c>
      <c r="V325" s="8">
        <f>VLOOKUP($B325,'[1]Plant data'!$A$1:$AB$315,20,0)</f>
        <v>0.13617499999999999</v>
      </c>
      <c r="W325" s="8">
        <f>VLOOKUP($B325,'[1]Plant data'!$A$1:$AB$315,21,0)</f>
        <v>5.0733332999999999E-2</v>
      </c>
      <c r="X325" s="8">
        <f>VLOOKUP($B325,'[1]Plant data'!$A$1:$AB$315,22,0)</f>
        <v>3.65E-3</v>
      </c>
      <c r="Y325" s="8">
        <f>VLOOKUP($B325,'[1]Plant data'!$A$1:$AB$315,23,0)</f>
        <v>0.182</v>
      </c>
      <c r="Z325" s="8" t="str">
        <f>VLOOKUP($B325,'[1]Plant data'!$A$1:$AB$315,24,0)</f>
        <v>NA</v>
      </c>
      <c r="AA325" s="8">
        <f>VLOOKUP($B325,'[1]Plant data'!$A$1:$AB$315,25,0)</f>
        <v>0.69899999999999995</v>
      </c>
      <c r="AB325" s="8">
        <f t="shared" si="22"/>
        <v>0.18564999999999998</v>
      </c>
    </row>
    <row r="326" spans="1:28">
      <c r="A326" s="5" t="s">
        <v>74</v>
      </c>
      <c r="B326" s="32" t="s">
        <v>97</v>
      </c>
      <c r="C326" s="53">
        <v>3</v>
      </c>
      <c r="D326" s="11">
        <v>190</v>
      </c>
      <c r="E326" s="8">
        <f>C326/190</f>
        <v>1.5789473684210527E-2</v>
      </c>
      <c r="F326" s="54">
        <v>7</v>
      </c>
      <c r="G326" s="9">
        <f>F326/C326</f>
        <v>2.3333333333333335</v>
      </c>
      <c r="H326" s="23">
        <f t="shared" si="24"/>
        <v>3.6842105263157898E-2</v>
      </c>
      <c r="I326" t="s">
        <v>75</v>
      </c>
      <c r="J326" s="11">
        <v>200</v>
      </c>
      <c r="K326" s="11">
        <v>23.614285710000001</v>
      </c>
      <c r="L326" t="str">
        <f>VLOOKUP(B326,'[1]Plant data'!$A$1:$AB$315,2,0)</f>
        <v>Arecaceae</v>
      </c>
      <c r="M326" s="9">
        <f>VLOOKUP($B326,'[1]Plant data'!$A$1:$AB$315,6,0)</f>
        <v>13.294285714285715</v>
      </c>
      <c r="N326" s="9">
        <f>VLOOKUP($B326,'[1]Plant data'!$A$1:$AB$315,7,0)</f>
        <v>12.980000000000002</v>
      </c>
      <c r="O326" s="8">
        <f>VLOOKUP($B326,'[1]Plant data'!$A$1:$AB$315,10,0)</f>
        <v>1.4212800000000001</v>
      </c>
      <c r="P326" s="8">
        <f>VLOOKUP($B326,'[1]Plant data'!$A$1:$AB$315,11,0)</f>
        <v>0.46</v>
      </c>
      <c r="Q326" s="8">
        <f>VLOOKUP($B326,'[1]Plant data'!$A$1:$AB$315,12,0)</f>
        <v>1.06515</v>
      </c>
      <c r="R326" s="8">
        <f>VLOOKUP($B326,'[1]Plant data'!$A$1:$AB$315,13,0)</f>
        <v>0.32305000000000006</v>
      </c>
      <c r="S326" s="8">
        <f>VLOOKUP($B326,'[1]Plant data'!$A$1:$AB$315,14,0)</f>
        <v>0.96343333333333325</v>
      </c>
      <c r="T326" s="11">
        <f>VLOOKUP($B326,'[1]Plant data'!$A$1:$AB$315,15,0)</f>
        <v>1</v>
      </c>
      <c r="U326" s="9">
        <f>VLOOKUP($B326,'[1]Plant data'!$A$1:$AB$315,19,0)</f>
        <v>0.67774999999999996</v>
      </c>
      <c r="V326" s="8">
        <f>VLOOKUP($B326,'[1]Plant data'!$A$1:$AB$315,20,0)</f>
        <v>0.13617499999999999</v>
      </c>
      <c r="W326" s="8">
        <f>VLOOKUP($B326,'[1]Plant data'!$A$1:$AB$315,21,0)</f>
        <v>5.0733332999999999E-2</v>
      </c>
      <c r="X326" s="8">
        <f>VLOOKUP($B326,'[1]Plant data'!$A$1:$AB$315,22,0)</f>
        <v>3.65E-3</v>
      </c>
      <c r="Y326" s="8">
        <f>VLOOKUP($B326,'[1]Plant data'!$A$1:$AB$315,23,0)</f>
        <v>0.182</v>
      </c>
      <c r="Z326" s="8" t="str">
        <f>VLOOKUP($B326,'[1]Plant data'!$A$1:$AB$315,24,0)</f>
        <v>NA</v>
      </c>
      <c r="AA326" s="8">
        <f>VLOOKUP($B326,'[1]Plant data'!$A$1:$AB$315,25,0)</f>
        <v>0.69899999999999995</v>
      </c>
      <c r="AB326" s="8">
        <f t="shared" si="22"/>
        <v>0.18564999999999998</v>
      </c>
    </row>
    <row r="327" spans="1:28">
      <c r="A327" s="5" t="s">
        <v>74</v>
      </c>
      <c r="B327" s="32" t="s">
        <v>97</v>
      </c>
      <c r="C327" s="53">
        <v>3</v>
      </c>
      <c r="D327" s="11">
        <v>330</v>
      </c>
      <c r="E327" s="8">
        <f>C327/330</f>
        <v>9.0909090909090905E-3</v>
      </c>
      <c r="F327" s="56" t="s">
        <v>19</v>
      </c>
      <c r="G327" s="9">
        <v>2</v>
      </c>
      <c r="H327" s="23">
        <f t="shared" si="24"/>
        <v>1.8181818181818181E-2</v>
      </c>
      <c r="I327" t="s">
        <v>75</v>
      </c>
      <c r="J327" s="11">
        <v>200</v>
      </c>
      <c r="K327" s="11">
        <v>23.614285710000001</v>
      </c>
      <c r="L327" t="str">
        <f>VLOOKUP(B327,'[1]Plant data'!$A$1:$AB$315,2,0)</f>
        <v>Arecaceae</v>
      </c>
      <c r="M327" s="9">
        <f>VLOOKUP($B327,'[1]Plant data'!$A$1:$AB$315,6,0)</f>
        <v>13.294285714285715</v>
      </c>
      <c r="N327" s="9">
        <f>VLOOKUP($B327,'[1]Plant data'!$A$1:$AB$315,7,0)</f>
        <v>12.980000000000002</v>
      </c>
      <c r="O327" s="8">
        <f>VLOOKUP($B327,'[1]Plant data'!$A$1:$AB$315,10,0)</f>
        <v>1.4212800000000001</v>
      </c>
      <c r="P327" s="8">
        <f>VLOOKUP($B327,'[1]Plant data'!$A$1:$AB$315,11,0)</f>
        <v>0.46</v>
      </c>
      <c r="Q327" s="8">
        <f>VLOOKUP($B327,'[1]Plant data'!$A$1:$AB$315,12,0)</f>
        <v>1.06515</v>
      </c>
      <c r="R327" s="8">
        <f>VLOOKUP($B327,'[1]Plant data'!$A$1:$AB$315,13,0)</f>
        <v>0.32305000000000006</v>
      </c>
      <c r="S327" s="8">
        <f>VLOOKUP($B327,'[1]Plant data'!$A$1:$AB$315,14,0)</f>
        <v>0.96343333333333325</v>
      </c>
      <c r="T327" s="11">
        <f>VLOOKUP($B327,'[1]Plant data'!$A$1:$AB$315,15,0)</f>
        <v>1</v>
      </c>
      <c r="U327" s="9">
        <f>VLOOKUP($B327,'[1]Plant data'!$A$1:$AB$315,19,0)</f>
        <v>0.67774999999999996</v>
      </c>
      <c r="V327" s="8">
        <f>VLOOKUP($B327,'[1]Plant data'!$A$1:$AB$315,20,0)</f>
        <v>0.13617499999999999</v>
      </c>
      <c r="W327" s="8">
        <f>VLOOKUP($B327,'[1]Plant data'!$A$1:$AB$315,21,0)</f>
        <v>5.0733332999999999E-2</v>
      </c>
      <c r="X327" s="8">
        <f>VLOOKUP($B327,'[1]Plant data'!$A$1:$AB$315,22,0)</f>
        <v>3.65E-3</v>
      </c>
      <c r="Y327" s="8">
        <f>VLOOKUP($B327,'[1]Plant data'!$A$1:$AB$315,23,0)</f>
        <v>0.182</v>
      </c>
      <c r="Z327" s="8" t="str">
        <f>VLOOKUP($B327,'[1]Plant data'!$A$1:$AB$315,24,0)</f>
        <v>NA</v>
      </c>
      <c r="AA327" s="8">
        <f>VLOOKUP($B327,'[1]Plant data'!$A$1:$AB$315,25,0)</f>
        <v>0.69899999999999995</v>
      </c>
      <c r="AB327" s="8">
        <f t="shared" si="22"/>
        <v>0.18564999999999998</v>
      </c>
    </row>
    <row r="328" spans="1:28">
      <c r="A328" s="5" t="s">
        <v>74</v>
      </c>
      <c r="B328" s="32" t="s">
        <v>97</v>
      </c>
      <c r="C328" s="53">
        <v>3</v>
      </c>
      <c r="D328" s="11">
        <v>750</v>
      </c>
      <c r="E328" s="8">
        <f>C328/750</f>
        <v>4.0000000000000001E-3</v>
      </c>
      <c r="F328" s="56" t="s">
        <v>19</v>
      </c>
      <c r="G328" s="41">
        <v>4.203333333333334</v>
      </c>
      <c r="H328" s="23">
        <f t="shared" si="24"/>
        <v>1.6813333333333336E-2</v>
      </c>
      <c r="I328" t="s">
        <v>75</v>
      </c>
      <c r="J328" s="11">
        <v>200</v>
      </c>
      <c r="K328" s="11">
        <v>23.614285710000001</v>
      </c>
      <c r="L328" t="str">
        <f>VLOOKUP(B328,'[1]Plant data'!$A$1:$AB$315,2,0)</f>
        <v>Arecaceae</v>
      </c>
      <c r="M328" s="9">
        <f>VLOOKUP($B328,'[1]Plant data'!$A$1:$AB$315,6,0)</f>
        <v>13.294285714285715</v>
      </c>
      <c r="N328" s="9">
        <f>VLOOKUP($B328,'[1]Plant data'!$A$1:$AB$315,7,0)</f>
        <v>12.980000000000002</v>
      </c>
      <c r="O328" s="8">
        <f>VLOOKUP($B328,'[1]Plant data'!$A$1:$AB$315,10,0)</f>
        <v>1.4212800000000001</v>
      </c>
      <c r="P328" s="8">
        <f>VLOOKUP($B328,'[1]Plant data'!$A$1:$AB$315,11,0)</f>
        <v>0.46</v>
      </c>
      <c r="Q328" s="8">
        <f>VLOOKUP($B328,'[1]Plant data'!$A$1:$AB$315,12,0)</f>
        <v>1.06515</v>
      </c>
      <c r="R328" s="8">
        <f>VLOOKUP($B328,'[1]Plant data'!$A$1:$AB$315,13,0)</f>
        <v>0.32305000000000006</v>
      </c>
      <c r="S328" s="8">
        <f>VLOOKUP($B328,'[1]Plant data'!$A$1:$AB$315,14,0)</f>
        <v>0.96343333333333325</v>
      </c>
      <c r="T328" s="11">
        <f>VLOOKUP($B328,'[1]Plant data'!$A$1:$AB$315,15,0)</f>
        <v>1</v>
      </c>
      <c r="U328" s="9">
        <f>VLOOKUP($B328,'[1]Plant data'!$A$1:$AB$315,19,0)</f>
        <v>0.67774999999999996</v>
      </c>
      <c r="V328" s="8">
        <f>VLOOKUP($B328,'[1]Plant data'!$A$1:$AB$315,20,0)</f>
        <v>0.13617499999999999</v>
      </c>
      <c r="W328" s="8">
        <f>VLOOKUP($B328,'[1]Plant data'!$A$1:$AB$315,21,0)</f>
        <v>5.0733332999999999E-2</v>
      </c>
      <c r="X328" s="8">
        <f>VLOOKUP($B328,'[1]Plant data'!$A$1:$AB$315,22,0)</f>
        <v>3.65E-3</v>
      </c>
      <c r="Y328" s="8">
        <f>VLOOKUP($B328,'[1]Plant data'!$A$1:$AB$315,23,0)</f>
        <v>0.182</v>
      </c>
      <c r="Z328" s="8" t="str">
        <f>VLOOKUP($B328,'[1]Plant data'!$A$1:$AB$315,24,0)</f>
        <v>NA</v>
      </c>
      <c r="AA328" s="8">
        <f>VLOOKUP($B328,'[1]Plant data'!$A$1:$AB$315,25,0)</f>
        <v>0.69899999999999995</v>
      </c>
      <c r="AB328" s="8">
        <f t="shared" si="22"/>
        <v>0.18564999999999998</v>
      </c>
    </row>
    <row r="329" spans="1:28">
      <c r="A329" s="5" t="s">
        <v>90</v>
      </c>
      <c r="B329" s="33" t="s">
        <v>97</v>
      </c>
      <c r="C329" s="56">
        <v>2</v>
      </c>
      <c r="D329" s="59">
        <v>330</v>
      </c>
      <c r="E329" s="26">
        <f>(2/330)*3</f>
        <v>1.8181818181818181E-2</v>
      </c>
      <c r="F329" s="56" t="s">
        <v>19</v>
      </c>
      <c r="G329" s="27">
        <v>4.5</v>
      </c>
      <c r="H329" s="23">
        <f t="shared" si="24"/>
        <v>8.1818181818181818E-2</v>
      </c>
      <c r="I329" t="s">
        <v>94</v>
      </c>
      <c r="J329" s="11">
        <v>331</v>
      </c>
      <c r="K329" s="11">
        <v>30.7</v>
      </c>
      <c r="L329" t="str">
        <f>VLOOKUP(B329,'[1]Plant data'!$A$1:$AB$315,2,0)</f>
        <v>Arecaceae</v>
      </c>
      <c r="M329" s="9">
        <f>VLOOKUP($B329,'[1]Plant data'!$A$1:$AB$315,6,0)</f>
        <v>13.294285714285715</v>
      </c>
      <c r="N329" s="9">
        <f>VLOOKUP($B329,'[1]Plant data'!$A$1:$AB$315,7,0)</f>
        <v>12.980000000000002</v>
      </c>
      <c r="O329" s="8">
        <f>VLOOKUP($B329,'[1]Plant data'!$A$1:$AB$315,10,0)</f>
        <v>1.4212800000000001</v>
      </c>
      <c r="P329" s="8">
        <f>VLOOKUP($B329,'[1]Plant data'!$A$1:$AB$315,11,0)</f>
        <v>0.46</v>
      </c>
      <c r="Q329" s="8">
        <f>VLOOKUP($B329,'[1]Plant data'!$A$1:$AB$315,12,0)</f>
        <v>1.06515</v>
      </c>
      <c r="R329" s="8">
        <f>VLOOKUP($B329,'[1]Plant data'!$A$1:$AB$315,13,0)</f>
        <v>0.32305000000000006</v>
      </c>
      <c r="S329" s="8">
        <f>VLOOKUP($B329,'[1]Plant data'!$A$1:$AB$315,14,0)</f>
        <v>0.96343333333333325</v>
      </c>
      <c r="T329" s="11">
        <f>VLOOKUP($B329,'[1]Plant data'!$A$1:$AB$315,15,0)</f>
        <v>1</v>
      </c>
      <c r="U329" s="9">
        <f>VLOOKUP($B329,'[1]Plant data'!$A$1:$AB$315,19,0)</f>
        <v>0.67774999999999996</v>
      </c>
      <c r="V329" s="8">
        <f>VLOOKUP($B329,'[1]Plant data'!$A$1:$AB$315,20,0)</f>
        <v>0.13617499999999999</v>
      </c>
      <c r="W329" s="8">
        <f>VLOOKUP($B329,'[1]Plant data'!$A$1:$AB$315,21,0)</f>
        <v>5.0733332999999999E-2</v>
      </c>
      <c r="X329" s="8">
        <f>VLOOKUP($B329,'[1]Plant data'!$A$1:$AB$315,22,0)</f>
        <v>3.65E-3</v>
      </c>
      <c r="Y329" s="8">
        <f>VLOOKUP($B329,'[1]Plant data'!$A$1:$AB$315,23,0)</f>
        <v>0.182</v>
      </c>
      <c r="Z329" s="8" t="str">
        <f>VLOOKUP($B329,'[1]Plant data'!$A$1:$AB$315,24,0)</f>
        <v>NA</v>
      </c>
      <c r="AA329" s="8">
        <f>VLOOKUP($B329,'[1]Plant data'!$A$1:$AB$315,25,0)</f>
        <v>0.69899999999999995</v>
      </c>
      <c r="AB329" s="8">
        <f t="shared" si="22"/>
        <v>0.18564999999999998</v>
      </c>
    </row>
    <row r="330" spans="1:28">
      <c r="A330" s="5" t="s">
        <v>90</v>
      </c>
      <c r="B330" s="33" t="s">
        <v>97</v>
      </c>
      <c r="C330" s="56">
        <v>1</v>
      </c>
      <c r="D330" s="59">
        <v>330</v>
      </c>
      <c r="E330" s="26">
        <f>(C330/330)*2</f>
        <v>6.0606060606060606E-3</v>
      </c>
      <c r="F330" s="56" t="s">
        <v>19</v>
      </c>
      <c r="G330" s="27">
        <v>12</v>
      </c>
      <c r="H330" s="23">
        <f t="shared" si="24"/>
        <v>7.2727272727272724E-2</v>
      </c>
      <c r="I330" t="s">
        <v>94</v>
      </c>
      <c r="J330" s="11">
        <v>331</v>
      </c>
      <c r="K330" s="11">
        <v>30.7</v>
      </c>
      <c r="L330" t="str">
        <f>VLOOKUP(B330,'[1]Plant data'!$A$1:$AB$315,2,0)</f>
        <v>Arecaceae</v>
      </c>
      <c r="M330" s="9">
        <f>VLOOKUP($B330,'[1]Plant data'!$A$1:$AB$315,6,0)</f>
        <v>13.294285714285715</v>
      </c>
      <c r="N330" s="9">
        <f>VLOOKUP($B330,'[1]Plant data'!$A$1:$AB$315,7,0)</f>
        <v>12.980000000000002</v>
      </c>
      <c r="O330" s="8">
        <f>VLOOKUP($B330,'[1]Plant data'!$A$1:$AB$315,10,0)</f>
        <v>1.4212800000000001</v>
      </c>
      <c r="P330" s="8">
        <f>VLOOKUP($B330,'[1]Plant data'!$A$1:$AB$315,11,0)</f>
        <v>0.46</v>
      </c>
      <c r="Q330" s="8">
        <f>VLOOKUP($B330,'[1]Plant data'!$A$1:$AB$315,12,0)</f>
        <v>1.06515</v>
      </c>
      <c r="R330" s="8">
        <f>VLOOKUP($B330,'[1]Plant data'!$A$1:$AB$315,13,0)</f>
        <v>0.32305000000000006</v>
      </c>
      <c r="S330" s="8">
        <f>VLOOKUP($B330,'[1]Plant data'!$A$1:$AB$315,14,0)</f>
        <v>0.96343333333333325</v>
      </c>
      <c r="T330" s="11">
        <f>VLOOKUP($B330,'[1]Plant data'!$A$1:$AB$315,15,0)</f>
        <v>1</v>
      </c>
      <c r="U330" s="9">
        <f>VLOOKUP($B330,'[1]Plant data'!$A$1:$AB$315,19,0)</f>
        <v>0.67774999999999996</v>
      </c>
      <c r="V330" s="8">
        <f>VLOOKUP($B330,'[1]Plant data'!$A$1:$AB$315,20,0)</f>
        <v>0.13617499999999999</v>
      </c>
      <c r="W330" s="8">
        <f>VLOOKUP($B330,'[1]Plant data'!$A$1:$AB$315,21,0)</f>
        <v>5.0733332999999999E-2</v>
      </c>
      <c r="X330" s="8">
        <f>VLOOKUP($B330,'[1]Plant data'!$A$1:$AB$315,22,0)</f>
        <v>3.65E-3</v>
      </c>
      <c r="Y330" s="8">
        <f>VLOOKUP($B330,'[1]Plant data'!$A$1:$AB$315,23,0)</f>
        <v>0.182</v>
      </c>
      <c r="Z330" s="8" t="str">
        <f>VLOOKUP($B330,'[1]Plant data'!$A$1:$AB$315,24,0)</f>
        <v>NA</v>
      </c>
      <c r="AA330" s="8">
        <f>VLOOKUP($B330,'[1]Plant data'!$A$1:$AB$315,25,0)</f>
        <v>0.69899999999999995</v>
      </c>
      <c r="AB330" s="8">
        <f t="shared" si="22"/>
        <v>0.18564999999999998</v>
      </c>
    </row>
    <row r="331" spans="1:28">
      <c r="A331" s="5" t="s">
        <v>90</v>
      </c>
      <c r="B331" s="33" t="s">
        <v>97</v>
      </c>
      <c r="C331" s="53" t="s">
        <v>19</v>
      </c>
      <c r="D331" s="11" t="s">
        <v>19</v>
      </c>
      <c r="E331" s="8">
        <f>0.14/10</f>
        <v>1.4000000000000002E-2</v>
      </c>
      <c r="F331" s="54" t="s">
        <v>19</v>
      </c>
      <c r="G331" s="9">
        <v>4.4400000000000004</v>
      </c>
      <c r="H331" s="23">
        <f t="shared" si="24"/>
        <v>6.2160000000000014E-2</v>
      </c>
      <c r="I331" t="s">
        <v>94</v>
      </c>
      <c r="J331" s="11">
        <v>331</v>
      </c>
      <c r="K331" s="11">
        <v>30.7</v>
      </c>
      <c r="L331" t="str">
        <f>VLOOKUP(B331,'[1]Plant data'!$A$1:$AB$315,2,0)</f>
        <v>Arecaceae</v>
      </c>
      <c r="M331" s="9">
        <f>VLOOKUP($B331,'[1]Plant data'!$A$1:$AB$315,6,0)</f>
        <v>13.294285714285715</v>
      </c>
      <c r="N331" s="9">
        <f>VLOOKUP($B331,'[1]Plant data'!$A$1:$AB$315,7,0)</f>
        <v>12.980000000000002</v>
      </c>
      <c r="O331" s="8">
        <f>VLOOKUP($B331,'[1]Plant data'!$A$1:$AB$315,10,0)</f>
        <v>1.4212800000000001</v>
      </c>
      <c r="P331" s="8">
        <f>VLOOKUP($B331,'[1]Plant data'!$A$1:$AB$315,11,0)</f>
        <v>0.46</v>
      </c>
      <c r="Q331" s="8">
        <f>VLOOKUP($B331,'[1]Plant data'!$A$1:$AB$315,12,0)</f>
        <v>1.06515</v>
      </c>
      <c r="R331" s="8">
        <f>VLOOKUP($B331,'[1]Plant data'!$A$1:$AB$315,13,0)</f>
        <v>0.32305000000000006</v>
      </c>
      <c r="S331" s="8">
        <f>VLOOKUP($B331,'[1]Plant data'!$A$1:$AB$315,14,0)</f>
        <v>0.96343333333333325</v>
      </c>
      <c r="T331" s="11">
        <f>VLOOKUP($B331,'[1]Plant data'!$A$1:$AB$315,15,0)</f>
        <v>1</v>
      </c>
      <c r="U331" s="9">
        <f>VLOOKUP($B331,'[1]Plant data'!$A$1:$AB$315,19,0)</f>
        <v>0.67774999999999996</v>
      </c>
      <c r="V331" s="8">
        <f>VLOOKUP($B331,'[1]Plant data'!$A$1:$AB$315,20,0)</f>
        <v>0.13617499999999999</v>
      </c>
      <c r="W331" s="8">
        <f>VLOOKUP($B331,'[1]Plant data'!$A$1:$AB$315,21,0)</f>
        <v>5.0733332999999999E-2</v>
      </c>
      <c r="X331" s="8">
        <f>VLOOKUP($B331,'[1]Plant data'!$A$1:$AB$315,22,0)</f>
        <v>3.65E-3</v>
      </c>
      <c r="Y331" s="8">
        <f>VLOOKUP($B331,'[1]Plant data'!$A$1:$AB$315,23,0)</f>
        <v>0.182</v>
      </c>
      <c r="Z331" s="8" t="str">
        <f>VLOOKUP($B331,'[1]Plant data'!$A$1:$AB$315,24,0)</f>
        <v>NA</v>
      </c>
      <c r="AA331" s="8">
        <f>VLOOKUP($B331,'[1]Plant data'!$A$1:$AB$315,25,0)</f>
        <v>0.69899999999999995</v>
      </c>
      <c r="AB331" s="8">
        <f t="shared" si="22"/>
        <v>0.18564999999999998</v>
      </c>
    </row>
    <row r="332" spans="1:28">
      <c r="A332" s="5" t="s">
        <v>90</v>
      </c>
      <c r="B332" s="33" t="s">
        <v>97</v>
      </c>
      <c r="C332" s="56">
        <v>3</v>
      </c>
      <c r="D332" s="11">
        <v>276</v>
      </c>
      <c r="E332" s="26">
        <f>0.096/10</f>
        <v>9.6000000000000009E-3</v>
      </c>
      <c r="F332" s="56">
        <v>14</v>
      </c>
      <c r="G332" s="27">
        <f>F332/C332</f>
        <v>4.666666666666667</v>
      </c>
      <c r="H332" s="23">
        <f t="shared" si="24"/>
        <v>4.4800000000000006E-2</v>
      </c>
      <c r="I332" t="s">
        <v>94</v>
      </c>
      <c r="J332" s="11">
        <v>331</v>
      </c>
      <c r="K332" s="11">
        <v>30.7</v>
      </c>
      <c r="L332" t="str">
        <f>VLOOKUP(B332,'[1]Plant data'!$A$1:$AB$315,2,0)</f>
        <v>Arecaceae</v>
      </c>
      <c r="M332" s="9">
        <f>VLOOKUP($B332,'[1]Plant data'!$A$1:$AB$315,6,0)</f>
        <v>13.294285714285715</v>
      </c>
      <c r="N332" s="9">
        <f>VLOOKUP($B332,'[1]Plant data'!$A$1:$AB$315,7,0)</f>
        <v>12.980000000000002</v>
      </c>
      <c r="O332" s="8">
        <f>VLOOKUP($B332,'[1]Plant data'!$A$1:$AB$315,10,0)</f>
        <v>1.4212800000000001</v>
      </c>
      <c r="P332" s="8">
        <f>VLOOKUP($B332,'[1]Plant data'!$A$1:$AB$315,11,0)</f>
        <v>0.46</v>
      </c>
      <c r="Q332" s="8">
        <f>VLOOKUP($B332,'[1]Plant data'!$A$1:$AB$315,12,0)</f>
        <v>1.06515</v>
      </c>
      <c r="R332" s="8">
        <f>VLOOKUP($B332,'[1]Plant data'!$A$1:$AB$315,13,0)</f>
        <v>0.32305000000000006</v>
      </c>
      <c r="S332" s="8">
        <f>VLOOKUP($B332,'[1]Plant data'!$A$1:$AB$315,14,0)</f>
        <v>0.96343333333333325</v>
      </c>
      <c r="T332" s="11">
        <f>VLOOKUP($B332,'[1]Plant data'!$A$1:$AB$315,15,0)</f>
        <v>1</v>
      </c>
      <c r="U332" s="9">
        <f>VLOOKUP($B332,'[1]Plant data'!$A$1:$AB$315,19,0)</f>
        <v>0.67774999999999996</v>
      </c>
      <c r="V332" s="8">
        <f>VLOOKUP($B332,'[1]Plant data'!$A$1:$AB$315,20,0)</f>
        <v>0.13617499999999999</v>
      </c>
      <c r="W332" s="8">
        <f>VLOOKUP($B332,'[1]Plant data'!$A$1:$AB$315,21,0)</f>
        <v>5.0733332999999999E-2</v>
      </c>
      <c r="X332" s="8">
        <f>VLOOKUP($B332,'[1]Plant data'!$A$1:$AB$315,22,0)</f>
        <v>3.65E-3</v>
      </c>
      <c r="Y332" s="8">
        <f>VLOOKUP($B332,'[1]Plant data'!$A$1:$AB$315,23,0)</f>
        <v>0.182</v>
      </c>
      <c r="Z332" s="8" t="str">
        <f>VLOOKUP($B332,'[1]Plant data'!$A$1:$AB$315,24,0)</f>
        <v>NA</v>
      </c>
      <c r="AA332" s="8">
        <f>VLOOKUP($B332,'[1]Plant data'!$A$1:$AB$315,25,0)</f>
        <v>0.69899999999999995</v>
      </c>
      <c r="AB332" s="8">
        <f t="shared" si="22"/>
        <v>0.18564999999999998</v>
      </c>
    </row>
    <row r="333" spans="1:28">
      <c r="A333" s="5" t="s">
        <v>90</v>
      </c>
      <c r="B333" s="33" t="s">
        <v>97</v>
      </c>
      <c r="C333" s="53">
        <v>4</v>
      </c>
      <c r="D333" s="11">
        <v>324</v>
      </c>
      <c r="E333" s="8">
        <f>C333/324</f>
        <v>1.2345679012345678E-2</v>
      </c>
      <c r="F333" s="54">
        <v>13</v>
      </c>
      <c r="G333" s="9">
        <f>F333/C333</f>
        <v>3.25</v>
      </c>
      <c r="H333" s="23">
        <f t="shared" si="24"/>
        <v>4.0123456790123455E-2</v>
      </c>
      <c r="I333" t="s">
        <v>94</v>
      </c>
      <c r="J333" s="11">
        <v>331</v>
      </c>
      <c r="K333" s="11">
        <v>30.7</v>
      </c>
      <c r="L333" t="str">
        <f>VLOOKUP(B333,'[1]Plant data'!$A$1:$AB$315,2,0)</f>
        <v>Arecaceae</v>
      </c>
      <c r="M333" s="9">
        <f>VLOOKUP($B333,'[1]Plant data'!$A$1:$AB$315,6,0)</f>
        <v>13.294285714285715</v>
      </c>
      <c r="N333" s="9">
        <f>VLOOKUP($B333,'[1]Plant data'!$A$1:$AB$315,7,0)</f>
        <v>12.980000000000002</v>
      </c>
      <c r="O333" s="8">
        <f>VLOOKUP($B333,'[1]Plant data'!$A$1:$AB$315,10,0)</f>
        <v>1.4212800000000001</v>
      </c>
      <c r="P333" s="8">
        <f>VLOOKUP($B333,'[1]Plant data'!$A$1:$AB$315,11,0)</f>
        <v>0.46</v>
      </c>
      <c r="Q333" s="8">
        <f>VLOOKUP($B333,'[1]Plant data'!$A$1:$AB$315,12,0)</f>
        <v>1.06515</v>
      </c>
      <c r="R333" s="8">
        <f>VLOOKUP($B333,'[1]Plant data'!$A$1:$AB$315,13,0)</f>
        <v>0.32305000000000006</v>
      </c>
      <c r="S333" s="8">
        <f>VLOOKUP($B333,'[1]Plant data'!$A$1:$AB$315,14,0)</f>
        <v>0.96343333333333325</v>
      </c>
      <c r="T333" s="11">
        <f>VLOOKUP($B333,'[1]Plant data'!$A$1:$AB$315,15,0)</f>
        <v>1</v>
      </c>
      <c r="U333" s="9">
        <f>VLOOKUP($B333,'[1]Plant data'!$A$1:$AB$315,19,0)</f>
        <v>0.67774999999999996</v>
      </c>
      <c r="V333" s="8">
        <f>VLOOKUP($B333,'[1]Plant data'!$A$1:$AB$315,20,0)</f>
        <v>0.13617499999999999</v>
      </c>
      <c r="W333" s="8">
        <f>VLOOKUP($B333,'[1]Plant data'!$A$1:$AB$315,21,0)</f>
        <v>5.0733332999999999E-2</v>
      </c>
      <c r="X333" s="8">
        <f>VLOOKUP($B333,'[1]Plant data'!$A$1:$AB$315,22,0)</f>
        <v>3.65E-3</v>
      </c>
      <c r="Y333" s="8">
        <f>VLOOKUP($B333,'[1]Plant data'!$A$1:$AB$315,23,0)</f>
        <v>0.182</v>
      </c>
      <c r="Z333" s="8" t="str">
        <f>VLOOKUP($B333,'[1]Plant data'!$A$1:$AB$315,24,0)</f>
        <v>NA</v>
      </c>
      <c r="AA333" s="8">
        <f>VLOOKUP($B333,'[1]Plant data'!$A$1:$AB$315,25,0)</f>
        <v>0.69899999999999995</v>
      </c>
      <c r="AB333" s="8">
        <f t="shared" si="22"/>
        <v>0.18564999999999998</v>
      </c>
    </row>
    <row r="334" spans="1:28">
      <c r="A334" s="5" t="s">
        <v>90</v>
      </c>
      <c r="B334" s="33" t="s">
        <v>97</v>
      </c>
      <c r="C334" s="53">
        <v>1</v>
      </c>
      <c r="D334" s="11">
        <v>324</v>
      </c>
      <c r="E334" s="8">
        <f>C334/324</f>
        <v>3.0864197530864196E-3</v>
      </c>
      <c r="F334" s="54">
        <v>5</v>
      </c>
      <c r="G334" s="9">
        <f>F334/C334</f>
        <v>5</v>
      </c>
      <c r="H334" s="23">
        <f t="shared" si="24"/>
        <v>1.5432098765432098E-2</v>
      </c>
      <c r="I334" t="s">
        <v>94</v>
      </c>
      <c r="J334" s="11">
        <v>331</v>
      </c>
      <c r="K334" s="11">
        <v>30.7</v>
      </c>
      <c r="L334" t="str">
        <f>VLOOKUP(B334,'[1]Plant data'!$A$1:$AB$315,2,0)</f>
        <v>Arecaceae</v>
      </c>
      <c r="M334" s="9">
        <f>VLOOKUP($B334,'[1]Plant data'!$A$1:$AB$315,6,0)</f>
        <v>13.294285714285715</v>
      </c>
      <c r="N334" s="9">
        <f>VLOOKUP($B334,'[1]Plant data'!$A$1:$AB$315,7,0)</f>
        <v>12.980000000000002</v>
      </c>
      <c r="O334" s="8">
        <f>VLOOKUP($B334,'[1]Plant data'!$A$1:$AB$315,10,0)</f>
        <v>1.4212800000000001</v>
      </c>
      <c r="P334" s="8">
        <f>VLOOKUP($B334,'[1]Plant data'!$A$1:$AB$315,11,0)</f>
        <v>0.46</v>
      </c>
      <c r="Q334" s="8">
        <f>VLOOKUP($B334,'[1]Plant data'!$A$1:$AB$315,12,0)</f>
        <v>1.06515</v>
      </c>
      <c r="R334" s="8">
        <f>VLOOKUP($B334,'[1]Plant data'!$A$1:$AB$315,13,0)</f>
        <v>0.32305000000000006</v>
      </c>
      <c r="S334" s="8">
        <f>VLOOKUP($B334,'[1]Plant data'!$A$1:$AB$315,14,0)</f>
        <v>0.96343333333333325</v>
      </c>
      <c r="T334" s="11">
        <f>VLOOKUP($B334,'[1]Plant data'!$A$1:$AB$315,15,0)</f>
        <v>1</v>
      </c>
      <c r="U334" s="9">
        <f>VLOOKUP($B334,'[1]Plant data'!$A$1:$AB$315,19,0)</f>
        <v>0.67774999999999996</v>
      </c>
      <c r="V334" s="8">
        <f>VLOOKUP($B334,'[1]Plant data'!$A$1:$AB$315,20,0)</f>
        <v>0.13617499999999999</v>
      </c>
      <c r="W334" s="8">
        <f>VLOOKUP($B334,'[1]Plant data'!$A$1:$AB$315,21,0)</f>
        <v>5.0733332999999999E-2</v>
      </c>
      <c r="X334" s="8">
        <f>VLOOKUP($B334,'[1]Plant data'!$A$1:$AB$315,22,0)</f>
        <v>3.65E-3</v>
      </c>
      <c r="Y334" s="8">
        <f>VLOOKUP($B334,'[1]Plant data'!$A$1:$AB$315,23,0)</f>
        <v>0.182</v>
      </c>
      <c r="Z334" s="8" t="str">
        <f>VLOOKUP($B334,'[1]Plant data'!$A$1:$AB$315,24,0)</f>
        <v>NA</v>
      </c>
      <c r="AA334" s="8">
        <f>VLOOKUP($B334,'[1]Plant data'!$A$1:$AB$315,25,0)</f>
        <v>0.69899999999999995</v>
      </c>
      <c r="AB334" s="8">
        <f t="shared" si="22"/>
        <v>0.18564999999999998</v>
      </c>
    </row>
    <row r="335" spans="1:28">
      <c r="A335" s="5" t="s">
        <v>90</v>
      </c>
      <c r="B335" s="40" t="s">
        <v>97</v>
      </c>
      <c r="C335" s="56">
        <v>2</v>
      </c>
      <c r="D335" s="59">
        <v>750</v>
      </c>
      <c r="E335" s="26">
        <v>2.6666670000000002E-3</v>
      </c>
      <c r="F335" s="56" t="s">
        <v>19</v>
      </c>
      <c r="G335" s="41">
        <v>5.2652380952380948</v>
      </c>
      <c r="H335" s="23">
        <f t="shared" si="24"/>
        <v>1.4040636675714285E-2</v>
      </c>
      <c r="I335" t="s">
        <v>94</v>
      </c>
      <c r="J335" s="11">
        <v>331</v>
      </c>
      <c r="K335" s="11">
        <v>30.7</v>
      </c>
      <c r="L335" t="str">
        <f>VLOOKUP(B335,'[1]Plant data'!$A$1:$AB$315,2,0)</f>
        <v>Arecaceae</v>
      </c>
      <c r="M335" s="9">
        <f>VLOOKUP($B335,'[1]Plant data'!$A$1:$AB$315,6,0)</f>
        <v>13.294285714285715</v>
      </c>
      <c r="N335" s="9">
        <f>VLOOKUP($B335,'[1]Plant data'!$A$1:$AB$315,7,0)</f>
        <v>12.980000000000002</v>
      </c>
      <c r="O335" s="8">
        <f>VLOOKUP($B335,'[1]Plant data'!$A$1:$AB$315,10,0)</f>
        <v>1.4212800000000001</v>
      </c>
      <c r="P335" s="8">
        <f>VLOOKUP($B335,'[1]Plant data'!$A$1:$AB$315,11,0)</f>
        <v>0.46</v>
      </c>
      <c r="Q335" s="8">
        <f>VLOOKUP($B335,'[1]Plant data'!$A$1:$AB$315,12,0)</f>
        <v>1.06515</v>
      </c>
      <c r="R335" s="8">
        <f>VLOOKUP($B335,'[1]Plant data'!$A$1:$AB$315,13,0)</f>
        <v>0.32305000000000006</v>
      </c>
      <c r="S335" s="8">
        <f>VLOOKUP($B335,'[1]Plant data'!$A$1:$AB$315,14,0)</f>
        <v>0.96343333333333325</v>
      </c>
      <c r="T335" s="11">
        <f>VLOOKUP($B335,'[1]Plant data'!$A$1:$AB$315,15,0)</f>
        <v>1</v>
      </c>
      <c r="U335" s="9">
        <f>VLOOKUP($B335,'[1]Plant data'!$A$1:$AB$315,19,0)</f>
        <v>0.67774999999999996</v>
      </c>
      <c r="V335" s="8">
        <f>VLOOKUP($B335,'[1]Plant data'!$A$1:$AB$315,20,0)</f>
        <v>0.13617499999999999</v>
      </c>
      <c r="W335" s="8">
        <f>VLOOKUP($B335,'[1]Plant data'!$A$1:$AB$315,21,0)</f>
        <v>5.0733332999999999E-2</v>
      </c>
      <c r="X335" s="8">
        <f>VLOOKUP($B335,'[1]Plant data'!$A$1:$AB$315,22,0)</f>
        <v>3.65E-3</v>
      </c>
      <c r="Y335" s="8">
        <f>VLOOKUP($B335,'[1]Plant data'!$A$1:$AB$315,23,0)</f>
        <v>0.182</v>
      </c>
      <c r="Z335" s="8" t="str">
        <f>VLOOKUP($B335,'[1]Plant data'!$A$1:$AB$315,24,0)</f>
        <v>NA</v>
      </c>
      <c r="AA335" s="8">
        <f>VLOOKUP($B335,'[1]Plant data'!$A$1:$AB$315,25,0)</f>
        <v>0.69899999999999995</v>
      </c>
      <c r="AB335" s="8">
        <f t="shared" si="22"/>
        <v>0.18564999999999998</v>
      </c>
    </row>
    <row r="336" spans="1:28">
      <c r="A336" s="5" t="s">
        <v>90</v>
      </c>
      <c r="B336" s="33" t="s">
        <v>97</v>
      </c>
      <c r="C336" s="53">
        <v>1</v>
      </c>
      <c r="D336" s="11">
        <v>324</v>
      </c>
      <c r="E336" s="8">
        <f>C336/324</f>
        <v>3.0864197530864196E-3</v>
      </c>
      <c r="F336" s="54">
        <v>3</v>
      </c>
      <c r="G336" s="9">
        <f>F336/C336</f>
        <v>3</v>
      </c>
      <c r="H336" s="23">
        <f t="shared" si="24"/>
        <v>9.2592592592592587E-3</v>
      </c>
      <c r="I336" t="s">
        <v>94</v>
      </c>
      <c r="J336" s="11">
        <v>331</v>
      </c>
      <c r="K336" s="11">
        <v>30.7</v>
      </c>
      <c r="L336" t="str">
        <f>VLOOKUP(B336,'[1]Plant data'!$A$1:$AB$315,2,0)</f>
        <v>Arecaceae</v>
      </c>
      <c r="M336" s="9">
        <f>VLOOKUP($B336,'[1]Plant data'!$A$1:$AB$315,6,0)</f>
        <v>13.294285714285715</v>
      </c>
      <c r="N336" s="9">
        <f>VLOOKUP($B336,'[1]Plant data'!$A$1:$AB$315,7,0)</f>
        <v>12.980000000000002</v>
      </c>
      <c r="O336" s="8">
        <f>VLOOKUP($B336,'[1]Plant data'!$A$1:$AB$315,10,0)</f>
        <v>1.4212800000000001</v>
      </c>
      <c r="P336" s="8">
        <f>VLOOKUP($B336,'[1]Plant data'!$A$1:$AB$315,11,0)</f>
        <v>0.46</v>
      </c>
      <c r="Q336" s="8">
        <f>VLOOKUP($B336,'[1]Plant data'!$A$1:$AB$315,12,0)</f>
        <v>1.06515</v>
      </c>
      <c r="R336" s="8">
        <f>VLOOKUP($B336,'[1]Plant data'!$A$1:$AB$315,13,0)</f>
        <v>0.32305000000000006</v>
      </c>
      <c r="S336" s="8">
        <f>VLOOKUP($B336,'[1]Plant data'!$A$1:$AB$315,14,0)</f>
        <v>0.96343333333333325</v>
      </c>
      <c r="T336" s="11">
        <f>VLOOKUP($B336,'[1]Plant data'!$A$1:$AB$315,15,0)</f>
        <v>1</v>
      </c>
      <c r="U336" s="9">
        <f>VLOOKUP($B336,'[1]Plant data'!$A$1:$AB$315,19,0)</f>
        <v>0.67774999999999996</v>
      </c>
      <c r="V336" s="8">
        <f>VLOOKUP($B336,'[1]Plant data'!$A$1:$AB$315,20,0)</f>
        <v>0.13617499999999999</v>
      </c>
      <c r="W336" s="8">
        <f>VLOOKUP($B336,'[1]Plant data'!$A$1:$AB$315,21,0)</f>
        <v>5.0733332999999999E-2</v>
      </c>
      <c r="X336" s="8">
        <f>VLOOKUP($B336,'[1]Plant data'!$A$1:$AB$315,22,0)</f>
        <v>3.65E-3</v>
      </c>
      <c r="Y336" s="8">
        <f>VLOOKUP($B336,'[1]Plant data'!$A$1:$AB$315,23,0)</f>
        <v>0.182</v>
      </c>
      <c r="Z336" s="8" t="str">
        <f>VLOOKUP($B336,'[1]Plant data'!$A$1:$AB$315,24,0)</f>
        <v>NA</v>
      </c>
      <c r="AA336" s="8">
        <f>VLOOKUP($B336,'[1]Plant data'!$A$1:$AB$315,25,0)</f>
        <v>0.69899999999999995</v>
      </c>
      <c r="AB336" s="8">
        <f t="shared" si="22"/>
        <v>0.18564999999999998</v>
      </c>
    </row>
    <row r="337" spans="1:28">
      <c r="A337" s="5" t="s">
        <v>104</v>
      </c>
      <c r="B337" s="32" t="s">
        <v>97</v>
      </c>
      <c r="C337" s="56" t="s">
        <v>19</v>
      </c>
      <c r="D337" s="59" t="s">
        <v>19</v>
      </c>
      <c r="E337" s="8">
        <f>0.34/10</f>
        <v>3.4000000000000002E-2</v>
      </c>
      <c r="F337" s="56" t="s">
        <v>19</v>
      </c>
      <c r="G337" s="27">
        <v>6.95</v>
      </c>
      <c r="H337" s="23">
        <f t="shared" si="24"/>
        <v>0.23630000000000001</v>
      </c>
      <c r="I337" t="s">
        <v>94</v>
      </c>
      <c r="J337" s="11">
        <v>343.5</v>
      </c>
      <c r="K337" s="11">
        <v>30.107272729999998</v>
      </c>
      <c r="L337" t="str">
        <f>VLOOKUP(B337,'[1]Plant data'!$A$1:$AB$315,2,0)</f>
        <v>Arecaceae</v>
      </c>
      <c r="M337" s="9">
        <f>VLOOKUP($B337,'[1]Plant data'!$A$1:$AB$315,6,0)</f>
        <v>13.294285714285715</v>
      </c>
      <c r="N337" s="9">
        <f>VLOOKUP($B337,'[1]Plant data'!$A$1:$AB$315,7,0)</f>
        <v>12.980000000000002</v>
      </c>
      <c r="O337" s="8">
        <f>VLOOKUP($B337,'[1]Plant data'!$A$1:$AB$315,10,0)</f>
        <v>1.4212800000000001</v>
      </c>
      <c r="P337" s="8">
        <f>VLOOKUP($B337,'[1]Plant data'!$A$1:$AB$315,11,0)</f>
        <v>0.46</v>
      </c>
      <c r="Q337" s="8">
        <f>VLOOKUP($B337,'[1]Plant data'!$A$1:$AB$315,12,0)</f>
        <v>1.06515</v>
      </c>
      <c r="R337" s="8">
        <f>VLOOKUP($B337,'[1]Plant data'!$A$1:$AB$315,13,0)</f>
        <v>0.32305000000000006</v>
      </c>
      <c r="S337" s="8">
        <f>VLOOKUP($B337,'[1]Plant data'!$A$1:$AB$315,14,0)</f>
        <v>0.96343333333333325</v>
      </c>
      <c r="T337" s="11">
        <f>VLOOKUP($B337,'[1]Plant data'!$A$1:$AB$315,15,0)</f>
        <v>1</v>
      </c>
      <c r="U337" s="9">
        <f>VLOOKUP($B337,'[1]Plant data'!$A$1:$AB$315,19,0)</f>
        <v>0.67774999999999996</v>
      </c>
      <c r="V337" s="8">
        <f>VLOOKUP($B337,'[1]Plant data'!$A$1:$AB$315,20,0)</f>
        <v>0.13617499999999999</v>
      </c>
      <c r="W337" s="8">
        <f>VLOOKUP($B337,'[1]Plant data'!$A$1:$AB$315,21,0)</f>
        <v>5.0733332999999999E-2</v>
      </c>
      <c r="X337" s="8">
        <f>VLOOKUP($B337,'[1]Plant data'!$A$1:$AB$315,22,0)</f>
        <v>3.65E-3</v>
      </c>
      <c r="Y337" s="8">
        <f>VLOOKUP($B337,'[1]Plant data'!$A$1:$AB$315,23,0)</f>
        <v>0.182</v>
      </c>
      <c r="Z337" s="8" t="str">
        <f>VLOOKUP($B337,'[1]Plant data'!$A$1:$AB$315,24,0)</f>
        <v>NA</v>
      </c>
      <c r="AA337" s="8">
        <f>VLOOKUP($B337,'[1]Plant data'!$A$1:$AB$315,25,0)</f>
        <v>0.69899999999999995</v>
      </c>
      <c r="AB337" s="8">
        <f t="shared" si="22"/>
        <v>0.18564999999999998</v>
      </c>
    </row>
    <row r="338" spans="1:28">
      <c r="A338" s="5" t="s">
        <v>104</v>
      </c>
      <c r="B338" s="32" t="s">
        <v>97</v>
      </c>
      <c r="C338" s="56">
        <v>10</v>
      </c>
      <c r="D338" s="59">
        <v>324</v>
      </c>
      <c r="E338" s="8">
        <f>C338/324</f>
        <v>3.0864197530864196E-2</v>
      </c>
      <c r="F338" s="56">
        <v>55</v>
      </c>
      <c r="G338" s="27">
        <f>F338/C338</f>
        <v>5.5</v>
      </c>
      <c r="H338" s="23">
        <f t="shared" si="24"/>
        <v>0.16975308641975306</v>
      </c>
      <c r="I338" t="s">
        <v>94</v>
      </c>
      <c r="J338" s="11">
        <v>343.5</v>
      </c>
      <c r="K338" s="11">
        <v>30.107272729999998</v>
      </c>
      <c r="L338" t="str">
        <f>VLOOKUP(B338,'[1]Plant data'!$A$1:$AB$315,2,0)</f>
        <v>Arecaceae</v>
      </c>
      <c r="M338" s="9">
        <f>VLOOKUP($B338,'[1]Plant data'!$A$1:$AB$315,6,0)</f>
        <v>13.294285714285715</v>
      </c>
      <c r="N338" s="9">
        <f>VLOOKUP($B338,'[1]Plant data'!$A$1:$AB$315,7,0)</f>
        <v>12.980000000000002</v>
      </c>
      <c r="O338" s="8">
        <f>VLOOKUP($B338,'[1]Plant data'!$A$1:$AB$315,10,0)</f>
        <v>1.4212800000000001</v>
      </c>
      <c r="P338" s="8">
        <f>VLOOKUP($B338,'[1]Plant data'!$A$1:$AB$315,11,0)</f>
        <v>0.46</v>
      </c>
      <c r="Q338" s="8">
        <f>VLOOKUP($B338,'[1]Plant data'!$A$1:$AB$315,12,0)</f>
        <v>1.06515</v>
      </c>
      <c r="R338" s="8">
        <f>VLOOKUP($B338,'[1]Plant data'!$A$1:$AB$315,13,0)</f>
        <v>0.32305000000000006</v>
      </c>
      <c r="S338" s="8">
        <f>VLOOKUP($B338,'[1]Plant data'!$A$1:$AB$315,14,0)</f>
        <v>0.96343333333333325</v>
      </c>
      <c r="T338" s="11">
        <f>VLOOKUP($B338,'[1]Plant data'!$A$1:$AB$315,15,0)</f>
        <v>1</v>
      </c>
      <c r="U338" s="9">
        <f>VLOOKUP($B338,'[1]Plant data'!$A$1:$AB$315,19,0)</f>
        <v>0.67774999999999996</v>
      </c>
      <c r="V338" s="8">
        <f>VLOOKUP($B338,'[1]Plant data'!$A$1:$AB$315,20,0)</f>
        <v>0.13617499999999999</v>
      </c>
      <c r="W338" s="8">
        <f>VLOOKUP($B338,'[1]Plant data'!$A$1:$AB$315,21,0)</f>
        <v>5.0733332999999999E-2</v>
      </c>
      <c r="X338" s="8">
        <f>VLOOKUP($B338,'[1]Plant data'!$A$1:$AB$315,22,0)</f>
        <v>3.65E-3</v>
      </c>
      <c r="Y338" s="8">
        <f>VLOOKUP($B338,'[1]Plant data'!$A$1:$AB$315,23,0)</f>
        <v>0.182</v>
      </c>
      <c r="Z338" s="8" t="str">
        <f>VLOOKUP($B338,'[1]Plant data'!$A$1:$AB$315,24,0)</f>
        <v>NA</v>
      </c>
      <c r="AA338" s="8">
        <f>VLOOKUP($B338,'[1]Plant data'!$A$1:$AB$315,25,0)</f>
        <v>0.69899999999999995</v>
      </c>
      <c r="AB338" s="8">
        <f t="shared" ref="AB338:AB369" si="25">SUMIF(X338:Y338,"&gt;0.00001")</f>
        <v>0.18564999999999998</v>
      </c>
    </row>
    <row r="339" spans="1:28">
      <c r="A339" s="5" t="s">
        <v>104</v>
      </c>
      <c r="B339" s="32" t="s">
        <v>97</v>
      </c>
      <c r="C339" s="56">
        <v>7</v>
      </c>
      <c r="D339" s="59">
        <v>324</v>
      </c>
      <c r="E339" s="8">
        <f>C339/324</f>
        <v>2.1604938271604937E-2</v>
      </c>
      <c r="F339" s="56">
        <v>49</v>
      </c>
      <c r="G339" s="27">
        <f>F339/C339</f>
        <v>7</v>
      </c>
      <c r="H339" s="23">
        <f t="shared" si="24"/>
        <v>0.15123456790123457</v>
      </c>
      <c r="I339" t="s">
        <v>94</v>
      </c>
      <c r="J339" s="11">
        <v>343.5</v>
      </c>
      <c r="K339" s="11">
        <v>30.107272729999998</v>
      </c>
      <c r="L339" t="str">
        <f>VLOOKUP(B339,'[1]Plant data'!$A$1:$AB$315,2,0)</f>
        <v>Arecaceae</v>
      </c>
      <c r="M339" s="9">
        <f>VLOOKUP($B339,'[1]Plant data'!$A$1:$AB$315,6,0)</f>
        <v>13.294285714285715</v>
      </c>
      <c r="N339" s="9">
        <f>VLOOKUP($B339,'[1]Plant data'!$A$1:$AB$315,7,0)</f>
        <v>12.980000000000002</v>
      </c>
      <c r="O339" s="8">
        <f>VLOOKUP($B339,'[1]Plant data'!$A$1:$AB$315,10,0)</f>
        <v>1.4212800000000001</v>
      </c>
      <c r="P339" s="8">
        <f>VLOOKUP($B339,'[1]Plant data'!$A$1:$AB$315,11,0)</f>
        <v>0.46</v>
      </c>
      <c r="Q339" s="8">
        <f>VLOOKUP($B339,'[1]Plant data'!$A$1:$AB$315,12,0)</f>
        <v>1.06515</v>
      </c>
      <c r="R339" s="8">
        <f>VLOOKUP($B339,'[1]Plant data'!$A$1:$AB$315,13,0)</f>
        <v>0.32305000000000006</v>
      </c>
      <c r="S339" s="8">
        <f>VLOOKUP($B339,'[1]Plant data'!$A$1:$AB$315,14,0)</f>
        <v>0.96343333333333325</v>
      </c>
      <c r="T339" s="11">
        <f>VLOOKUP($B339,'[1]Plant data'!$A$1:$AB$315,15,0)</f>
        <v>1</v>
      </c>
      <c r="U339" s="9">
        <f>VLOOKUP($B339,'[1]Plant data'!$A$1:$AB$315,19,0)</f>
        <v>0.67774999999999996</v>
      </c>
      <c r="V339" s="8">
        <f>VLOOKUP($B339,'[1]Plant data'!$A$1:$AB$315,20,0)</f>
        <v>0.13617499999999999</v>
      </c>
      <c r="W339" s="8">
        <f>VLOOKUP($B339,'[1]Plant data'!$A$1:$AB$315,21,0)</f>
        <v>5.0733332999999999E-2</v>
      </c>
      <c r="X339" s="8">
        <f>VLOOKUP($B339,'[1]Plant data'!$A$1:$AB$315,22,0)</f>
        <v>3.65E-3</v>
      </c>
      <c r="Y339" s="8">
        <f>VLOOKUP($B339,'[1]Plant data'!$A$1:$AB$315,23,0)</f>
        <v>0.182</v>
      </c>
      <c r="Z339" s="8" t="str">
        <f>VLOOKUP($B339,'[1]Plant data'!$A$1:$AB$315,24,0)</f>
        <v>NA</v>
      </c>
      <c r="AA339" s="8">
        <f>VLOOKUP($B339,'[1]Plant data'!$A$1:$AB$315,25,0)</f>
        <v>0.69899999999999995</v>
      </c>
      <c r="AB339" s="8">
        <f t="shared" si="25"/>
        <v>0.18564999999999998</v>
      </c>
    </row>
    <row r="340" spans="1:28">
      <c r="A340" s="5" t="s">
        <v>104</v>
      </c>
      <c r="B340" s="32" t="s">
        <v>97</v>
      </c>
      <c r="C340" s="56">
        <v>6</v>
      </c>
      <c r="D340" s="59">
        <v>190</v>
      </c>
      <c r="E340" s="8">
        <f>C340/190</f>
        <v>3.1578947368421054E-2</v>
      </c>
      <c r="F340" s="56">
        <v>21</v>
      </c>
      <c r="G340" s="9">
        <f>F340/C340</f>
        <v>3.5</v>
      </c>
      <c r="H340" s="23">
        <f t="shared" si="24"/>
        <v>0.11052631578947369</v>
      </c>
      <c r="I340" t="s">
        <v>94</v>
      </c>
      <c r="J340" s="11">
        <v>343.5</v>
      </c>
      <c r="K340" s="11">
        <v>30.107272729999998</v>
      </c>
      <c r="L340" t="str">
        <f>VLOOKUP(B340,'[1]Plant data'!$A$1:$AB$315,2,0)</f>
        <v>Arecaceae</v>
      </c>
      <c r="M340" s="9">
        <f>VLOOKUP($B340,'[1]Plant data'!$A$1:$AB$315,6,0)</f>
        <v>13.294285714285715</v>
      </c>
      <c r="N340" s="9">
        <f>VLOOKUP($B340,'[1]Plant data'!$A$1:$AB$315,7,0)</f>
        <v>12.980000000000002</v>
      </c>
      <c r="O340" s="8">
        <f>VLOOKUP($B340,'[1]Plant data'!$A$1:$AB$315,10,0)</f>
        <v>1.4212800000000001</v>
      </c>
      <c r="P340" s="8">
        <f>VLOOKUP($B340,'[1]Plant data'!$A$1:$AB$315,11,0)</f>
        <v>0.46</v>
      </c>
      <c r="Q340" s="8">
        <f>VLOOKUP($B340,'[1]Plant data'!$A$1:$AB$315,12,0)</f>
        <v>1.06515</v>
      </c>
      <c r="R340" s="8">
        <f>VLOOKUP($B340,'[1]Plant data'!$A$1:$AB$315,13,0)</f>
        <v>0.32305000000000006</v>
      </c>
      <c r="S340" s="8">
        <f>VLOOKUP($B340,'[1]Plant data'!$A$1:$AB$315,14,0)</f>
        <v>0.96343333333333325</v>
      </c>
      <c r="T340" s="11">
        <f>VLOOKUP($B340,'[1]Plant data'!$A$1:$AB$315,15,0)</f>
        <v>1</v>
      </c>
      <c r="U340" s="9">
        <f>VLOOKUP($B340,'[1]Plant data'!$A$1:$AB$315,19,0)</f>
        <v>0.67774999999999996</v>
      </c>
      <c r="V340" s="8">
        <f>VLOOKUP($B340,'[1]Plant data'!$A$1:$AB$315,20,0)</f>
        <v>0.13617499999999999</v>
      </c>
      <c r="W340" s="8">
        <f>VLOOKUP($B340,'[1]Plant data'!$A$1:$AB$315,21,0)</f>
        <v>5.0733332999999999E-2</v>
      </c>
      <c r="X340" s="8">
        <f>VLOOKUP($B340,'[1]Plant data'!$A$1:$AB$315,22,0)</f>
        <v>3.65E-3</v>
      </c>
      <c r="Y340" s="8">
        <f>VLOOKUP($B340,'[1]Plant data'!$A$1:$AB$315,23,0)</f>
        <v>0.182</v>
      </c>
      <c r="Z340" s="8" t="str">
        <f>VLOOKUP($B340,'[1]Plant data'!$A$1:$AB$315,24,0)</f>
        <v>NA</v>
      </c>
      <c r="AA340" s="8">
        <f>VLOOKUP($B340,'[1]Plant data'!$A$1:$AB$315,25,0)</f>
        <v>0.69899999999999995</v>
      </c>
      <c r="AB340" s="8">
        <f t="shared" si="25"/>
        <v>0.18564999999999998</v>
      </c>
    </row>
    <row r="341" spans="1:28">
      <c r="A341" s="5" t="s">
        <v>104</v>
      </c>
      <c r="B341" s="32" t="s">
        <v>97</v>
      </c>
      <c r="C341" s="56">
        <v>3</v>
      </c>
      <c r="D341" s="59">
        <v>190</v>
      </c>
      <c r="E341" s="8">
        <f>C341/190</f>
        <v>1.5789473684210527E-2</v>
      </c>
      <c r="F341" s="56">
        <v>16</v>
      </c>
      <c r="G341" s="9">
        <f>F341/C341</f>
        <v>5.333333333333333</v>
      </c>
      <c r="H341" s="23">
        <f t="shared" si="24"/>
        <v>8.4210526315789472E-2</v>
      </c>
      <c r="I341" t="s">
        <v>94</v>
      </c>
      <c r="J341" s="11">
        <v>343.5</v>
      </c>
      <c r="K341" s="11">
        <v>30.107272729999998</v>
      </c>
      <c r="L341" t="str">
        <f>VLOOKUP(B341,'[1]Plant data'!$A$1:$AB$315,2,0)</f>
        <v>Arecaceae</v>
      </c>
      <c r="M341" s="9">
        <f>VLOOKUP($B341,'[1]Plant data'!$A$1:$AB$315,6,0)</f>
        <v>13.294285714285715</v>
      </c>
      <c r="N341" s="9">
        <f>VLOOKUP($B341,'[1]Plant data'!$A$1:$AB$315,7,0)</f>
        <v>12.980000000000002</v>
      </c>
      <c r="O341" s="8">
        <f>VLOOKUP($B341,'[1]Plant data'!$A$1:$AB$315,10,0)</f>
        <v>1.4212800000000001</v>
      </c>
      <c r="P341" s="8">
        <f>VLOOKUP($B341,'[1]Plant data'!$A$1:$AB$315,11,0)</f>
        <v>0.46</v>
      </c>
      <c r="Q341" s="8">
        <f>VLOOKUP($B341,'[1]Plant data'!$A$1:$AB$315,12,0)</f>
        <v>1.06515</v>
      </c>
      <c r="R341" s="8">
        <f>VLOOKUP($B341,'[1]Plant data'!$A$1:$AB$315,13,0)</f>
        <v>0.32305000000000006</v>
      </c>
      <c r="S341" s="8">
        <f>VLOOKUP($B341,'[1]Plant data'!$A$1:$AB$315,14,0)</f>
        <v>0.96343333333333325</v>
      </c>
      <c r="T341" s="11">
        <f>VLOOKUP($B341,'[1]Plant data'!$A$1:$AB$315,15,0)</f>
        <v>1</v>
      </c>
      <c r="U341" s="9">
        <f>VLOOKUP($B341,'[1]Plant data'!$A$1:$AB$315,19,0)</f>
        <v>0.67774999999999996</v>
      </c>
      <c r="V341" s="8">
        <f>VLOOKUP($B341,'[1]Plant data'!$A$1:$AB$315,20,0)</f>
        <v>0.13617499999999999</v>
      </c>
      <c r="W341" s="8">
        <f>VLOOKUP($B341,'[1]Plant data'!$A$1:$AB$315,21,0)</f>
        <v>5.0733332999999999E-2</v>
      </c>
      <c r="X341" s="8">
        <f>VLOOKUP($B341,'[1]Plant data'!$A$1:$AB$315,22,0)</f>
        <v>3.65E-3</v>
      </c>
      <c r="Y341" s="8">
        <f>VLOOKUP($B341,'[1]Plant data'!$A$1:$AB$315,23,0)</f>
        <v>0.182</v>
      </c>
      <c r="Z341" s="8" t="str">
        <f>VLOOKUP($B341,'[1]Plant data'!$A$1:$AB$315,24,0)</f>
        <v>NA</v>
      </c>
      <c r="AA341" s="8">
        <f>VLOOKUP($B341,'[1]Plant data'!$A$1:$AB$315,25,0)</f>
        <v>0.69899999999999995</v>
      </c>
      <c r="AB341" s="8">
        <f t="shared" si="25"/>
        <v>0.18564999999999998</v>
      </c>
    </row>
    <row r="342" spans="1:28">
      <c r="A342" s="5" t="s">
        <v>104</v>
      </c>
      <c r="B342" s="32" t="s">
        <v>97</v>
      </c>
      <c r="C342" s="53">
        <v>1</v>
      </c>
      <c r="D342" s="59">
        <v>330</v>
      </c>
      <c r="E342" s="8">
        <f>(C342/330)*2</f>
        <v>6.0606060606060606E-3</v>
      </c>
      <c r="F342" s="56" t="s">
        <v>19</v>
      </c>
      <c r="G342" s="9">
        <v>5</v>
      </c>
      <c r="H342" s="23">
        <f t="shared" si="24"/>
        <v>3.0303030303030304E-2</v>
      </c>
      <c r="I342" t="s">
        <v>94</v>
      </c>
      <c r="J342" s="11">
        <v>343.5</v>
      </c>
      <c r="K342" s="11">
        <v>30.107272729999998</v>
      </c>
      <c r="L342" t="str">
        <f>VLOOKUP(B342,'[1]Plant data'!$A$1:$AB$315,2,0)</f>
        <v>Arecaceae</v>
      </c>
      <c r="M342" s="9">
        <f>VLOOKUP($B342,'[1]Plant data'!$A$1:$AB$315,6,0)</f>
        <v>13.294285714285715</v>
      </c>
      <c r="N342" s="9">
        <f>VLOOKUP($B342,'[1]Plant data'!$A$1:$AB$315,7,0)</f>
        <v>12.980000000000002</v>
      </c>
      <c r="O342" s="8">
        <f>VLOOKUP($B342,'[1]Plant data'!$A$1:$AB$315,10,0)</f>
        <v>1.4212800000000001</v>
      </c>
      <c r="P342" s="8">
        <f>VLOOKUP($B342,'[1]Plant data'!$A$1:$AB$315,11,0)</f>
        <v>0.46</v>
      </c>
      <c r="Q342" s="8">
        <f>VLOOKUP($B342,'[1]Plant data'!$A$1:$AB$315,12,0)</f>
        <v>1.06515</v>
      </c>
      <c r="R342" s="8">
        <f>VLOOKUP($B342,'[1]Plant data'!$A$1:$AB$315,13,0)</f>
        <v>0.32305000000000006</v>
      </c>
      <c r="S342" s="8">
        <f>VLOOKUP($B342,'[1]Plant data'!$A$1:$AB$315,14,0)</f>
        <v>0.96343333333333325</v>
      </c>
      <c r="T342" s="11">
        <f>VLOOKUP($B342,'[1]Plant data'!$A$1:$AB$315,15,0)</f>
        <v>1</v>
      </c>
      <c r="U342" s="9">
        <f>VLOOKUP($B342,'[1]Plant data'!$A$1:$AB$315,19,0)</f>
        <v>0.67774999999999996</v>
      </c>
      <c r="V342" s="8">
        <f>VLOOKUP($B342,'[1]Plant data'!$A$1:$AB$315,20,0)</f>
        <v>0.13617499999999999</v>
      </c>
      <c r="W342" s="8">
        <f>VLOOKUP($B342,'[1]Plant data'!$A$1:$AB$315,21,0)</f>
        <v>5.0733332999999999E-2</v>
      </c>
      <c r="X342" s="8">
        <f>VLOOKUP($B342,'[1]Plant data'!$A$1:$AB$315,22,0)</f>
        <v>3.65E-3</v>
      </c>
      <c r="Y342" s="8">
        <f>VLOOKUP($B342,'[1]Plant data'!$A$1:$AB$315,23,0)</f>
        <v>0.182</v>
      </c>
      <c r="Z342" s="8" t="str">
        <f>VLOOKUP($B342,'[1]Plant data'!$A$1:$AB$315,24,0)</f>
        <v>NA</v>
      </c>
      <c r="AA342" s="8">
        <f>VLOOKUP($B342,'[1]Plant data'!$A$1:$AB$315,25,0)</f>
        <v>0.69899999999999995</v>
      </c>
      <c r="AB342" s="8">
        <f t="shared" si="25"/>
        <v>0.18564999999999998</v>
      </c>
    </row>
    <row r="343" spans="1:28">
      <c r="A343" s="5" t="s">
        <v>104</v>
      </c>
      <c r="B343" s="14" t="s">
        <v>97</v>
      </c>
      <c r="C343" s="56">
        <v>3</v>
      </c>
      <c r="D343" s="59">
        <v>324</v>
      </c>
      <c r="E343" s="8">
        <f>C343/324</f>
        <v>9.2592592592592587E-3</v>
      </c>
      <c r="F343" s="56">
        <v>9</v>
      </c>
      <c r="G343" s="27">
        <f>F343/C343</f>
        <v>3</v>
      </c>
      <c r="H343" s="23">
        <f t="shared" si="24"/>
        <v>2.7777777777777776E-2</v>
      </c>
      <c r="I343" t="s">
        <v>94</v>
      </c>
      <c r="J343" s="11">
        <v>343.5</v>
      </c>
      <c r="K343" s="11">
        <v>30.107272729999998</v>
      </c>
      <c r="L343" t="str">
        <f>VLOOKUP(B343,'[1]Plant data'!$A$1:$AB$315,2,0)</f>
        <v>Arecaceae</v>
      </c>
      <c r="M343" s="9">
        <f>VLOOKUP($B343,'[1]Plant data'!$A$1:$AB$315,6,0)</f>
        <v>13.294285714285715</v>
      </c>
      <c r="N343" s="9">
        <f>VLOOKUP($B343,'[1]Plant data'!$A$1:$AB$315,7,0)</f>
        <v>12.980000000000002</v>
      </c>
      <c r="O343" s="8">
        <f>VLOOKUP($B343,'[1]Plant data'!$A$1:$AB$315,10,0)</f>
        <v>1.4212800000000001</v>
      </c>
      <c r="P343" s="8">
        <f>VLOOKUP($B343,'[1]Plant data'!$A$1:$AB$315,11,0)</f>
        <v>0.46</v>
      </c>
      <c r="Q343" s="8">
        <f>VLOOKUP($B343,'[1]Plant data'!$A$1:$AB$315,12,0)</f>
        <v>1.06515</v>
      </c>
      <c r="R343" s="8">
        <f>VLOOKUP($B343,'[1]Plant data'!$A$1:$AB$315,13,0)</f>
        <v>0.32305000000000006</v>
      </c>
      <c r="S343" s="8">
        <f>VLOOKUP($B343,'[1]Plant data'!$A$1:$AB$315,14,0)</f>
        <v>0.96343333333333325</v>
      </c>
      <c r="T343" s="11">
        <f>VLOOKUP($B343,'[1]Plant data'!$A$1:$AB$315,15,0)</f>
        <v>1</v>
      </c>
      <c r="U343" s="9">
        <f>VLOOKUP($B343,'[1]Plant data'!$A$1:$AB$315,19,0)</f>
        <v>0.67774999999999996</v>
      </c>
      <c r="V343" s="8">
        <f>VLOOKUP($B343,'[1]Plant data'!$A$1:$AB$315,20,0)</f>
        <v>0.13617499999999999</v>
      </c>
      <c r="W343" s="8">
        <f>VLOOKUP($B343,'[1]Plant data'!$A$1:$AB$315,21,0)</f>
        <v>5.0733332999999999E-2</v>
      </c>
      <c r="X343" s="8">
        <f>VLOOKUP($B343,'[1]Plant data'!$A$1:$AB$315,22,0)</f>
        <v>3.65E-3</v>
      </c>
      <c r="Y343" s="8">
        <f>VLOOKUP($B343,'[1]Plant data'!$A$1:$AB$315,23,0)</f>
        <v>0.182</v>
      </c>
      <c r="Z343" s="8" t="str">
        <f>VLOOKUP($B343,'[1]Plant data'!$A$1:$AB$315,24,0)</f>
        <v>NA</v>
      </c>
      <c r="AA343" s="8">
        <f>VLOOKUP($B343,'[1]Plant data'!$A$1:$AB$315,25,0)</f>
        <v>0.69899999999999995</v>
      </c>
      <c r="AB343" s="8">
        <f t="shared" si="25"/>
        <v>0.18564999999999998</v>
      </c>
    </row>
    <row r="344" spans="1:28">
      <c r="A344" s="5" t="s">
        <v>104</v>
      </c>
      <c r="B344" s="14" t="s">
        <v>97</v>
      </c>
      <c r="C344" s="53">
        <v>1</v>
      </c>
      <c r="D344" s="11">
        <v>276</v>
      </c>
      <c r="E344" s="8">
        <f>0.032/10</f>
        <v>3.2000000000000002E-3</v>
      </c>
      <c r="F344" s="54">
        <v>8</v>
      </c>
      <c r="G344" s="9">
        <v>8</v>
      </c>
      <c r="H344" s="23">
        <f t="shared" si="24"/>
        <v>2.5600000000000001E-2</v>
      </c>
      <c r="I344" t="s">
        <v>94</v>
      </c>
      <c r="J344" s="11">
        <v>343.5</v>
      </c>
      <c r="K344" s="11">
        <v>30.107272729999998</v>
      </c>
      <c r="L344" t="str">
        <f>VLOOKUP(B344,'[1]Plant data'!$A$1:$AB$315,2,0)</f>
        <v>Arecaceae</v>
      </c>
      <c r="M344" s="9">
        <f>VLOOKUP($B344,'[1]Plant data'!$A$1:$AB$315,6,0)</f>
        <v>13.294285714285715</v>
      </c>
      <c r="N344" s="9">
        <f>VLOOKUP($B344,'[1]Plant data'!$A$1:$AB$315,7,0)</f>
        <v>12.980000000000002</v>
      </c>
      <c r="O344" s="8">
        <f>VLOOKUP($B344,'[1]Plant data'!$A$1:$AB$315,10,0)</f>
        <v>1.4212800000000001</v>
      </c>
      <c r="P344" s="8">
        <f>VLOOKUP($B344,'[1]Plant data'!$A$1:$AB$315,11,0)</f>
        <v>0.46</v>
      </c>
      <c r="Q344" s="8">
        <f>VLOOKUP($B344,'[1]Plant data'!$A$1:$AB$315,12,0)</f>
        <v>1.06515</v>
      </c>
      <c r="R344" s="8">
        <f>VLOOKUP($B344,'[1]Plant data'!$A$1:$AB$315,13,0)</f>
        <v>0.32305000000000006</v>
      </c>
      <c r="S344" s="8">
        <f>VLOOKUP($B344,'[1]Plant data'!$A$1:$AB$315,14,0)</f>
        <v>0.96343333333333325</v>
      </c>
      <c r="T344" s="11">
        <f>VLOOKUP($B344,'[1]Plant data'!$A$1:$AB$315,15,0)</f>
        <v>1</v>
      </c>
      <c r="U344" s="9">
        <f>VLOOKUP($B344,'[1]Plant data'!$A$1:$AB$315,19,0)</f>
        <v>0.67774999999999996</v>
      </c>
      <c r="V344" s="8">
        <f>VLOOKUP($B344,'[1]Plant data'!$A$1:$AB$315,20,0)</f>
        <v>0.13617499999999999</v>
      </c>
      <c r="W344" s="8">
        <f>VLOOKUP($B344,'[1]Plant data'!$A$1:$AB$315,21,0)</f>
        <v>5.0733332999999999E-2</v>
      </c>
      <c r="X344" s="8">
        <f>VLOOKUP($B344,'[1]Plant data'!$A$1:$AB$315,22,0)</f>
        <v>3.65E-3</v>
      </c>
      <c r="Y344" s="8">
        <f>VLOOKUP($B344,'[1]Plant data'!$A$1:$AB$315,23,0)</f>
        <v>0.182</v>
      </c>
      <c r="Z344" s="8" t="str">
        <f>VLOOKUP($B344,'[1]Plant data'!$A$1:$AB$315,24,0)</f>
        <v>NA</v>
      </c>
      <c r="AA344" s="8">
        <f>VLOOKUP($B344,'[1]Plant data'!$A$1:$AB$315,25,0)</f>
        <v>0.69899999999999995</v>
      </c>
      <c r="AB344" s="8">
        <f t="shared" si="25"/>
        <v>0.18564999999999998</v>
      </c>
    </row>
    <row r="345" spans="1:28">
      <c r="A345" s="5" t="s">
        <v>105</v>
      </c>
      <c r="B345" s="14" t="s">
        <v>97</v>
      </c>
      <c r="C345" s="53">
        <v>3</v>
      </c>
      <c r="D345" s="59">
        <v>33</v>
      </c>
      <c r="E345" s="8">
        <f>(C345/33)*2</f>
        <v>0.18181818181818182</v>
      </c>
      <c r="F345" s="56" t="s">
        <v>19</v>
      </c>
      <c r="G345" s="9">
        <v>10</v>
      </c>
      <c r="H345" s="23">
        <f t="shared" si="24"/>
        <v>1.8181818181818183</v>
      </c>
      <c r="I345" t="s">
        <v>94</v>
      </c>
      <c r="J345" s="11">
        <v>164</v>
      </c>
      <c r="K345" s="11">
        <v>25.039000000000001</v>
      </c>
      <c r="L345" t="str">
        <f>VLOOKUP(B345,'[1]Plant data'!$A$1:$AB$315,2,0)</f>
        <v>Arecaceae</v>
      </c>
      <c r="M345" s="9">
        <f>VLOOKUP($B345,'[1]Plant data'!$A$1:$AB$315,6,0)</f>
        <v>13.294285714285715</v>
      </c>
      <c r="N345" s="9">
        <f>VLOOKUP($B345,'[1]Plant data'!$A$1:$AB$315,7,0)</f>
        <v>12.980000000000002</v>
      </c>
      <c r="O345" s="8">
        <f>VLOOKUP($B345,'[1]Plant data'!$A$1:$AB$315,10,0)</f>
        <v>1.4212800000000001</v>
      </c>
      <c r="P345" s="8">
        <f>VLOOKUP($B345,'[1]Plant data'!$A$1:$AB$315,11,0)</f>
        <v>0.46</v>
      </c>
      <c r="Q345" s="8">
        <f>VLOOKUP($B345,'[1]Plant data'!$A$1:$AB$315,12,0)</f>
        <v>1.06515</v>
      </c>
      <c r="R345" s="8">
        <f>VLOOKUP($B345,'[1]Plant data'!$A$1:$AB$315,13,0)</f>
        <v>0.32305000000000006</v>
      </c>
      <c r="S345" s="8">
        <f>VLOOKUP($B345,'[1]Plant data'!$A$1:$AB$315,14,0)</f>
        <v>0.96343333333333325</v>
      </c>
      <c r="T345" s="11">
        <f>VLOOKUP($B345,'[1]Plant data'!$A$1:$AB$315,15,0)</f>
        <v>1</v>
      </c>
      <c r="U345" s="9">
        <f>VLOOKUP($B345,'[1]Plant data'!$A$1:$AB$315,19,0)</f>
        <v>0.67774999999999996</v>
      </c>
      <c r="V345" s="8">
        <f>VLOOKUP($B345,'[1]Plant data'!$A$1:$AB$315,20,0)</f>
        <v>0.13617499999999999</v>
      </c>
      <c r="W345" s="8">
        <f>VLOOKUP($B345,'[1]Plant data'!$A$1:$AB$315,21,0)</f>
        <v>5.0733332999999999E-2</v>
      </c>
      <c r="X345" s="8">
        <f>VLOOKUP($B345,'[1]Plant data'!$A$1:$AB$315,22,0)</f>
        <v>3.65E-3</v>
      </c>
      <c r="Y345" s="8">
        <f>VLOOKUP($B345,'[1]Plant data'!$A$1:$AB$315,23,0)</f>
        <v>0.182</v>
      </c>
      <c r="Z345" s="8" t="str">
        <f>VLOOKUP($B345,'[1]Plant data'!$A$1:$AB$315,24,0)</f>
        <v>NA</v>
      </c>
      <c r="AA345" s="8">
        <f>VLOOKUP($B345,'[1]Plant data'!$A$1:$AB$315,25,0)</f>
        <v>0.69899999999999995</v>
      </c>
      <c r="AB345" s="8">
        <f t="shared" si="25"/>
        <v>0.18564999999999998</v>
      </c>
    </row>
    <row r="346" spans="1:28">
      <c r="A346" s="5" t="s">
        <v>105</v>
      </c>
      <c r="B346" s="32" t="s">
        <v>97</v>
      </c>
      <c r="C346" s="53">
        <v>26</v>
      </c>
      <c r="D346" s="11">
        <v>276</v>
      </c>
      <c r="E346" s="8">
        <v>8.3500000000000005E-2</v>
      </c>
      <c r="F346" s="54">
        <v>166</v>
      </c>
      <c r="G346" s="9">
        <v>6.31</v>
      </c>
      <c r="H346" s="23">
        <f t="shared" si="24"/>
        <v>0.52688500000000005</v>
      </c>
      <c r="I346" t="s">
        <v>94</v>
      </c>
      <c r="J346" s="11">
        <v>164</v>
      </c>
      <c r="K346" s="11">
        <v>25.039000000000001</v>
      </c>
      <c r="L346" t="str">
        <f>VLOOKUP(B346,'[1]Plant data'!$A$1:$AB$315,2,0)</f>
        <v>Arecaceae</v>
      </c>
      <c r="M346" s="9">
        <f>VLOOKUP($B346,'[1]Plant data'!$A$1:$AB$315,6,0)</f>
        <v>13.294285714285715</v>
      </c>
      <c r="N346" s="9">
        <f>VLOOKUP($B346,'[1]Plant data'!$A$1:$AB$315,7,0)</f>
        <v>12.980000000000002</v>
      </c>
      <c r="O346" s="8">
        <f>VLOOKUP($B346,'[1]Plant data'!$A$1:$AB$315,10,0)</f>
        <v>1.4212800000000001</v>
      </c>
      <c r="P346" s="8">
        <f>VLOOKUP($B346,'[1]Plant data'!$A$1:$AB$315,11,0)</f>
        <v>0.46</v>
      </c>
      <c r="Q346" s="8">
        <f>VLOOKUP($B346,'[1]Plant data'!$A$1:$AB$315,12,0)</f>
        <v>1.06515</v>
      </c>
      <c r="R346" s="8">
        <f>VLOOKUP($B346,'[1]Plant data'!$A$1:$AB$315,13,0)</f>
        <v>0.32305000000000006</v>
      </c>
      <c r="S346" s="8">
        <f>VLOOKUP($B346,'[1]Plant data'!$A$1:$AB$315,14,0)</f>
        <v>0.96343333333333325</v>
      </c>
      <c r="T346" s="11">
        <f>VLOOKUP($B346,'[1]Plant data'!$A$1:$AB$315,15,0)</f>
        <v>1</v>
      </c>
      <c r="U346" s="9">
        <f>VLOOKUP($B346,'[1]Plant data'!$A$1:$AB$315,19,0)</f>
        <v>0.67774999999999996</v>
      </c>
      <c r="V346" s="8">
        <f>VLOOKUP($B346,'[1]Plant data'!$A$1:$AB$315,20,0)</f>
        <v>0.13617499999999999</v>
      </c>
      <c r="W346" s="8">
        <f>VLOOKUP($B346,'[1]Plant data'!$A$1:$AB$315,21,0)</f>
        <v>5.0733332999999999E-2</v>
      </c>
      <c r="X346" s="8">
        <f>VLOOKUP($B346,'[1]Plant data'!$A$1:$AB$315,22,0)</f>
        <v>3.65E-3</v>
      </c>
      <c r="Y346" s="8">
        <f>VLOOKUP($B346,'[1]Plant data'!$A$1:$AB$315,23,0)</f>
        <v>0.182</v>
      </c>
      <c r="Z346" s="8" t="str">
        <f>VLOOKUP($B346,'[1]Plant data'!$A$1:$AB$315,24,0)</f>
        <v>NA</v>
      </c>
      <c r="AA346" s="8">
        <f>VLOOKUP($B346,'[1]Plant data'!$A$1:$AB$315,25,0)</f>
        <v>0.69899999999999995</v>
      </c>
      <c r="AB346" s="8">
        <f t="shared" si="25"/>
        <v>0.18564999999999998</v>
      </c>
    </row>
    <row r="347" spans="1:28">
      <c r="A347" s="5" t="s">
        <v>105</v>
      </c>
      <c r="B347" s="32" t="s">
        <v>97</v>
      </c>
      <c r="C347" s="53" t="s">
        <v>19</v>
      </c>
      <c r="D347" s="59" t="s">
        <v>19</v>
      </c>
      <c r="E347" s="8">
        <f>0.51/10</f>
        <v>5.1000000000000004E-2</v>
      </c>
      <c r="F347" s="56" t="s">
        <v>19</v>
      </c>
      <c r="G347" s="9">
        <v>6.28</v>
      </c>
      <c r="H347" s="23">
        <f t="shared" si="24"/>
        <v>0.32028000000000001</v>
      </c>
      <c r="I347" t="s">
        <v>94</v>
      </c>
      <c r="J347" s="11">
        <v>164</v>
      </c>
      <c r="K347" s="11">
        <v>25.039000000000001</v>
      </c>
      <c r="L347" t="str">
        <f>VLOOKUP(B347,'[1]Plant data'!$A$1:$AB$315,2,0)</f>
        <v>Arecaceae</v>
      </c>
      <c r="M347" s="9">
        <f>VLOOKUP($B347,'[1]Plant data'!$A$1:$AB$315,6,0)</f>
        <v>13.294285714285715</v>
      </c>
      <c r="N347" s="9">
        <f>VLOOKUP($B347,'[1]Plant data'!$A$1:$AB$315,7,0)</f>
        <v>12.980000000000002</v>
      </c>
      <c r="O347" s="8">
        <f>VLOOKUP($B347,'[1]Plant data'!$A$1:$AB$315,10,0)</f>
        <v>1.4212800000000001</v>
      </c>
      <c r="P347" s="8">
        <f>VLOOKUP($B347,'[1]Plant data'!$A$1:$AB$315,11,0)</f>
        <v>0.46</v>
      </c>
      <c r="Q347" s="8">
        <f>VLOOKUP($B347,'[1]Plant data'!$A$1:$AB$315,12,0)</f>
        <v>1.06515</v>
      </c>
      <c r="R347" s="8">
        <f>VLOOKUP($B347,'[1]Plant data'!$A$1:$AB$315,13,0)</f>
        <v>0.32305000000000006</v>
      </c>
      <c r="S347" s="8">
        <f>VLOOKUP($B347,'[1]Plant data'!$A$1:$AB$315,14,0)</f>
        <v>0.96343333333333325</v>
      </c>
      <c r="T347" s="11">
        <f>VLOOKUP($B347,'[1]Plant data'!$A$1:$AB$315,15,0)</f>
        <v>1</v>
      </c>
      <c r="U347" s="9">
        <f>VLOOKUP($B347,'[1]Plant data'!$A$1:$AB$315,19,0)</f>
        <v>0.67774999999999996</v>
      </c>
      <c r="V347" s="8">
        <f>VLOOKUP($B347,'[1]Plant data'!$A$1:$AB$315,20,0)</f>
        <v>0.13617499999999999</v>
      </c>
      <c r="W347" s="8">
        <f>VLOOKUP($B347,'[1]Plant data'!$A$1:$AB$315,21,0)</f>
        <v>5.0733332999999999E-2</v>
      </c>
      <c r="X347" s="8">
        <f>VLOOKUP($B347,'[1]Plant data'!$A$1:$AB$315,22,0)</f>
        <v>3.65E-3</v>
      </c>
      <c r="Y347" s="8">
        <f>VLOOKUP($B347,'[1]Plant data'!$A$1:$AB$315,23,0)</f>
        <v>0.182</v>
      </c>
      <c r="Z347" s="8" t="str">
        <f>VLOOKUP($B347,'[1]Plant data'!$A$1:$AB$315,24,0)</f>
        <v>NA</v>
      </c>
      <c r="AA347" s="8">
        <f>VLOOKUP($B347,'[1]Plant data'!$A$1:$AB$315,25,0)</f>
        <v>0.69899999999999995</v>
      </c>
      <c r="AB347" s="8">
        <f t="shared" si="25"/>
        <v>0.18564999999999998</v>
      </c>
    </row>
    <row r="348" spans="1:28">
      <c r="A348" s="5" t="s">
        <v>105</v>
      </c>
      <c r="B348" s="32" t="s">
        <v>97</v>
      </c>
      <c r="C348" s="53">
        <v>6</v>
      </c>
      <c r="D348" s="59">
        <v>330</v>
      </c>
      <c r="E348" s="8">
        <f>(C348/330)*1.5</f>
        <v>2.7272727272727271E-2</v>
      </c>
      <c r="F348" s="56" t="s">
        <v>19</v>
      </c>
      <c r="G348" s="9">
        <v>9.8000000000000007</v>
      </c>
      <c r="H348" s="23">
        <f t="shared" ref="H348:H379" si="26">E348*G348</f>
        <v>0.26727272727272727</v>
      </c>
      <c r="I348" t="s">
        <v>94</v>
      </c>
      <c r="J348" s="11">
        <v>164</v>
      </c>
      <c r="K348" s="11">
        <v>25.039000000000001</v>
      </c>
      <c r="L348" t="str">
        <f>VLOOKUP(B348,'[1]Plant data'!$A$1:$AB$315,2,0)</f>
        <v>Arecaceae</v>
      </c>
      <c r="M348" s="9">
        <f>VLOOKUP($B348,'[1]Plant data'!$A$1:$AB$315,6,0)</f>
        <v>13.294285714285715</v>
      </c>
      <c r="N348" s="9">
        <f>VLOOKUP($B348,'[1]Plant data'!$A$1:$AB$315,7,0)</f>
        <v>12.980000000000002</v>
      </c>
      <c r="O348" s="8">
        <f>VLOOKUP($B348,'[1]Plant data'!$A$1:$AB$315,10,0)</f>
        <v>1.4212800000000001</v>
      </c>
      <c r="P348" s="8">
        <f>VLOOKUP($B348,'[1]Plant data'!$A$1:$AB$315,11,0)</f>
        <v>0.46</v>
      </c>
      <c r="Q348" s="8">
        <f>VLOOKUP($B348,'[1]Plant data'!$A$1:$AB$315,12,0)</f>
        <v>1.06515</v>
      </c>
      <c r="R348" s="8">
        <f>VLOOKUP($B348,'[1]Plant data'!$A$1:$AB$315,13,0)</f>
        <v>0.32305000000000006</v>
      </c>
      <c r="S348" s="8">
        <f>VLOOKUP($B348,'[1]Plant data'!$A$1:$AB$315,14,0)</f>
        <v>0.96343333333333325</v>
      </c>
      <c r="T348" s="11">
        <f>VLOOKUP($B348,'[1]Plant data'!$A$1:$AB$315,15,0)</f>
        <v>1</v>
      </c>
      <c r="U348" s="9">
        <f>VLOOKUP($B348,'[1]Plant data'!$A$1:$AB$315,19,0)</f>
        <v>0.67774999999999996</v>
      </c>
      <c r="V348" s="8">
        <f>VLOOKUP($B348,'[1]Plant data'!$A$1:$AB$315,20,0)</f>
        <v>0.13617499999999999</v>
      </c>
      <c r="W348" s="8">
        <f>VLOOKUP($B348,'[1]Plant data'!$A$1:$AB$315,21,0)</f>
        <v>5.0733332999999999E-2</v>
      </c>
      <c r="X348" s="8">
        <f>VLOOKUP($B348,'[1]Plant data'!$A$1:$AB$315,22,0)</f>
        <v>3.65E-3</v>
      </c>
      <c r="Y348" s="8">
        <f>VLOOKUP($B348,'[1]Plant data'!$A$1:$AB$315,23,0)</f>
        <v>0.182</v>
      </c>
      <c r="Z348" s="8" t="str">
        <f>VLOOKUP($B348,'[1]Plant data'!$A$1:$AB$315,24,0)</f>
        <v>NA</v>
      </c>
      <c r="AA348" s="8">
        <f>VLOOKUP($B348,'[1]Plant data'!$A$1:$AB$315,25,0)</f>
        <v>0.69899999999999995</v>
      </c>
      <c r="AB348" s="8">
        <f t="shared" si="25"/>
        <v>0.18564999999999998</v>
      </c>
    </row>
    <row r="349" spans="1:28">
      <c r="A349" s="5" t="s">
        <v>105</v>
      </c>
      <c r="B349" s="32" t="s">
        <v>97</v>
      </c>
      <c r="C349" s="56">
        <v>2</v>
      </c>
      <c r="D349" s="59">
        <v>190</v>
      </c>
      <c r="E349" s="8">
        <f>C349/190</f>
        <v>1.0526315789473684E-2</v>
      </c>
      <c r="F349" s="56">
        <v>27</v>
      </c>
      <c r="G349" s="9">
        <f>F349/C349</f>
        <v>13.5</v>
      </c>
      <c r="H349" s="23">
        <f t="shared" si="26"/>
        <v>0.14210526315789473</v>
      </c>
      <c r="I349" t="s">
        <v>94</v>
      </c>
      <c r="J349" s="11">
        <v>164</v>
      </c>
      <c r="K349" s="11">
        <v>25.039000000000001</v>
      </c>
      <c r="L349" t="str">
        <f>VLOOKUP(B349,'[1]Plant data'!$A$1:$AB$315,2,0)</f>
        <v>Arecaceae</v>
      </c>
      <c r="M349" s="9">
        <f>VLOOKUP($B349,'[1]Plant data'!$A$1:$AB$315,6,0)</f>
        <v>13.294285714285715</v>
      </c>
      <c r="N349" s="9">
        <f>VLOOKUP($B349,'[1]Plant data'!$A$1:$AB$315,7,0)</f>
        <v>12.980000000000002</v>
      </c>
      <c r="O349" s="8">
        <f>VLOOKUP($B349,'[1]Plant data'!$A$1:$AB$315,10,0)</f>
        <v>1.4212800000000001</v>
      </c>
      <c r="P349" s="8">
        <f>VLOOKUP($B349,'[1]Plant data'!$A$1:$AB$315,11,0)</f>
        <v>0.46</v>
      </c>
      <c r="Q349" s="8">
        <f>VLOOKUP($B349,'[1]Plant data'!$A$1:$AB$315,12,0)</f>
        <v>1.06515</v>
      </c>
      <c r="R349" s="8">
        <f>VLOOKUP($B349,'[1]Plant data'!$A$1:$AB$315,13,0)</f>
        <v>0.32305000000000006</v>
      </c>
      <c r="S349" s="8">
        <f>VLOOKUP($B349,'[1]Plant data'!$A$1:$AB$315,14,0)</f>
        <v>0.96343333333333325</v>
      </c>
      <c r="T349" s="11">
        <f>VLOOKUP($B349,'[1]Plant data'!$A$1:$AB$315,15,0)</f>
        <v>1</v>
      </c>
      <c r="U349" s="9">
        <f>VLOOKUP($B349,'[1]Plant data'!$A$1:$AB$315,19,0)</f>
        <v>0.67774999999999996</v>
      </c>
      <c r="V349" s="8">
        <f>VLOOKUP($B349,'[1]Plant data'!$A$1:$AB$315,20,0)</f>
        <v>0.13617499999999999</v>
      </c>
      <c r="W349" s="8">
        <f>VLOOKUP($B349,'[1]Plant data'!$A$1:$AB$315,21,0)</f>
        <v>5.0733332999999999E-2</v>
      </c>
      <c r="X349" s="8">
        <f>VLOOKUP($B349,'[1]Plant data'!$A$1:$AB$315,22,0)</f>
        <v>3.65E-3</v>
      </c>
      <c r="Y349" s="8">
        <f>VLOOKUP($B349,'[1]Plant data'!$A$1:$AB$315,23,0)</f>
        <v>0.182</v>
      </c>
      <c r="Z349" s="8" t="str">
        <f>VLOOKUP($B349,'[1]Plant data'!$A$1:$AB$315,24,0)</f>
        <v>NA</v>
      </c>
      <c r="AA349" s="8">
        <f>VLOOKUP($B349,'[1]Plant data'!$A$1:$AB$315,25,0)</f>
        <v>0.69899999999999995</v>
      </c>
      <c r="AB349" s="8">
        <f t="shared" si="25"/>
        <v>0.18564999999999998</v>
      </c>
    </row>
    <row r="350" spans="1:28">
      <c r="A350" s="5" t="s">
        <v>105</v>
      </c>
      <c r="B350" s="32" t="s">
        <v>97</v>
      </c>
      <c r="C350" s="53">
        <v>6</v>
      </c>
      <c r="D350" s="11">
        <v>750</v>
      </c>
      <c r="E350" s="8">
        <f>C350/750</f>
        <v>8.0000000000000002E-3</v>
      </c>
      <c r="F350" s="56" t="s">
        <v>19</v>
      </c>
      <c r="G350" s="41">
        <v>7.4271428571428588</v>
      </c>
      <c r="H350" s="23">
        <f t="shared" si="26"/>
        <v>5.941714285714287E-2</v>
      </c>
      <c r="I350" t="s">
        <v>94</v>
      </c>
      <c r="J350" s="11">
        <v>164</v>
      </c>
      <c r="K350" s="11">
        <v>25.039000000000001</v>
      </c>
      <c r="L350" t="str">
        <f>VLOOKUP(B350,'[1]Plant data'!$A$1:$AB$315,2,0)</f>
        <v>Arecaceae</v>
      </c>
      <c r="M350" s="9">
        <f>VLOOKUP($B350,'[1]Plant data'!$A$1:$AB$315,6,0)</f>
        <v>13.294285714285715</v>
      </c>
      <c r="N350" s="9">
        <f>VLOOKUP($B350,'[1]Plant data'!$A$1:$AB$315,7,0)</f>
        <v>12.980000000000002</v>
      </c>
      <c r="O350" s="8">
        <f>VLOOKUP($B350,'[1]Plant data'!$A$1:$AB$315,10,0)</f>
        <v>1.4212800000000001</v>
      </c>
      <c r="P350" s="8">
        <f>VLOOKUP($B350,'[1]Plant data'!$A$1:$AB$315,11,0)</f>
        <v>0.46</v>
      </c>
      <c r="Q350" s="8">
        <f>VLOOKUP($B350,'[1]Plant data'!$A$1:$AB$315,12,0)</f>
        <v>1.06515</v>
      </c>
      <c r="R350" s="8">
        <f>VLOOKUP($B350,'[1]Plant data'!$A$1:$AB$315,13,0)</f>
        <v>0.32305000000000006</v>
      </c>
      <c r="S350" s="8">
        <f>VLOOKUP($B350,'[1]Plant data'!$A$1:$AB$315,14,0)</f>
        <v>0.96343333333333325</v>
      </c>
      <c r="T350" s="11">
        <f>VLOOKUP($B350,'[1]Plant data'!$A$1:$AB$315,15,0)</f>
        <v>1</v>
      </c>
      <c r="U350" s="9">
        <f>VLOOKUP($B350,'[1]Plant data'!$A$1:$AB$315,19,0)</f>
        <v>0.67774999999999996</v>
      </c>
      <c r="V350" s="8">
        <f>VLOOKUP($B350,'[1]Plant data'!$A$1:$AB$315,20,0)</f>
        <v>0.13617499999999999</v>
      </c>
      <c r="W350" s="8">
        <f>VLOOKUP($B350,'[1]Plant data'!$A$1:$AB$315,21,0)</f>
        <v>5.0733332999999999E-2</v>
      </c>
      <c r="X350" s="8">
        <f>VLOOKUP($B350,'[1]Plant data'!$A$1:$AB$315,22,0)</f>
        <v>3.65E-3</v>
      </c>
      <c r="Y350" s="8">
        <f>VLOOKUP($B350,'[1]Plant data'!$A$1:$AB$315,23,0)</f>
        <v>0.182</v>
      </c>
      <c r="Z350" s="8" t="str">
        <f>VLOOKUP($B350,'[1]Plant data'!$A$1:$AB$315,24,0)</f>
        <v>NA</v>
      </c>
      <c r="AA350" s="8">
        <f>VLOOKUP($B350,'[1]Plant data'!$A$1:$AB$315,25,0)</f>
        <v>0.69899999999999995</v>
      </c>
      <c r="AB350" s="8">
        <f t="shared" si="25"/>
        <v>0.18564999999999998</v>
      </c>
    </row>
    <row r="351" spans="1:28">
      <c r="A351" s="5" t="s">
        <v>105</v>
      </c>
      <c r="B351" s="32" t="s">
        <v>97</v>
      </c>
      <c r="C351" s="56">
        <v>4</v>
      </c>
      <c r="D351" s="59">
        <v>324</v>
      </c>
      <c r="E351" s="8">
        <f>C351/324</f>
        <v>1.2345679012345678E-2</v>
      </c>
      <c r="F351" s="56">
        <v>18</v>
      </c>
      <c r="G351" s="9">
        <f>F351/C351</f>
        <v>4.5</v>
      </c>
      <c r="H351" s="23">
        <f t="shared" si="26"/>
        <v>5.5555555555555552E-2</v>
      </c>
      <c r="I351" t="s">
        <v>94</v>
      </c>
      <c r="J351" s="11">
        <v>164</v>
      </c>
      <c r="K351" s="11">
        <v>25.039000000000001</v>
      </c>
      <c r="L351" t="str">
        <f>VLOOKUP(B351,'[1]Plant data'!$A$1:$AB$315,2,0)</f>
        <v>Arecaceae</v>
      </c>
      <c r="M351" s="9">
        <f>VLOOKUP($B351,'[1]Plant data'!$A$1:$AB$315,6,0)</f>
        <v>13.294285714285715</v>
      </c>
      <c r="N351" s="9">
        <f>VLOOKUP($B351,'[1]Plant data'!$A$1:$AB$315,7,0)</f>
        <v>12.980000000000002</v>
      </c>
      <c r="O351" s="8">
        <f>VLOOKUP($B351,'[1]Plant data'!$A$1:$AB$315,10,0)</f>
        <v>1.4212800000000001</v>
      </c>
      <c r="P351" s="8">
        <f>VLOOKUP($B351,'[1]Plant data'!$A$1:$AB$315,11,0)</f>
        <v>0.46</v>
      </c>
      <c r="Q351" s="8">
        <f>VLOOKUP($B351,'[1]Plant data'!$A$1:$AB$315,12,0)</f>
        <v>1.06515</v>
      </c>
      <c r="R351" s="8">
        <f>VLOOKUP($B351,'[1]Plant data'!$A$1:$AB$315,13,0)</f>
        <v>0.32305000000000006</v>
      </c>
      <c r="S351" s="8">
        <f>VLOOKUP($B351,'[1]Plant data'!$A$1:$AB$315,14,0)</f>
        <v>0.96343333333333325</v>
      </c>
      <c r="T351" s="11">
        <f>VLOOKUP($B351,'[1]Plant data'!$A$1:$AB$315,15,0)</f>
        <v>1</v>
      </c>
      <c r="U351" s="9">
        <f>VLOOKUP($B351,'[1]Plant data'!$A$1:$AB$315,19,0)</f>
        <v>0.67774999999999996</v>
      </c>
      <c r="V351" s="8">
        <f>VLOOKUP($B351,'[1]Plant data'!$A$1:$AB$315,20,0)</f>
        <v>0.13617499999999999</v>
      </c>
      <c r="W351" s="8">
        <f>VLOOKUP($B351,'[1]Plant data'!$A$1:$AB$315,21,0)</f>
        <v>5.0733332999999999E-2</v>
      </c>
      <c r="X351" s="8">
        <f>VLOOKUP($B351,'[1]Plant data'!$A$1:$AB$315,22,0)</f>
        <v>3.65E-3</v>
      </c>
      <c r="Y351" s="8">
        <f>VLOOKUP($B351,'[1]Plant data'!$A$1:$AB$315,23,0)</f>
        <v>0.182</v>
      </c>
      <c r="Z351" s="8" t="str">
        <f>VLOOKUP($B351,'[1]Plant data'!$A$1:$AB$315,24,0)</f>
        <v>NA</v>
      </c>
      <c r="AA351" s="8">
        <f>VLOOKUP($B351,'[1]Plant data'!$A$1:$AB$315,25,0)</f>
        <v>0.69899999999999995</v>
      </c>
      <c r="AB351" s="8">
        <f t="shared" si="25"/>
        <v>0.18564999999999998</v>
      </c>
    </row>
    <row r="352" spans="1:28">
      <c r="A352" s="5" t="s">
        <v>105</v>
      </c>
      <c r="B352" s="32" t="s">
        <v>97</v>
      </c>
      <c r="C352" s="56">
        <v>5</v>
      </c>
      <c r="D352" s="59">
        <v>324</v>
      </c>
      <c r="E352" s="8">
        <f>C352/324</f>
        <v>1.5432098765432098E-2</v>
      </c>
      <c r="F352" s="54">
        <v>8</v>
      </c>
      <c r="G352" s="9">
        <f>F352/C352</f>
        <v>1.6</v>
      </c>
      <c r="H352" s="23">
        <f t="shared" si="26"/>
        <v>2.4691358024691357E-2</v>
      </c>
      <c r="I352" t="s">
        <v>94</v>
      </c>
      <c r="J352" s="11">
        <v>164</v>
      </c>
      <c r="K352" s="11">
        <v>25.039000000000001</v>
      </c>
      <c r="L352" t="str">
        <f>VLOOKUP(B352,'[1]Plant data'!$A$1:$AB$315,2,0)</f>
        <v>Arecaceae</v>
      </c>
      <c r="M352" s="9">
        <f>VLOOKUP($B352,'[1]Plant data'!$A$1:$AB$315,6,0)</f>
        <v>13.294285714285715</v>
      </c>
      <c r="N352" s="9">
        <f>VLOOKUP($B352,'[1]Plant data'!$A$1:$AB$315,7,0)</f>
        <v>12.980000000000002</v>
      </c>
      <c r="O352" s="8">
        <f>VLOOKUP($B352,'[1]Plant data'!$A$1:$AB$315,10,0)</f>
        <v>1.4212800000000001</v>
      </c>
      <c r="P352" s="8">
        <f>VLOOKUP($B352,'[1]Plant data'!$A$1:$AB$315,11,0)</f>
        <v>0.46</v>
      </c>
      <c r="Q352" s="8">
        <f>VLOOKUP($B352,'[1]Plant data'!$A$1:$AB$315,12,0)</f>
        <v>1.06515</v>
      </c>
      <c r="R352" s="8">
        <f>VLOOKUP($B352,'[1]Plant data'!$A$1:$AB$315,13,0)</f>
        <v>0.32305000000000006</v>
      </c>
      <c r="S352" s="8">
        <f>VLOOKUP($B352,'[1]Plant data'!$A$1:$AB$315,14,0)</f>
        <v>0.96343333333333325</v>
      </c>
      <c r="T352" s="11">
        <f>VLOOKUP($B352,'[1]Plant data'!$A$1:$AB$315,15,0)</f>
        <v>1</v>
      </c>
      <c r="U352" s="9">
        <f>VLOOKUP($B352,'[1]Plant data'!$A$1:$AB$315,19,0)</f>
        <v>0.67774999999999996</v>
      </c>
      <c r="V352" s="8">
        <f>VLOOKUP($B352,'[1]Plant data'!$A$1:$AB$315,20,0)</f>
        <v>0.13617499999999999</v>
      </c>
      <c r="W352" s="8">
        <f>VLOOKUP($B352,'[1]Plant data'!$A$1:$AB$315,21,0)</f>
        <v>5.0733332999999999E-2</v>
      </c>
      <c r="X352" s="8">
        <f>VLOOKUP($B352,'[1]Plant data'!$A$1:$AB$315,22,0)</f>
        <v>3.65E-3</v>
      </c>
      <c r="Y352" s="8">
        <f>VLOOKUP($B352,'[1]Plant data'!$A$1:$AB$315,23,0)</f>
        <v>0.182</v>
      </c>
      <c r="Z352" s="8" t="str">
        <f>VLOOKUP($B352,'[1]Plant data'!$A$1:$AB$315,24,0)</f>
        <v>NA</v>
      </c>
      <c r="AA352" s="8">
        <f>VLOOKUP($B352,'[1]Plant data'!$A$1:$AB$315,25,0)</f>
        <v>0.69899999999999995</v>
      </c>
      <c r="AB352" s="8">
        <f t="shared" si="25"/>
        <v>0.18564999999999998</v>
      </c>
    </row>
    <row r="353" spans="1:28">
      <c r="A353" s="5" t="s">
        <v>32</v>
      </c>
      <c r="B353" s="32" t="s">
        <v>97</v>
      </c>
      <c r="C353" s="53">
        <v>2</v>
      </c>
      <c r="D353" s="59">
        <v>324</v>
      </c>
      <c r="E353" s="8">
        <f>C353/324</f>
        <v>6.1728395061728392E-3</v>
      </c>
      <c r="F353" s="54" t="s">
        <v>19</v>
      </c>
      <c r="G353" s="41">
        <v>1.1400000000000001</v>
      </c>
      <c r="H353" s="23">
        <f t="shared" si="26"/>
        <v>7.0370370370370378E-3</v>
      </c>
      <c r="I353" t="s">
        <v>30</v>
      </c>
      <c r="J353" s="11">
        <v>18</v>
      </c>
      <c r="K353" s="11">
        <v>5.1684999999999999</v>
      </c>
      <c r="L353" t="str">
        <f>VLOOKUP(B353,'[1]Plant data'!$A$1:$AB$315,2,0)</f>
        <v>Arecaceae</v>
      </c>
      <c r="M353" s="9">
        <f>VLOOKUP($B353,'[1]Plant data'!$A$1:$AB$315,6,0)</f>
        <v>13.294285714285715</v>
      </c>
      <c r="N353" s="9">
        <f>VLOOKUP($B353,'[1]Plant data'!$A$1:$AB$315,7,0)</f>
        <v>12.980000000000002</v>
      </c>
      <c r="O353" s="8">
        <f>VLOOKUP($B353,'[1]Plant data'!$A$1:$AB$315,10,0)</f>
        <v>1.4212800000000001</v>
      </c>
      <c r="P353" s="8">
        <f>VLOOKUP($B353,'[1]Plant data'!$A$1:$AB$315,11,0)</f>
        <v>0.46</v>
      </c>
      <c r="Q353" s="8">
        <f>VLOOKUP($B353,'[1]Plant data'!$A$1:$AB$315,12,0)</f>
        <v>1.06515</v>
      </c>
      <c r="R353" s="8">
        <f>VLOOKUP($B353,'[1]Plant data'!$A$1:$AB$315,13,0)</f>
        <v>0.32305000000000006</v>
      </c>
      <c r="S353" s="8">
        <f>VLOOKUP($B353,'[1]Plant data'!$A$1:$AB$315,14,0)</f>
        <v>0.96343333333333325</v>
      </c>
      <c r="T353" s="11">
        <f>VLOOKUP($B353,'[1]Plant data'!$A$1:$AB$315,15,0)</f>
        <v>1</v>
      </c>
      <c r="U353" s="9">
        <f>VLOOKUP($B353,'[1]Plant data'!$A$1:$AB$315,19,0)</f>
        <v>0.67774999999999996</v>
      </c>
      <c r="V353" s="8">
        <f>VLOOKUP($B353,'[1]Plant data'!$A$1:$AB$315,20,0)</f>
        <v>0.13617499999999999</v>
      </c>
      <c r="W353" s="8">
        <f>VLOOKUP($B353,'[1]Plant data'!$A$1:$AB$315,21,0)</f>
        <v>5.0733332999999999E-2</v>
      </c>
      <c r="X353" s="8">
        <f>VLOOKUP($B353,'[1]Plant data'!$A$1:$AB$315,22,0)</f>
        <v>3.65E-3</v>
      </c>
      <c r="Y353" s="8">
        <f>VLOOKUP($B353,'[1]Plant data'!$A$1:$AB$315,23,0)</f>
        <v>0.182</v>
      </c>
      <c r="Z353" s="8" t="str">
        <f>VLOOKUP($B353,'[1]Plant data'!$A$1:$AB$315,24,0)</f>
        <v>NA</v>
      </c>
      <c r="AA353" s="8">
        <f>VLOOKUP($B353,'[1]Plant data'!$A$1:$AB$315,25,0)</f>
        <v>0.69899999999999995</v>
      </c>
      <c r="AB353" s="8">
        <f t="shared" si="25"/>
        <v>0.18564999999999998</v>
      </c>
    </row>
    <row r="354" spans="1:28">
      <c r="A354" s="5" t="s">
        <v>62</v>
      </c>
      <c r="B354" s="33" t="s">
        <v>97</v>
      </c>
      <c r="C354" s="53">
        <v>5</v>
      </c>
      <c r="D354" s="11">
        <v>276</v>
      </c>
      <c r="E354" s="8">
        <v>1.61E-2</v>
      </c>
      <c r="F354" s="54">
        <v>6</v>
      </c>
      <c r="G354" s="9">
        <v>1.2</v>
      </c>
      <c r="H354" s="23">
        <f t="shared" si="26"/>
        <v>1.932E-2</v>
      </c>
      <c r="I354" t="s">
        <v>30</v>
      </c>
      <c r="J354" s="11">
        <v>18.7</v>
      </c>
      <c r="K354" s="11">
        <v>6.1185714290000002</v>
      </c>
      <c r="L354" t="str">
        <f>VLOOKUP(B354,'[1]Plant data'!$A$1:$AB$315,2,0)</f>
        <v>Arecaceae</v>
      </c>
      <c r="M354" s="9">
        <f>VLOOKUP($B354,'[1]Plant data'!$A$1:$AB$315,6,0)</f>
        <v>13.294285714285715</v>
      </c>
      <c r="N354" s="9">
        <f>VLOOKUP($B354,'[1]Plant data'!$A$1:$AB$315,7,0)</f>
        <v>12.980000000000002</v>
      </c>
      <c r="O354" s="8">
        <f>VLOOKUP($B354,'[1]Plant data'!$A$1:$AB$315,10,0)</f>
        <v>1.4212800000000001</v>
      </c>
      <c r="P354" s="8">
        <f>VLOOKUP($B354,'[1]Plant data'!$A$1:$AB$315,11,0)</f>
        <v>0.46</v>
      </c>
      <c r="Q354" s="8">
        <f>VLOOKUP($B354,'[1]Plant data'!$A$1:$AB$315,12,0)</f>
        <v>1.06515</v>
      </c>
      <c r="R354" s="8">
        <f>VLOOKUP($B354,'[1]Plant data'!$A$1:$AB$315,13,0)</f>
        <v>0.32305000000000006</v>
      </c>
      <c r="S354" s="8">
        <f>VLOOKUP($B354,'[1]Plant data'!$A$1:$AB$315,14,0)</f>
        <v>0.96343333333333325</v>
      </c>
      <c r="T354" s="11">
        <f>VLOOKUP($B354,'[1]Plant data'!$A$1:$AB$315,15,0)</f>
        <v>1</v>
      </c>
      <c r="U354" s="9">
        <f>VLOOKUP($B354,'[1]Plant data'!$A$1:$AB$315,19,0)</f>
        <v>0.67774999999999996</v>
      </c>
      <c r="V354" s="8">
        <f>VLOOKUP($B354,'[1]Plant data'!$A$1:$AB$315,20,0)</f>
        <v>0.13617499999999999</v>
      </c>
      <c r="W354" s="8">
        <f>VLOOKUP($B354,'[1]Plant data'!$A$1:$AB$315,21,0)</f>
        <v>5.0733332999999999E-2</v>
      </c>
      <c r="X354" s="8">
        <f>VLOOKUP($B354,'[1]Plant data'!$A$1:$AB$315,22,0)</f>
        <v>3.65E-3</v>
      </c>
      <c r="Y354" s="8">
        <f>VLOOKUP($B354,'[1]Plant data'!$A$1:$AB$315,23,0)</f>
        <v>0.182</v>
      </c>
      <c r="Z354" s="8" t="str">
        <f>VLOOKUP($B354,'[1]Plant data'!$A$1:$AB$315,24,0)</f>
        <v>NA</v>
      </c>
      <c r="AA354" s="8">
        <f>VLOOKUP($B354,'[1]Plant data'!$A$1:$AB$315,25,0)</f>
        <v>0.69899999999999995</v>
      </c>
      <c r="AB354" s="8">
        <f t="shared" si="25"/>
        <v>0.18564999999999998</v>
      </c>
    </row>
    <row r="355" spans="1:28">
      <c r="A355" s="5" t="s">
        <v>62</v>
      </c>
      <c r="B355" s="33" t="s">
        <v>97</v>
      </c>
      <c r="C355" s="56" t="s">
        <v>19</v>
      </c>
      <c r="D355" s="59" t="s">
        <v>19</v>
      </c>
      <c r="E355" s="8">
        <v>1.6E-2</v>
      </c>
      <c r="F355" s="54" t="s">
        <v>19</v>
      </c>
      <c r="G355" s="9">
        <v>1.08</v>
      </c>
      <c r="H355" s="23">
        <f t="shared" si="26"/>
        <v>1.728E-2</v>
      </c>
      <c r="I355" t="s">
        <v>30</v>
      </c>
      <c r="J355" s="11">
        <v>18.7</v>
      </c>
      <c r="K355" s="11">
        <v>6.1185714290000002</v>
      </c>
      <c r="L355" t="str">
        <f>VLOOKUP(B355,'[1]Plant data'!$A$1:$AB$315,2,0)</f>
        <v>Arecaceae</v>
      </c>
      <c r="M355" s="9">
        <f>VLOOKUP($B355,'[1]Plant data'!$A$1:$AB$315,6,0)</f>
        <v>13.294285714285715</v>
      </c>
      <c r="N355" s="9">
        <f>VLOOKUP($B355,'[1]Plant data'!$A$1:$AB$315,7,0)</f>
        <v>12.980000000000002</v>
      </c>
      <c r="O355" s="8">
        <f>VLOOKUP($B355,'[1]Plant data'!$A$1:$AB$315,10,0)</f>
        <v>1.4212800000000001</v>
      </c>
      <c r="P355" s="8">
        <f>VLOOKUP($B355,'[1]Plant data'!$A$1:$AB$315,11,0)</f>
        <v>0.46</v>
      </c>
      <c r="Q355" s="8">
        <f>VLOOKUP($B355,'[1]Plant data'!$A$1:$AB$315,12,0)</f>
        <v>1.06515</v>
      </c>
      <c r="R355" s="8">
        <f>VLOOKUP($B355,'[1]Plant data'!$A$1:$AB$315,13,0)</f>
        <v>0.32305000000000006</v>
      </c>
      <c r="S355" s="8">
        <f>VLOOKUP($B355,'[1]Plant data'!$A$1:$AB$315,14,0)</f>
        <v>0.96343333333333325</v>
      </c>
      <c r="T355" s="11">
        <f>VLOOKUP($B355,'[1]Plant data'!$A$1:$AB$315,15,0)</f>
        <v>1</v>
      </c>
      <c r="U355" s="9">
        <f>VLOOKUP($B355,'[1]Plant data'!$A$1:$AB$315,19,0)</f>
        <v>0.67774999999999996</v>
      </c>
      <c r="V355" s="8">
        <f>VLOOKUP($B355,'[1]Plant data'!$A$1:$AB$315,20,0)</f>
        <v>0.13617499999999999</v>
      </c>
      <c r="W355" s="8">
        <f>VLOOKUP($B355,'[1]Plant data'!$A$1:$AB$315,21,0)</f>
        <v>5.0733332999999999E-2</v>
      </c>
      <c r="X355" s="8">
        <f>VLOOKUP($B355,'[1]Plant data'!$A$1:$AB$315,22,0)</f>
        <v>3.65E-3</v>
      </c>
      <c r="Y355" s="8">
        <f>VLOOKUP($B355,'[1]Plant data'!$A$1:$AB$315,23,0)</f>
        <v>0.182</v>
      </c>
      <c r="Z355" s="8" t="str">
        <f>VLOOKUP($B355,'[1]Plant data'!$A$1:$AB$315,24,0)</f>
        <v>NA</v>
      </c>
      <c r="AA355" s="8">
        <f>VLOOKUP($B355,'[1]Plant data'!$A$1:$AB$315,25,0)</f>
        <v>0.69899999999999995</v>
      </c>
      <c r="AB355" s="8">
        <f t="shared" si="25"/>
        <v>0.18564999999999998</v>
      </c>
    </row>
    <row r="356" spans="1:28">
      <c r="A356" s="5" t="s">
        <v>62</v>
      </c>
      <c r="B356" s="33" t="s">
        <v>97</v>
      </c>
      <c r="C356" s="56">
        <v>2</v>
      </c>
      <c r="D356" s="59">
        <v>324</v>
      </c>
      <c r="E356" s="8">
        <f>C356/324</f>
        <v>6.1728395061728392E-3</v>
      </c>
      <c r="F356" s="54" t="s">
        <v>19</v>
      </c>
      <c r="G356" s="41">
        <v>1.1400000000000001</v>
      </c>
      <c r="H356" s="23">
        <f t="shared" si="26"/>
        <v>7.0370370370370378E-3</v>
      </c>
      <c r="I356" t="s">
        <v>30</v>
      </c>
      <c r="J356" s="11">
        <v>18.7</v>
      </c>
      <c r="K356" s="11">
        <v>6.1185714290000002</v>
      </c>
      <c r="L356" t="str">
        <f>VLOOKUP(B356,'[1]Plant data'!$A$1:$AB$315,2,0)</f>
        <v>Arecaceae</v>
      </c>
      <c r="M356" s="9">
        <f>VLOOKUP($B356,'[1]Plant data'!$A$1:$AB$315,6,0)</f>
        <v>13.294285714285715</v>
      </c>
      <c r="N356" s="9">
        <f>VLOOKUP($B356,'[1]Plant data'!$A$1:$AB$315,7,0)</f>
        <v>12.980000000000002</v>
      </c>
      <c r="O356" s="8">
        <f>VLOOKUP($B356,'[1]Plant data'!$A$1:$AB$315,10,0)</f>
        <v>1.4212800000000001</v>
      </c>
      <c r="P356" s="8">
        <f>VLOOKUP($B356,'[1]Plant data'!$A$1:$AB$315,11,0)</f>
        <v>0.46</v>
      </c>
      <c r="Q356" s="8">
        <f>VLOOKUP($B356,'[1]Plant data'!$A$1:$AB$315,12,0)</f>
        <v>1.06515</v>
      </c>
      <c r="R356" s="8">
        <f>VLOOKUP($B356,'[1]Plant data'!$A$1:$AB$315,13,0)</f>
        <v>0.32305000000000006</v>
      </c>
      <c r="S356" s="8">
        <f>VLOOKUP($B356,'[1]Plant data'!$A$1:$AB$315,14,0)</f>
        <v>0.96343333333333325</v>
      </c>
      <c r="T356" s="11">
        <f>VLOOKUP($B356,'[1]Plant data'!$A$1:$AB$315,15,0)</f>
        <v>1</v>
      </c>
      <c r="U356" s="9">
        <f>VLOOKUP($B356,'[1]Plant data'!$A$1:$AB$315,19,0)</f>
        <v>0.67774999999999996</v>
      </c>
      <c r="V356" s="8">
        <f>VLOOKUP($B356,'[1]Plant data'!$A$1:$AB$315,20,0)</f>
        <v>0.13617499999999999</v>
      </c>
      <c r="W356" s="8">
        <f>VLOOKUP($B356,'[1]Plant data'!$A$1:$AB$315,21,0)</f>
        <v>5.0733332999999999E-2</v>
      </c>
      <c r="X356" s="8">
        <f>VLOOKUP($B356,'[1]Plant data'!$A$1:$AB$315,22,0)</f>
        <v>3.65E-3</v>
      </c>
      <c r="Y356" s="8">
        <f>VLOOKUP($B356,'[1]Plant data'!$A$1:$AB$315,23,0)</f>
        <v>0.182</v>
      </c>
      <c r="Z356" s="8" t="str">
        <f>VLOOKUP($B356,'[1]Plant data'!$A$1:$AB$315,24,0)</f>
        <v>NA</v>
      </c>
      <c r="AA356" s="8">
        <f>VLOOKUP($B356,'[1]Plant data'!$A$1:$AB$315,25,0)</f>
        <v>0.69899999999999995</v>
      </c>
      <c r="AB356" s="8">
        <f t="shared" si="25"/>
        <v>0.18564999999999998</v>
      </c>
    </row>
    <row r="357" spans="1:28">
      <c r="A357" s="5" t="s">
        <v>62</v>
      </c>
      <c r="B357" s="33" t="s">
        <v>97</v>
      </c>
      <c r="C357" s="56">
        <v>2</v>
      </c>
      <c r="D357" s="59">
        <v>324</v>
      </c>
      <c r="E357" s="8">
        <f>C357/324</f>
        <v>6.1728395061728392E-3</v>
      </c>
      <c r="F357" s="54" t="s">
        <v>19</v>
      </c>
      <c r="G357" s="41">
        <v>1.1400000000000001</v>
      </c>
      <c r="H357" s="23">
        <f t="shared" si="26"/>
        <v>7.0370370370370378E-3</v>
      </c>
      <c r="I357" t="s">
        <v>30</v>
      </c>
      <c r="J357" s="11">
        <v>18.7</v>
      </c>
      <c r="K357" s="11">
        <v>6.1185714290000002</v>
      </c>
      <c r="L357" t="str">
        <f>VLOOKUP(B357,'[1]Plant data'!$A$1:$AB$315,2,0)</f>
        <v>Arecaceae</v>
      </c>
      <c r="M357" s="9">
        <f>VLOOKUP($B357,'[1]Plant data'!$A$1:$AB$315,6,0)</f>
        <v>13.294285714285715</v>
      </c>
      <c r="N357" s="9">
        <f>VLOOKUP($B357,'[1]Plant data'!$A$1:$AB$315,7,0)</f>
        <v>12.980000000000002</v>
      </c>
      <c r="O357" s="8">
        <f>VLOOKUP($B357,'[1]Plant data'!$A$1:$AB$315,10,0)</f>
        <v>1.4212800000000001</v>
      </c>
      <c r="P357" s="8">
        <f>VLOOKUP($B357,'[1]Plant data'!$A$1:$AB$315,11,0)</f>
        <v>0.46</v>
      </c>
      <c r="Q357" s="8">
        <f>VLOOKUP($B357,'[1]Plant data'!$A$1:$AB$315,12,0)</f>
        <v>1.06515</v>
      </c>
      <c r="R357" s="8">
        <f>VLOOKUP($B357,'[1]Plant data'!$A$1:$AB$315,13,0)</f>
        <v>0.32305000000000006</v>
      </c>
      <c r="S357" s="8">
        <f>VLOOKUP($B357,'[1]Plant data'!$A$1:$AB$315,14,0)</f>
        <v>0.96343333333333325</v>
      </c>
      <c r="T357" s="11">
        <f>VLOOKUP($B357,'[1]Plant data'!$A$1:$AB$315,15,0)</f>
        <v>1</v>
      </c>
      <c r="U357" s="9">
        <f>VLOOKUP($B357,'[1]Plant data'!$A$1:$AB$315,19,0)</f>
        <v>0.67774999999999996</v>
      </c>
      <c r="V357" s="8">
        <f>VLOOKUP($B357,'[1]Plant data'!$A$1:$AB$315,20,0)</f>
        <v>0.13617499999999999</v>
      </c>
      <c r="W357" s="8">
        <f>VLOOKUP($B357,'[1]Plant data'!$A$1:$AB$315,21,0)</f>
        <v>5.0733332999999999E-2</v>
      </c>
      <c r="X357" s="8">
        <f>VLOOKUP($B357,'[1]Plant data'!$A$1:$AB$315,22,0)</f>
        <v>3.65E-3</v>
      </c>
      <c r="Y357" s="8">
        <f>VLOOKUP($B357,'[1]Plant data'!$A$1:$AB$315,23,0)</f>
        <v>0.182</v>
      </c>
      <c r="Z357" s="8" t="str">
        <f>VLOOKUP($B357,'[1]Plant data'!$A$1:$AB$315,24,0)</f>
        <v>NA</v>
      </c>
      <c r="AA357" s="8">
        <f>VLOOKUP($B357,'[1]Plant data'!$A$1:$AB$315,25,0)</f>
        <v>0.69899999999999995</v>
      </c>
      <c r="AB357" s="8">
        <f t="shared" si="25"/>
        <v>0.18564999999999998</v>
      </c>
    </row>
    <row r="358" spans="1:28">
      <c r="A358" s="5" t="s">
        <v>106</v>
      </c>
      <c r="B358" s="32" t="s">
        <v>97</v>
      </c>
      <c r="C358" s="53">
        <v>2</v>
      </c>
      <c r="D358" s="59">
        <v>324</v>
      </c>
      <c r="E358" s="8">
        <f>C358/324</f>
        <v>6.1728395061728392E-3</v>
      </c>
      <c r="F358" s="54">
        <v>3</v>
      </c>
      <c r="G358" s="9">
        <f>F358/C358</f>
        <v>1.5</v>
      </c>
      <c r="H358" s="23">
        <f t="shared" si="26"/>
        <v>9.2592592592592587E-3</v>
      </c>
      <c r="I358" t="s">
        <v>75</v>
      </c>
      <c r="J358" s="11">
        <v>68.099999999999994</v>
      </c>
      <c r="K358" s="11">
        <v>16.570370369999999</v>
      </c>
      <c r="L358" t="str">
        <f>VLOOKUP(B358,'[1]Plant data'!$A$1:$AB$315,2,0)</f>
        <v>Arecaceae</v>
      </c>
      <c r="M358" s="9">
        <f>VLOOKUP($B358,'[1]Plant data'!$A$1:$AB$315,6,0)</f>
        <v>13.294285714285715</v>
      </c>
      <c r="N358" s="9">
        <f>VLOOKUP($B358,'[1]Plant data'!$A$1:$AB$315,7,0)</f>
        <v>12.980000000000002</v>
      </c>
      <c r="O358" s="8">
        <f>VLOOKUP($B358,'[1]Plant data'!$A$1:$AB$315,10,0)</f>
        <v>1.4212800000000001</v>
      </c>
      <c r="P358" s="8">
        <f>VLOOKUP($B358,'[1]Plant data'!$A$1:$AB$315,11,0)</f>
        <v>0.46</v>
      </c>
      <c r="Q358" s="8">
        <f>VLOOKUP($B358,'[1]Plant data'!$A$1:$AB$315,12,0)</f>
        <v>1.06515</v>
      </c>
      <c r="R358" s="8">
        <f>VLOOKUP($B358,'[1]Plant data'!$A$1:$AB$315,13,0)</f>
        <v>0.32305000000000006</v>
      </c>
      <c r="S358" s="8">
        <f>VLOOKUP($B358,'[1]Plant data'!$A$1:$AB$315,14,0)</f>
        <v>0.96343333333333325</v>
      </c>
      <c r="T358" s="11">
        <f>VLOOKUP($B358,'[1]Plant data'!$A$1:$AB$315,15,0)</f>
        <v>1</v>
      </c>
      <c r="U358" s="9">
        <f>VLOOKUP($B358,'[1]Plant data'!$A$1:$AB$315,19,0)</f>
        <v>0.67774999999999996</v>
      </c>
      <c r="V358" s="8">
        <f>VLOOKUP($B358,'[1]Plant data'!$A$1:$AB$315,20,0)</f>
        <v>0.13617499999999999</v>
      </c>
      <c r="W358" s="8">
        <f>VLOOKUP($B358,'[1]Plant data'!$A$1:$AB$315,21,0)</f>
        <v>5.0733332999999999E-2</v>
      </c>
      <c r="X358" s="8">
        <f>VLOOKUP($B358,'[1]Plant data'!$A$1:$AB$315,22,0)</f>
        <v>3.65E-3</v>
      </c>
      <c r="Y358" s="8">
        <f>VLOOKUP($B358,'[1]Plant data'!$A$1:$AB$315,23,0)</f>
        <v>0.182</v>
      </c>
      <c r="Z358" s="8" t="str">
        <f>VLOOKUP($B358,'[1]Plant data'!$A$1:$AB$315,24,0)</f>
        <v>NA</v>
      </c>
      <c r="AA358" s="8">
        <f>VLOOKUP($B358,'[1]Plant data'!$A$1:$AB$315,25,0)</f>
        <v>0.69899999999999995</v>
      </c>
      <c r="AB358" s="8">
        <f t="shared" si="25"/>
        <v>0.18564999999999998</v>
      </c>
    </row>
    <row r="359" spans="1:28">
      <c r="A359" s="5" t="s">
        <v>106</v>
      </c>
      <c r="B359" s="32" t="s">
        <v>97</v>
      </c>
      <c r="C359" s="53" t="s">
        <v>19</v>
      </c>
      <c r="D359" s="59" t="s">
        <v>19</v>
      </c>
      <c r="E359" s="8">
        <v>4.0000000000000001E-3</v>
      </c>
      <c r="F359" s="54" t="s">
        <v>19</v>
      </c>
      <c r="G359" s="9">
        <v>2.25</v>
      </c>
      <c r="H359" s="23">
        <f t="shared" si="26"/>
        <v>9.0000000000000011E-3</v>
      </c>
      <c r="I359" t="s">
        <v>75</v>
      </c>
      <c r="J359" s="11">
        <v>68.099999999999994</v>
      </c>
      <c r="K359" s="11">
        <v>16.570370369999999</v>
      </c>
      <c r="L359" t="str">
        <f>VLOOKUP(B359,'[1]Plant data'!$A$1:$AB$315,2,0)</f>
        <v>Arecaceae</v>
      </c>
      <c r="M359" s="9">
        <f>VLOOKUP($B359,'[1]Plant data'!$A$1:$AB$315,6,0)</f>
        <v>13.294285714285715</v>
      </c>
      <c r="N359" s="9">
        <f>VLOOKUP($B359,'[1]Plant data'!$A$1:$AB$315,7,0)</f>
        <v>12.980000000000002</v>
      </c>
      <c r="O359" s="8">
        <f>VLOOKUP($B359,'[1]Plant data'!$A$1:$AB$315,10,0)</f>
        <v>1.4212800000000001</v>
      </c>
      <c r="P359" s="8">
        <f>VLOOKUP($B359,'[1]Plant data'!$A$1:$AB$315,11,0)</f>
        <v>0.46</v>
      </c>
      <c r="Q359" s="8">
        <f>VLOOKUP($B359,'[1]Plant data'!$A$1:$AB$315,12,0)</f>
        <v>1.06515</v>
      </c>
      <c r="R359" s="8">
        <f>VLOOKUP($B359,'[1]Plant data'!$A$1:$AB$315,13,0)</f>
        <v>0.32305000000000006</v>
      </c>
      <c r="S359" s="8">
        <f>VLOOKUP($B359,'[1]Plant data'!$A$1:$AB$315,14,0)</f>
        <v>0.96343333333333325</v>
      </c>
      <c r="T359" s="11">
        <f>VLOOKUP($B359,'[1]Plant data'!$A$1:$AB$315,15,0)</f>
        <v>1</v>
      </c>
      <c r="U359" s="9">
        <f>VLOOKUP($B359,'[1]Plant data'!$A$1:$AB$315,19,0)</f>
        <v>0.67774999999999996</v>
      </c>
      <c r="V359" s="8">
        <f>VLOOKUP($B359,'[1]Plant data'!$A$1:$AB$315,20,0)</f>
        <v>0.13617499999999999</v>
      </c>
      <c r="W359" s="8">
        <f>VLOOKUP($B359,'[1]Plant data'!$A$1:$AB$315,21,0)</f>
        <v>5.0733332999999999E-2</v>
      </c>
      <c r="X359" s="8">
        <f>VLOOKUP($B359,'[1]Plant data'!$A$1:$AB$315,22,0)</f>
        <v>3.65E-3</v>
      </c>
      <c r="Y359" s="8">
        <f>VLOOKUP($B359,'[1]Plant data'!$A$1:$AB$315,23,0)</f>
        <v>0.182</v>
      </c>
      <c r="Z359" s="8" t="str">
        <f>VLOOKUP($B359,'[1]Plant data'!$A$1:$AB$315,24,0)</f>
        <v>NA</v>
      </c>
      <c r="AA359" s="8">
        <f>VLOOKUP($B359,'[1]Plant data'!$A$1:$AB$315,25,0)</f>
        <v>0.69899999999999995</v>
      </c>
      <c r="AB359" s="8">
        <f t="shared" si="25"/>
        <v>0.18564999999999998</v>
      </c>
    </row>
    <row r="360" spans="1:28">
      <c r="A360" s="5" t="s">
        <v>106</v>
      </c>
      <c r="B360" s="32" t="s">
        <v>97</v>
      </c>
      <c r="C360" s="53">
        <v>1</v>
      </c>
      <c r="D360" s="59">
        <v>330</v>
      </c>
      <c r="E360" s="8">
        <f>C360/330</f>
        <v>3.0303030303030303E-3</v>
      </c>
      <c r="F360" s="56" t="s">
        <v>19</v>
      </c>
      <c r="G360" s="9">
        <v>2</v>
      </c>
      <c r="H360" s="23">
        <f t="shared" si="26"/>
        <v>6.0606060606060606E-3</v>
      </c>
      <c r="I360" t="s">
        <v>75</v>
      </c>
      <c r="J360" s="11">
        <v>68.099999999999994</v>
      </c>
      <c r="K360" s="11">
        <v>16.570370369999999</v>
      </c>
      <c r="L360" t="str">
        <f>VLOOKUP(B360,'[1]Plant data'!$A$1:$AB$315,2,0)</f>
        <v>Arecaceae</v>
      </c>
      <c r="M360" s="9">
        <f>VLOOKUP($B360,'[1]Plant data'!$A$1:$AB$315,6,0)</f>
        <v>13.294285714285715</v>
      </c>
      <c r="N360" s="9">
        <f>VLOOKUP($B360,'[1]Plant data'!$A$1:$AB$315,7,0)</f>
        <v>12.980000000000002</v>
      </c>
      <c r="O360" s="8">
        <f>VLOOKUP($B360,'[1]Plant data'!$A$1:$AB$315,10,0)</f>
        <v>1.4212800000000001</v>
      </c>
      <c r="P360" s="8">
        <f>VLOOKUP($B360,'[1]Plant data'!$A$1:$AB$315,11,0)</f>
        <v>0.46</v>
      </c>
      <c r="Q360" s="8">
        <f>VLOOKUP($B360,'[1]Plant data'!$A$1:$AB$315,12,0)</f>
        <v>1.06515</v>
      </c>
      <c r="R360" s="8">
        <f>VLOOKUP($B360,'[1]Plant data'!$A$1:$AB$315,13,0)</f>
        <v>0.32305000000000006</v>
      </c>
      <c r="S360" s="8">
        <f>VLOOKUP($B360,'[1]Plant data'!$A$1:$AB$315,14,0)</f>
        <v>0.96343333333333325</v>
      </c>
      <c r="T360" s="11">
        <f>VLOOKUP($B360,'[1]Plant data'!$A$1:$AB$315,15,0)</f>
        <v>1</v>
      </c>
      <c r="U360" s="9">
        <f>VLOOKUP($B360,'[1]Plant data'!$A$1:$AB$315,19,0)</f>
        <v>0.67774999999999996</v>
      </c>
      <c r="V360" s="8">
        <f>VLOOKUP($B360,'[1]Plant data'!$A$1:$AB$315,20,0)</f>
        <v>0.13617499999999999</v>
      </c>
      <c r="W360" s="8">
        <f>VLOOKUP($B360,'[1]Plant data'!$A$1:$AB$315,21,0)</f>
        <v>5.0733332999999999E-2</v>
      </c>
      <c r="X360" s="8">
        <f>VLOOKUP($B360,'[1]Plant data'!$A$1:$AB$315,22,0)</f>
        <v>3.65E-3</v>
      </c>
      <c r="Y360" s="8">
        <f>VLOOKUP($B360,'[1]Plant data'!$A$1:$AB$315,23,0)</f>
        <v>0.182</v>
      </c>
      <c r="Z360" s="8" t="str">
        <f>VLOOKUP($B360,'[1]Plant data'!$A$1:$AB$315,24,0)</f>
        <v>NA</v>
      </c>
      <c r="AA360" s="8">
        <f>VLOOKUP($B360,'[1]Plant data'!$A$1:$AB$315,25,0)</f>
        <v>0.69899999999999995</v>
      </c>
      <c r="AB360" s="8">
        <f t="shared" si="25"/>
        <v>0.18564999999999998</v>
      </c>
    </row>
    <row r="361" spans="1:28">
      <c r="A361" s="5" t="s">
        <v>106</v>
      </c>
      <c r="B361" s="32" t="s">
        <v>97</v>
      </c>
      <c r="C361" s="53">
        <v>1</v>
      </c>
      <c r="D361" s="11">
        <v>750</v>
      </c>
      <c r="E361" s="8">
        <f>C361/750</f>
        <v>1.3333333333333333E-3</v>
      </c>
      <c r="F361" s="56" t="s">
        <v>19</v>
      </c>
      <c r="G361" s="41">
        <v>1.9166666666666667</v>
      </c>
      <c r="H361" s="23">
        <f t="shared" si="26"/>
        <v>2.5555555555555557E-3</v>
      </c>
      <c r="I361" t="s">
        <v>75</v>
      </c>
      <c r="J361" s="11">
        <v>68.099999999999994</v>
      </c>
      <c r="K361" s="11">
        <v>16.570370369999999</v>
      </c>
      <c r="L361" t="str">
        <f>VLOOKUP(B361,'[1]Plant data'!$A$1:$AB$315,2,0)</f>
        <v>Arecaceae</v>
      </c>
      <c r="M361" s="9">
        <f>VLOOKUP($B361,'[1]Plant data'!$A$1:$AB$315,6,0)</f>
        <v>13.294285714285715</v>
      </c>
      <c r="N361" s="9">
        <f>VLOOKUP($B361,'[1]Plant data'!$A$1:$AB$315,7,0)</f>
        <v>12.980000000000002</v>
      </c>
      <c r="O361" s="8">
        <f>VLOOKUP($B361,'[1]Plant data'!$A$1:$AB$315,10,0)</f>
        <v>1.4212800000000001</v>
      </c>
      <c r="P361" s="8">
        <f>VLOOKUP($B361,'[1]Plant data'!$A$1:$AB$315,11,0)</f>
        <v>0.46</v>
      </c>
      <c r="Q361" s="8">
        <f>VLOOKUP($B361,'[1]Plant data'!$A$1:$AB$315,12,0)</f>
        <v>1.06515</v>
      </c>
      <c r="R361" s="8">
        <f>VLOOKUP($B361,'[1]Plant data'!$A$1:$AB$315,13,0)</f>
        <v>0.32305000000000006</v>
      </c>
      <c r="S361" s="8">
        <f>VLOOKUP($B361,'[1]Plant data'!$A$1:$AB$315,14,0)</f>
        <v>0.96343333333333325</v>
      </c>
      <c r="T361" s="11">
        <f>VLOOKUP($B361,'[1]Plant data'!$A$1:$AB$315,15,0)</f>
        <v>1</v>
      </c>
      <c r="U361" s="9">
        <f>VLOOKUP($B361,'[1]Plant data'!$A$1:$AB$315,19,0)</f>
        <v>0.67774999999999996</v>
      </c>
      <c r="V361" s="8">
        <f>VLOOKUP($B361,'[1]Plant data'!$A$1:$AB$315,20,0)</f>
        <v>0.13617499999999999</v>
      </c>
      <c r="W361" s="8">
        <f>VLOOKUP($B361,'[1]Plant data'!$A$1:$AB$315,21,0)</f>
        <v>5.0733332999999999E-2</v>
      </c>
      <c r="X361" s="8">
        <f>VLOOKUP($B361,'[1]Plant data'!$A$1:$AB$315,22,0)</f>
        <v>3.65E-3</v>
      </c>
      <c r="Y361" s="8">
        <f>VLOOKUP($B361,'[1]Plant data'!$A$1:$AB$315,23,0)</f>
        <v>0.182</v>
      </c>
      <c r="Z361" s="8" t="str">
        <f>VLOOKUP($B361,'[1]Plant data'!$A$1:$AB$315,24,0)</f>
        <v>NA</v>
      </c>
      <c r="AA361" s="8">
        <f>VLOOKUP($B361,'[1]Plant data'!$A$1:$AB$315,25,0)</f>
        <v>0.69899999999999995</v>
      </c>
      <c r="AB361" s="8">
        <f t="shared" si="25"/>
        <v>0.18564999999999998</v>
      </c>
    </row>
    <row r="362" spans="1:28">
      <c r="A362" s="5" t="s">
        <v>107</v>
      </c>
      <c r="B362" s="32" t="s">
        <v>97</v>
      </c>
      <c r="C362" s="53">
        <v>2</v>
      </c>
      <c r="D362" s="11">
        <v>33</v>
      </c>
      <c r="E362" s="8">
        <f>C362/33</f>
        <v>6.0606060606060608E-2</v>
      </c>
      <c r="F362" s="56" t="s">
        <v>19</v>
      </c>
      <c r="G362" s="9">
        <v>38.5</v>
      </c>
      <c r="H362" s="23">
        <f t="shared" si="26"/>
        <v>2.3333333333333335</v>
      </c>
      <c r="I362" t="s">
        <v>109</v>
      </c>
      <c r="J362" s="11">
        <v>89.7</v>
      </c>
      <c r="K362" s="11">
        <v>20.489000000000001</v>
      </c>
      <c r="L362" t="str">
        <f>VLOOKUP(B362,'[1]Plant data'!$A$1:$AB$315,2,0)</f>
        <v>Arecaceae</v>
      </c>
      <c r="M362" s="9">
        <f>VLOOKUP($B362,'[1]Plant data'!$A$1:$AB$315,6,0)</f>
        <v>13.294285714285715</v>
      </c>
      <c r="N362" s="9">
        <f>VLOOKUP($B362,'[1]Plant data'!$A$1:$AB$315,7,0)</f>
        <v>12.980000000000002</v>
      </c>
      <c r="O362" s="8">
        <f>VLOOKUP($B362,'[1]Plant data'!$A$1:$AB$315,10,0)</f>
        <v>1.4212800000000001</v>
      </c>
      <c r="P362" s="8">
        <f>VLOOKUP($B362,'[1]Plant data'!$A$1:$AB$315,11,0)</f>
        <v>0.46</v>
      </c>
      <c r="Q362" s="8">
        <f>VLOOKUP($B362,'[1]Plant data'!$A$1:$AB$315,12,0)</f>
        <v>1.06515</v>
      </c>
      <c r="R362" s="8">
        <f>VLOOKUP($B362,'[1]Plant data'!$A$1:$AB$315,13,0)</f>
        <v>0.32305000000000006</v>
      </c>
      <c r="S362" s="8">
        <f>VLOOKUP($B362,'[1]Plant data'!$A$1:$AB$315,14,0)</f>
        <v>0.96343333333333325</v>
      </c>
      <c r="T362" s="11">
        <f>VLOOKUP($B362,'[1]Plant data'!$A$1:$AB$315,15,0)</f>
        <v>1</v>
      </c>
      <c r="U362" s="9">
        <f>VLOOKUP($B362,'[1]Plant data'!$A$1:$AB$315,19,0)</f>
        <v>0.67774999999999996</v>
      </c>
      <c r="V362" s="8">
        <f>VLOOKUP($B362,'[1]Plant data'!$A$1:$AB$315,20,0)</f>
        <v>0.13617499999999999</v>
      </c>
      <c r="W362" s="8">
        <f>VLOOKUP($B362,'[1]Plant data'!$A$1:$AB$315,21,0)</f>
        <v>5.0733332999999999E-2</v>
      </c>
      <c r="X362" s="8">
        <f>VLOOKUP($B362,'[1]Plant data'!$A$1:$AB$315,22,0)</f>
        <v>3.65E-3</v>
      </c>
      <c r="Y362" s="8">
        <f>VLOOKUP($B362,'[1]Plant data'!$A$1:$AB$315,23,0)</f>
        <v>0.182</v>
      </c>
      <c r="Z362" s="8" t="str">
        <f>VLOOKUP($B362,'[1]Plant data'!$A$1:$AB$315,24,0)</f>
        <v>NA</v>
      </c>
      <c r="AA362" s="8">
        <f>VLOOKUP($B362,'[1]Plant data'!$A$1:$AB$315,25,0)</f>
        <v>0.69899999999999995</v>
      </c>
      <c r="AB362" s="8">
        <f t="shared" si="25"/>
        <v>0.18564999999999998</v>
      </c>
    </row>
    <row r="363" spans="1:28">
      <c r="A363" s="5" t="s">
        <v>107</v>
      </c>
      <c r="B363" s="32" t="s">
        <v>97</v>
      </c>
      <c r="C363" s="53">
        <v>73</v>
      </c>
      <c r="D363" s="11">
        <v>276</v>
      </c>
      <c r="E363" s="8">
        <v>0.2344</v>
      </c>
      <c r="F363" s="54">
        <v>75</v>
      </c>
      <c r="G363" s="9">
        <f>F363/C363</f>
        <v>1.0273972602739727</v>
      </c>
      <c r="H363" s="23">
        <f t="shared" si="26"/>
        <v>0.24082191780821921</v>
      </c>
      <c r="I363" t="s">
        <v>109</v>
      </c>
      <c r="J363" s="11">
        <v>89.7</v>
      </c>
      <c r="K363" s="11">
        <v>20.489000000000001</v>
      </c>
      <c r="L363" t="str">
        <f>VLOOKUP(B363,'[1]Plant data'!$A$1:$AB$315,2,0)</f>
        <v>Arecaceae</v>
      </c>
      <c r="M363" s="9">
        <f>VLOOKUP($B363,'[1]Plant data'!$A$1:$AB$315,6,0)</f>
        <v>13.294285714285715</v>
      </c>
      <c r="N363" s="9">
        <f>VLOOKUP($B363,'[1]Plant data'!$A$1:$AB$315,7,0)</f>
        <v>12.980000000000002</v>
      </c>
      <c r="O363" s="8">
        <f>VLOOKUP($B363,'[1]Plant data'!$A$1:$AB$315,10,0)</f>
        <v>1.4212800000000001</v>
      </c>
      <c r="P363" s="8">
        <f>VLOOKUP($B363,'[1]Plant data'!$A$1:$AB$315,11,0)</f>
        <v>0.46</v>
      </c>
      <c r="Q363" s="8">
        <f>VLOOKUP($B363,'[1]Plant data'!$A$1:$AB$315,12,0)</f>
        <v>1.06515</v>
      </c>
      <c r="R363" s="8">
        <f>VLOOKUP($B363,'[1]Plant data'!$A$1:$AB$315,13,0)</f>
        <v>0.32305000000000006</v>
      </c>
      <c r="S363" s="8">
        <f>VLOOKUP($B363,'[1]Plant data'!$A$1:$AB$315,14,0)</f>
        <v>0.96343333333333325</v>
      </c>
      <c r="T363" s="11">
        <f>VLOOKUP($B363,'[1]Plant data'!$A$1:$AB$315,15,0)</f>
        <v>1</v>
      </c>
      <c r="U363" s="9">
        <f>VLOOKUP($B363,'[1]Plant data'!$A$1:$AB$315,19,0)</f>
        <v>0.67774999999999996</v>
      </c>
      <c r="V363" s="8">
        <f>VLOOKUP($B363,'[1]Plant data'!$A$1:$AB$315,20,0)</f>
        <v>0.13617499999999999</v>
      </c>
      <c r="W363" s="8">
        <f>VLOOKUP($B363,'[1]Plant data'!$A$1:$AB$315,21,0)</f>
        <v>5.0733332999999999E-2</v>
      </c>
      <c r="X363" s="8">
        <f>VLOOKUP($B363,'[1]Plant data'!$A$1:$AB$315,22,0)</f>
        <v>3.65E-3</v>
      </c>
      <c r="Y363" s="8">
        <f>VLOOKUP($B363,'[1]Plant data'!$A$1:$AB$315,23,0)</f>
        <v>0.182</v>
      </c>
      <c r="Z363" s="8" t="str">
        <f>VLOOKUP($B363,'[1]Plant data'!$A$1:$AB$315,24,0)</f>
        <v>NA</v>
      </c>
      <c r="AA363" s="8">
        <f>VLOOKUP($B363,'[1]Plant data'!$A$1:$AB$315,25,0)</f>
        <v>0.69899999999999995</v>
      </c>
      <c r="AB363" s="8">
        <f t="shared" si="25"/>
        <v>0.18564999999999998</v>
      </c>
    </row>
    <row r="364" spans="1:28">
      <c r="A364" s="5" t="s">
        <v>107</v>
      </c>
      <c r="B364" s="32" t="s">
        <v>97</v>
      </c>
      <c r="C364" s="53" t="s">
        <v>19</v>
      </c>
      <c r="D364" s="59" t="s">
        <v>19</v>
      </c>
      <c r="E364" s="8">
        <v>0.122</v>
      </c>
      <c r="F364" s="54" t="s">
        <v>19</v>
      </c>
      <c r="G364" s="9">
        <v>1.0900000000000001</v>
      </c>
      <c r="H364" s="23">
        <f t="shared" si="26"/>
        <v>0.13298000000000001</v>
      </c>
      <c r="I364" t="s">
        <v>109</v>
      </c>
      <c r="J364" s="11">
        <v>89.7</v>
      </c>
      <c r="K364" s="11">
        <v>20.489000000000001</v>
      </c>
      <c r="L364" t="str">
        <f>VLOOKUP(B364,'[1]Plant data'!$A$1:$AB$315,2,0)</f>
        <v>Arecaceae</v>
      </c>
      <c r="M364" s="9">
        <f>VLOOKUP($B364,'[1]Plant data'!$A$1:$AB$315,6,0)</f>
        <v>13.294285714285715</v>
      </c>
      <c r="N364" s="9">
        <f>VLOOKUP($B364,'[1]Plant data'!$A$1:$AB$315,7,0)</f>
        <v>12.980000000000002</v>
      </c>
      <c r="O364" s="8">
        <f>VLOOKUP($B364,'[1]Plant data'!$A$1:$AB$315,10,0)</f>
        <v>1.4212800000000001</v>
      </c>
      <c r="P364" s="8">
        <f>VLOOKUP($B364,'[1]Plant data'!$A$1:$AB$315,11,0)</f>
        <v>0.46</v>
      </c>
      <c r="Q364" s="8">
        <f>VLOOKUP($B364,'[1]Plant data'!$A$1:$AB$315,12,0)</f>
        <v>1.06515</v>
      </c>
      <c r="R364" s="8">
        <f>VLOOKUP($B364,'[1]Plant data'!$A$1:$AB$315,13,0)</f>
        <v>0.32305000000000006</v>
      </c>
      <c r="S364" s="8">
        <f>VLOOKUP($B364,'[1]Plant data'!$A$1:$AB$315,14,0)</f>
        <v>0.96343333333333325</v>
      </c>
      <c r="T364" s="11">
        <f>VLOOKUP($B364,'[1]Plant data'!$A$1:$AB$315,15,0)</f>
        <v>1</v>
      </c>
      <c r="U364" s="9">
        <f>VLOOKUP($B364,'[1]Plant data'!$A$1:$AB$315,19,0)</f>
        <v>0.67774999999999996</v>
      </c>
      <c r="V364" s="8">
        <f>VLOOKUP($B364,'[1]Plant data'!$A$1:$AB$315,20,0)</f>
        <v>0.13617499999999999</v>
      </c>
      <c r="W364" s="8">
        <f>VLOOKUP($B364,'[1]Plant data'!$A$1:$AB$315,21,0)</f>
        <v>5.0733332999999999E-2</v>
      </c>
      <c r="X364" s="8">
        <f>VLOOKUP($B364,'[1]Plant data'!$A$1:$AB$315,22,0)</f>
        <v>3.65E-3</v>
      </c>
      <c r="Y364" s="8">
        <f>VLOOKUP($B364,'[1]Plant data'!$A$1:$AB$315,23,0)</f>
        <v>0.182</v>
      </c>
      <c r="Z364" s="8" t="str">
        <f>VLOOKUP($B364,'[1]Plant data'!$A$1:$AB$315,24,0)</f>
        <v>NA</v>
      </c>
      <c r="AA364" s="8">
        <f>VLOOKUP($B364,'[1]Plant data'!$A$1:$AB$315,25,0)</f>
        <v>0.69899999999999995</v>
      </c>
      <c r="AB364" s="8">
        <f t="shared" si="25"/>
        <v>0.18564999999999998</v>
      </c>
    </row>
    <row r="365" spans="1:28">
      <c r="A365" s="5" t="s">
        <v>107</v>
      </c>
      <c r="B365" s="32" t="s">
        <v>97</v>
      </c>
      <c r="C365" s="53">
        <v>6</v>
      </c>
      <c r="D365" s="59">
        <v>330</v>
      </c>
      <c r="E365" s="8">
        <f>(C365/330)*1.5</f>
        <v>2.7272727272727271E-2</v>
      </c>
      <c r="F365" s="56" t="s">
        <v>19</v>
      </c>
      <c r="G365" s="9">
        <v>3.6</v>
      </c>
      <c r="H365" s="23">
        <f t="shared" si="26"/>
        <v>9.8181818181818176E-2</v>
      </c>
      <c r="I365" t="s">
        <v>109</v>
      </c>
      <c r="J365" s="11">
        <v>89.7</v>
      </c>
      <c r="K365" s="11">
        <v>20.489000000000001</v>
      </c>
      <c r="L365" t="str">
        <f>VLOOKUP(B365,'[1]Plant data'!$A$1:$AB$315,2,0)</f>
        <v>Arecaceae</v>
      </c>
      <c r="M365" s="9">
        <f>VLOOKUP($B365,'[1]Plant data'!$A$1:$AB$315,6,0)</f>
        <v>13.294285714285715</v>
      </c>
      <c r="N365" s="9">
        <f>VLOOKUP($B365,'[1]Plant data'!$A$1:$AB$315,7,0)</f>
        <v>12.980000000000002</v>
      </c>
      <c r="O365" s="8">
        <f>VLOOKUP($B365,'[1]Plant data'!$A$1:$AB$315,10,0)</f>
        <v>1.4212800000000001</v>
      </c>
      <c r="P365" s="8">
        <f>VLOOKUP($B365,'[1]Plant data'!$A$1:$AB$315,11,0)</f>
        <v>0.46</v>
      </c>
      <c r="Q365" s="8">
        <f>VLOOKUP($B365,'[1]Plant data'!$A$1:$AB$315,12,0)</f>
        <v>1.06515</v>
      </c>
      <c r="R365" s="8">
        <f>VLOOKUP($B365,'[1]Plant data'!$A$1:$AB$315,13,0)</f>
        <v>0.32305000000000006</v>
      </c>
      <c r="S365" s="8">
        <f>VLOOKUP($B365,'[1]Plant data'!$A$1:$AB$315,14,0)</f>
        <v>0.96343333333333325</v>
      </c>
      <c r="T365" s="11">
        <f>VLOOKUP($B365,'[1]Plant data'!$A$1:$AB$315,15,0)</f>
        <v>1</v>
      </c>
      <c r="U365" s="9">
        <f>VLOOKUP($B365,'[1]Plant data'!$A$1:$AB$315,19,0)</f>
        <v>0.67774999999999996</v>
      </c>
      <c r="V365" s="8">
        <f>VLOOKUP($B365,'[1]Plant data'!$A$1:$AB$315,20,0)</f>
        <v>0.13617499999999999</v>
      </c>
      <c r="W365" s="8">
        <f>VLOOKUP($B365,'[1]Plant data'!$A$1:$AB$315,21,0)</f>
        <v>5.0733332999999999E-2</v>
      </c>
      <c r="X365" s="8">
        <f>VLOOKUP($B365,'[1]Plant data'!$A$1:$AB$315,22,0)</f>
        <v>3.65E-3</v>
      </c>
      <c r="Y365" s="8">
        <f>VLOOKUP($B365,'[1]Plant data'!$A$1:$AB$315,23,0)</f>
        <v>0.182</v>
      </c>
      <c r="Z365" s="8" t="str">
        <f>VLOOKUP($B365,'[1]Plant data'!$A$1:$AB$315,24,0)</f>
        <v>NA</v>
      </c>
      <c r="AA365" s="8">
        <f>VLOOKUP($B365,'[1]Plant data'!$A$1:$AB$315,25,0)</f>
        <v>0.69899999999999995</v>
      </c>
      <c r="AB365" s="8">
        <f t="shared" si="25"/>
        <v>0.18564999999999998</v>
      </c>
    </row>
    <row r="366" spans="1:28">
      <c r="A366" s="5" t="s">
        <v>107</v>
      </c>
      <c r="B366" s="32" t="s">
        <v>97</v>
      </c>
      <c r="C366" s="53">
        <v>6</v>
      </c>
      <c r="D366" s="11">
        <v>750</v>
      </c>
      <c r="E366" s="8">
        <f>C366/750</f>
        <v>8.0000000000000002E-3</v>
      </c>
      <c r="F366" s="56" t="s">
        <v>19</v>
      </c>
      <c r="G366" s="41">
        <v>5.6297108066971084</v>
      </c>
      <c r="H366" s="23">
        <f t="shared" si="26"/>
        <v>4.5037686453576871E-2</v>
      </c>
      <c r="I366" t="s">
        <v>109</v>
      </c>
      <c r="J366" s="11">
        <v>89.7</v>
      </c>
      <c r="K366" s="11">
        <v>20.489000000000001</v>
      </c>
      <c r="L366" t="str">
        <f>VLOOKUP(B366,'[1]Plant data'!$A$1:$AB$315,2,0)</f>
        <v>Arecaceae</v>
      </c>
      <c r="M366" s="9">
        <f>VLOOKUP($B366,'[1]Plant data'!$A$1:$AB$315,6,0)</f>
        <v>13.294285714285715</v>
      </c>
      <c r="N366" s="9">
        <f>VLOOKUP($B366,'[1]Plant data'!$A$1:$AB$315,7,0)</f>
        <v>12.980000000000002</v>
      </c>
      <c r="O366" s="8">
        <f>VLOOKUP($B366,'[1]Plant data'!$A$1:$AB$315,10,0)</f>
        <v>1.4212800000000001</v>
      </c>
      <c r="P366" s="8">
        <f>VLOOKUP($B366,'[1]Plant data'!$A$1:$AB$315,11,0)</f>
        <v>0.46</v>
      </c>
      <c r="Q366" s="8">
        <f>VLOOKUP($B366,'[1]Plant data'!$A$1:$AB$315,12,0)</f>
        <v>1.06515</v>
      </c>
      <c r="R366" s="8">
        <f>VLOOKUP($B366,'[1]Plant data'!$A$1:$AB$315,13,0)</f>
        <v>0.32305000000000006</v>
      </c>
      <c r="S366" s="8">
        <f>VLOOKUP($B366,'[1]Plant data'!$A$1:$AB$315,14,0)</f>
        <v>0.96343333333333325</v>
      </c>
      <c r="T366" s="11">
        <f>VLOOKUP($B366,'[1]Plant data'!$A$1:$AB$315,15,0)</f>
        <v>1</v>
      </c>
      <c r="U366" s="9">
        <f>VLOOKUP($B366,'[1]Plant data'!$A$1:$AB$315,19,0)</f>
        <v>0.67774999999999996</v>
      </c>
      <c r="V366" s="8">
        <f>VLOOKUP($B366,'[1]Plant data'!$A$1:$AB$315,20,0)</f>
        <v>0.13617499999999999</v>
      </c>
      <c r="W366" s="8">
        <f>VLOOKUP($B366,'[1]Plant data'!$A$1:$AB$315,21,0)</f>
        <v>5.0733332999999999E-2</v>
      </c>
      <c r="X366" s="8">
        <f>VLOOKUP($B366,'[1]Plant data'!$A$1:$AB$315,22,0)</f>
        <v>3.65E-3</v>
      </c>
      <c r="Y366" s="8">
        <f>VLOOKUP($B366,'[1]Plant data'!$A$1:$AB$315,23,0)</f>
        <v>0.182</v>
      </c>
      <c r="Z366" s="8" t="str">
        <f>VLOOKUP($B366,'[1]Plant data'!$A$1:$AB$315,24,0)</f>
        <v>NA</v>
      </c>
      <c r="AA366" s="8">
        <f>VLOOKUP($B366,'[1]Plant data'!$A$1:$AB$315,25,0)</f>
        <v>0.69899999999999995</v>
      </c>
      <c r="AB366" s="8">
        <f t="shared" si="25"/>
        <v>0.18564999999999998</v>
      </c>
    </row>
    <row r="367" spans="1:28">
      <c r="A367" s="5" t="s">
        <v>107</v>
      </c>
      <c r="B367" s="32" t="s">
        <v>97</v>
      </c>
      <c r="C367" s="53">
        <v>5</v>
      </c>
      <c r="D367" s="59">
        <v>324</v>
      </c>
      <c r="E367" s="8">
        <f>C367/324</f>
        <v>1.5432098765432098E-2</v>
      </c>
      <c r="F367" s="54">
        <v>11</v>
      </c>
      <c r="G367" s="9">
        <f>F367/C367</f>
        <v>2.2000000000000002</v>
      </c>
      <c r="H367" s="23">
        <f t="shared" si="26"/>
        <v>3.3950617283950615E-2</v>
      </c>
      <c r="I367" t="s">
        <v>109</v>
      </c>
      <c r="J367" s="11">
        <v>89.7</v>
      </c>
      <c r="K367" s="11">
        <v>20.489000000000001</v>
      </c>
      <c r="L367" t="str">
        <f>VLOOKUP(B367,'[1]Plant data'!$A$1:$AB$315,2,0)</f>
        <v>Arecaceae</v>
      </c>
      <c r="M367" s="9">
        <f>VLOOKUP($B367,'[1]Plant data'!$A$1:$AB$315,6,0)</f>
        <v>13.294285714285715</v>
      </c>
      <c r="N367" s="9">
        <f>VLOOKUP($B367,'[1]Plant data'!$A$1:$AB$315,7,0)</f>
        <v>12.980000000000002</v>
      </c>
      <c r="O367" s="8">
        <f>VLOOKUP($B367,'[1]Plant data'!$A$1:$AB$315,10,0)</f>
        <v>1.4212800000000001</v>
      </c>
      <c r="P367" s="8">
        <f>VLOOKUP($B367,'[1]Plant data'!$A$1:$AB$315,11,0)</f>
        <v>0.46</v>
      </c>
      <c r="Q367" s="8">
        <f>VLOOKUP($B367,'[1]Plant data'!$A$1:$AB$315,12,0)</f>
        <v>1.06515</v>
      </c>
      <c r="R367" s="8">
        <f>VLOOKUP($B367,'[1]Plant data'!$A$1:$AB$315,13,0)</f>
        <v>0.32305000000000006</v>
      </c>
      <c r="S367" s="8">
        <f>VLOOKUP($B367,'[1]Plant data'!$A$1:$AB$315,14,0)</f>
        <v>0.96343333333333325</v>
      </c>
      <c r="T367" s="11">
        <f>VLOOKUP($B367,'[1]Plant data'!$A$1:$AB$315,15,0)</f>
        <v>1</v>
      </c>
      <c r="U367" s="9">
        <f>VLOOKUP($B367,'[1]Plant data'!$A$1:$AB$315,19,0)</f>
        <v>0.67774999999999996</v>
      </c>
      <c r="V367" s="8">
        <f>VLOOKUP($B367,'[1]Plant data'!$A$1:$AB$315,20,0)</f>
        <v>0.13617499999999999</v>
      </c>
      <c r="W367" s="8">
        <f>VLOOKUP($B367,'[1]Plant data'!$A$1:$AB$315,21,0)</f>
        <v>5.0733332999999999E-2</v>
      </c>
      <c r="X367" s="8">
        <f>VLOOKUP($B367,'[1]Plant data'!$A$1:$AB$315,22,0)</f>
        <v>3.65E-3</v>
      </c>
      <c r="Y367" s="8">
        <f>VLOOKUP($B367,'[1]Plant data'!$A$1:$AB$315,23,0)</f>
        <v>0.182</v>
      </c>
      <c r="Z367" s="8" t="str">
        <f>VLOOKUP($B367,'[1]Plant data'!$A$1:$AB$315,24,0)</f>
        <v>NA</v>
      </c>
      <c r="AA367" s="8">
        <f>VLOOKUP($B367,'[1]Plant data'!$A$1:$AB$315,25,0)</f>
        <v>0.69899999999999995</v>
      </c>
      <c r="AB367" s="8">
        <f t="shared" si="25"/>
        <v>0.18564999999999998</v>
      </c>
    </row>
    <row r="368" spans="1:28">
      <c r="A368" s="5" t="s">
        <v>107</v>
      </c>
      <c r="B368" s="32" t="s">
        <v>97</v>
      </c>
      <c r="C368" s="53">
        <v>6</v>
      </c>
      <c r="D368" s="59">
        <v>324</v>
      </c>
      <c r="E368" s="8">
        <f>C368/324</f>
        <v>1.8518518518518517E-2</v>
      </c>
      <c r="F368" s="54">
        <v>4</v>
      </c>
      <c r="G368" s="9">
        <v>1.25</v>
      </c>
      <c r="H368" s="23">
        <f t="shared" si="26"/>
        <v>2.3148148148148147E-2</v>
      </c>
      <c r="I368" t="s">
        <v>109</v>
      </c>
      <c r="J368" s="11">
        <v>89.7</v>
      </c>
      <c r="K368" s="11">
        <v>20.489000000000001</v>
      </c>
      <c r="L368" t="str">
        <f>VLOOKUP(B368,'[1]Plant data'!$A$1:$AB$315,2,0)</f>
        <v>Arecaceae</v>
      </c>
      <c r="M368" s="9">
        <f>VLOOKUP($B368,'[1]Plant data'!$A$1:$AB$315,6,0)</f>
        <v>13.294285714285715</v>
      </c>
      <c r="N368" s="9">
        <f>VLOOKUP($B368,'[1]Plant data'!$A$1:$AB$315,7,0)</f>
        <v>12.980000000000002</v>
      </c>
      <c r="O368" s="8">
        <f>VLOOKUP($B368,'[1]Plant data'!$A$1:$AB$315,10,0)</f>
        <v>1.4212800000000001</v>
      </c>
      <c r="P368" s="8">
        <f>VLOOKUP($B368,'[1]Plant data'!$A$1:$AB$315,11,0)</f>
        <v>0.46</v>
      </c>
      <c r="Q368" s="8">
        <f>VLOOKUP($B368,'[1]Plant data'!$A$1:$AB$315,12,0)</f>
        <v>1.06515</v>
      </c>
      <c r="R368" s="8">
        <f>VLOOKUP($B368,'[1]Plant data'!$A$1:$AB$315,13,0)</f>
        <v>0.32305000000000006</v>
      </c>
      <c r="S368" s="8">
        <f>VLOOKUP($B368,'[1]Plant data'!$A$1:$AB$315,14,0)</f>
        <v>0.96343333333333325</v>
      </c>
      <c r="T368" s="11">
        <f>VLOOKUP($B368,'[1]Plant data'!$A$1:$AB$315,15,0)</f>
        <v>1</v>
      </c>
      <c r="U368" s="9">
        <f>VLOOKUP($B368,'[1]Plant data'!$A$1:$AB$315,19,0)</f>
        <v>0.67774999999999996</v>
      </c>
      <c r="V368" s="8">
        <f>VLOOKUP($B368,'[1]Plant data'!$A$1:$AB$315,20,0)</f>
        <v>0.13617499999999999</v>
      </c>
      <c r="W368" s="8">
        <f>VLOOKUP($B368,'[1]Plant data'!$A$1:$AB$315,21,0)</f>
        <v>5.0733332999999999E-2</v>
      </c>
      <c r="X368" s="8">
        <f>VLOOKUP($B368,'[1]Plant data'!$A$1:$AB$315,22,0)</f>
        <v>3.65E-3</v>
      </c>
      <c r="Y368" s="8">
        <f>VLOOKUP($B368,'[1]Plant data'!$A$1:$AB$315,23,0)</f>
        <v>0.182</v>
      </c>
      <c r="Z368" s="8" t="str">
        <f>VLOOKUP($B368,'[1]Plant data'!$A$1:$AB$315,24,0)</f>
        <v>NA</v>
      </c>
      <c r="AA368" s="8">
        <f>VLOOKUP($B368,'[1]Plant data'!$A$1:$AB$315,25,0)</f>
        <v>0.69899999999999995</v>
      </c>
      <c r="AB368" s="8">
        <f t="shared" si="25"/>
        <v>0.18564999999999998</v>
      </c>
    </row>
    <row r="369" spans="1:28">
      <c r="A369" s="5" t="s">
        <v>107</v>
      </c>
      <c r="B369" s="32" t="s">
        <v>97</v>
      </c>
      <c r="C369" s="53">
        <v>2</v>
      </c>
      <c r="D369" s="59">
        <v>190</v>
      </c>
      <c r="E369" s="8">
        <f>C369/190</f>
        <v>1.0526315789473684E-2</v>
      </c>
      <c r="F369" s="54">
        <v>2</v>
      </c>
      <c r="G369" s="9">
        <f>F369/C369</f>
        <v>1</v>
      </c>
      <c r="H369" s="23">
        <f t="shared" si="26"/>
        <v>1.0526315789473684E-2</v>
      </c>
      <c r="I369" t="s">
        <v>109</v>
      </c>
      <c r="J369" s="11">
        <v>89.7</v>
      </c>
      <c r="K369" s="11">
        <v>20.489000000000001</v>
      </c>
      <c r="L369" t="str">
        <f>VLOOKUP(B369,'[1]Plant data'!$A$1:$AB$315,2,0)</f>
        <v>Arecaceae</v>
      </c>
      <c r="M369" s="9">
        <f>VLOOKUP($B369,'[1]Plant data'!$A$1:$AB$315,6,0)</f>
        <v>13.294285714285715</v>
      </c>
      <c r="N369" s="9">
        <f>VLOOKUP($B369,'[1]Plant data'!$A$1:$AB$315,7,0)</f>
        <v>12.980000000000002</v>
      </c>
      <c r="O369" s="8">
        <f>VLOOKUP($B369,'[1]Plant data'!$A$1:$AB$315,10,0)</f>
        <v>1.4212800000000001</v>
      </c>
      <c r="P369" s="8">
        <f>VLOOKUP($B369,'[1]Plant data'!$A$1:$AB$315,11,0)</f>
        <v>0.46</v>
      </c>
      <c r="Q369" s="8">
        <f>VLOOKUP($B369,'[1]Plant data'!$A$1:$AB$315,12,0)</f>
        <v>1.06515</v>
      </c>
      <c r="R369" s="8">
        <f>VLOOKUP($B369,'[1]Plant data'!$A$1:$AB$315,13,0)</f>
        <v>0.32305000000000006</v>
      </c>
      <c r="S369" s="8">
        <f>VLOOKUP($B369,'[1]Plant data'!$A$1:$AB$315,14,0)</f>
        <v>0.96343333333333325</v>
      </c>
      <c r="T369" s="11">
        <f>VLOOKUP($B369,'[1]Plant data'!$A$1:$AB$315,15,0)</f>
        <v>1</v>
      </c>
      <c r="U369" s="9">
        <f>VLOOKUP($B369,'[1]Plant data'!$A$1:$AB$315,19,0)</f>
        <v>0.67774999999999996</v>
      </c>
      <c r="V369" s="8">
        <f>VLOOKUP($B369,'[1]Plant data'!$A$1:$AB$315,20,0)</f>
        <v>0.13617499999999999</v>
      </c>
      <c r="W369" s="8">
        <f>VLOOKUP($B369,'[1]Plant data'!$A$1:$AB$315,21,0)</f>
        <v>5.0733332999999999E-2</v>
      </c>
      <c r="X369" s="8">
        <f>VLOOKUP($B369,'[1]Plant data'!$A$1:$AB$315,22,0)</f>
        <v>3.65E-3</v>
      </c>
      <c r="Y369" s="8">
        <f>VLOOKUP($B369,'[1]Plant data'!$A$1:$AB$315,23,0)</f>
        <v>0.182</v>
      </c>
      <c r="Z369" s="8" t="str">
        <f>VLOOKUP($B369,'[1]Plant data'!$A$1:$AB$315,24,0)</f>
        <v>NA</v>
      </c>
      <c r="AA369" s="8">
        <f>VLOOKUP($B369,'[1]Plant data'!$A$1:$AB$315,25,0)</f>
        <v>0.69899999999999995</v>
      </c>
      <c r="AB369" s="8">
        <f t="shared" si="25"/>
        <v>0.18564999999999998</v>
      </c>
    </row>
    <row r="370" spans="1:28">
      <c r="A370" s="5" t="s">
        <v>107</v>
      </c>
      <c r="B370" s="32" t="s">
        <v>97</v>
      </c>
      <c r="C370" s="53" t="s">
        <v>19</v>
      </c>
      <c r="D370" s="59" t="s">
        <v>19</v>
      </c>
      <c r="E370" s="8">
        <v>0.01</v>
      </c>
      <c r="F370" s="54" t="s">
        <v>19</v>
      </c>
      <c r="G370" s="9">
        <v>1</v>
      </c>
      <c r="H370" s="23">
        <f t="shared" si="26"/>
        <v>0.01</v>
      </c>
      <c r="I370" t="s">
        <v>109</v>
      </c>
      <c r="J370" s="11">
        <v>89.7</v>
      </c>
      <c r="K370" s="11">
        <v>20.489000000000001</v>
      </c>
      <c r="L370" t="str">
        <f>VLOOKUP(B370,'[1]Plant data'!$A$1:$AB$315,2,0)</f>
        <v>Arecaceae</v>
      </c>
      <c r="M370" s="9">
        <f>VLOOKUP($B370,'[1]Plant data'!$A$1:$AB$315,6,0)</f>
        <v>13.294285714285715</v>
      </c>
      <c r="N370" s="9">
        <f>VLOOKUP($B370,'[1]Plant data'!$A$1:$AB$315,7,0)</f>
        <v>12.980000000000002</v>
      </c>
      <c r="O370" s="8">
        <f>VLOOKUP($B370,'[1]Plant data'!$A$1:$AB$315,10,0)</f>
        <v>1.4212800000000001</v>
      </c>
      <c r="P370" s="8">
        <f>VLOOKUP($B370,'[1]Plant data'!$A$1:$AB$315,11,0)</f>
        <v>0.46</v>
      </c>
      <c r="Q370" s="8">
        <f>VLOOKUP($B370,'[1]Plant data'!$A$1:$AB$315,12,0)</f>
        <v>1.06515</v>
      </c>
      <c r="R370" s="8">
        <f>VLOOKUP($B370,'[1]Plant data'!$A$1:$AB$315,13,0)</f>
        <v>0.32305000000000006</v>
      </c>
      <c r="S370" s="8">
        <f>VLOOKUP($B370,'[1]Plant data'!$A$1:$AB$315,14,0)</f>
        <v>0.96343333333333325</v>
      </c>
      <c r="T370" s="11">
        <f>VLOOKUP($B370,'[1]Plant data'!$A$1:$AB$315,15,0)</f>
        <v>1</v>
      </c>
      <c r="U370" s="9">
        <f>VLOOKUP($B370,'[1]Plant data'!$A$1:$AB$315,19,0)</f>
        <v>0.67774999999999996</v>
      </c>
      <c r="V370" s="8">
        <f>VLOOKUP($B370,'[1]Plant data'!$A$1:$AB$315,20,0)</f>
        <v>0.13617499999999999</v>
      </c>
      <c r="W370" s="8">
        <f>VLOOKUP($B370,'[1]Plant data'!$A$1:$AB$315,21,0)</f>
        <v>5.0733332999999999E-2</v>
      </c>
      <c r="X370" s="8">
        <f>VLOOKUP($B370,'[1]Plant data'!$A$1:$AB$315,22,0)</f>
        <v>3.65E-3</v>
      </c>
      <c r="Y370" s="8">
        <f>VLOOKUP($B370,'[1]Plant data'!$A$1:$AB$315,23,0)</f>
        <v>0.182</v>
      </c>
      <c r="Z370" s="8" t="str">
        <f>VLOOKUP($B370,'[1]Plant data'!$A$1:$AB$315,24,0)</f>
        <v>NA</v>
      </c>
      <c r="AA370" s="8">
        <f>VLOOKUP($B370,'[1]Plant data'!$A$1:$AB$315,25,0)</f>
        <v>0.69899999999999995</v>
      </c>
      <c r="AB370" s="8">
        <f t="shared" ref="AB370:AB392" si="27">SUMIF(X370:Y370,"&gt;0.00001")</f>
        <v>0.18564999999999998</v>
      </c>
    </row>
    <row r="371" spans="1:28">
      <c r="A371" s="5" t="s">
        <v>107</v>
      </c>
      <c r="B371" s="32" t="s">
        <v>97</v>
      </c>
      <c r="C371" s="53">
        <v>2</v>
      </c>
      <c r="D371" s="59">
        <v>324</v>
      </c>
      <c r="E371" s="8">
        <f>C371/324</f>
        <v>6.1728395061728392E-3</v>
      </c>
      <c r="F371" s="54">
        <v>2</v>
      </c>
      <c r="G371" s="9">
        <f>F371/C371</f>
        <v>1</v>
      </c>
      <c r="H371" s="23">
        <f t="shared" si="26"/>
        <v>6.1728395061728392E-3</v>
      </c>
      <c r="I371" t="s">
        <v>109</v>
      </c>
      <c r="J371" s="11">
        <v>89.7</v>
      </c>
      <c r="K371" s="11">
        <v>20.489000000000001</v>
      </c>
      <c r="L371" t="str">
        <f>VLOOKUP(B371,'[1]Plant data'!$A$1:$AB$315,2,0)</f>
        <v>Arecaceae</v>
      </c>
      <c r="M371" s="9">
        <f>VLOOKUP($B371,'[1]Plant data'!$A$1:$AB$315,6,0)</f>
        <v>13.294285714285715</v>
      </c>
      <c r="N371" s="9">
        <f>VLOOKUP($B371,'[1]Plant data'!$A$1:$AB$315,7,0)</f>
        <v>12.980000000000002</v>
      </c>
      <c r="O371" s="8">
        <f>VLOOKUP($B371,'[1]Plant data'!$A$1:$AB$315,10,0)</f>
        <v>1.4212800000000001</v>
      </c>
      <c r="P371" s="8">
        <f>VLOOKUP($B371,'[1]Plant data'!$A$1:$AB$315,11,0)</f>
        <v>0.46</v>
      </c>
      <c r="Q371" s="8">
        <f>VLOOKUP($B371,'[1]Plant data'!$A$1:$AB$315,12,0)</f>
        <v>1.06515</v>
      </c>
      <c r="R371" s="8">
        <f>VLOOKUP($B371,'[1]Plant data'!$A$1:$AB$315,13,0)</f>
        <v>0.32305000000000006</v>
      </c>
      <c r="S371" s="8">
        <f>VLOOKUP($B371,'[1]Plant data'!$A$1:$AB$315,14,0)</f>
        <v>0.96343333333333325</v>
      </c>
      <c r="T371" s="11">
        <f>VLOOKUP($B371,'[1]Plant data'!$A$1:$AB$315,15,0)</f>
        <v>1</v>
      </c>
      <c r="U371" s="9">
        <f>VLOOKUP($B371,'[1]Plant data'!$A$1:$AB$315,19,0)</f>
        <v>0.67774999999999996</v>
      </c>
      <c r="V371" s="8">
        <f>VLOOKUP($B371,'[1]Plant data'!$A$1:$AB$315,20,0)</f>
        <v>0.13617499999999999</v>
      </c>
      <c r="W371" s="8">
        <f>VLOOKUP($B371,'[1]Plant data'!$A$1:$AB$315,21,0)</f>
        <v>5.0733332999999999E-2</v>
      </c>
      <c r="X371" s="8">
        <f>VLOOKUP($B371,'[1]Plant data'!$A$1:$AB$315,22,0)</f>
        <v>3.65E-3</v>
      </c>
      <c r="Y371" s="8">
        <f>VLOOKUP($B371,'[1]Plant data'!$A$1:$AB$315,23,0)</f>
        <v>0.182</v>
      </c>
      <c r="Z371" s="8" t="str">
        <f>VLOOKUP($B371,'[1]Plant data'!$A$1:$AB$315,24,0)</f>
        <v>NA</v>
      </c>
      <c r="AA371" s="8">
        <f>VLOOKUP($B371,'[1]Plant data'!$A$1:$AB$315,25,0)</f>
        <v>0.69899999999999995</v>
      </c>
      <c r="AB371" s="8">
        <f t="shared" si="27"/>
        <v>0.18564999999999998</v>
      </c>
    </row>
    <row r="372" spans="1:28">
      <c r="A372" s="5" t="s">
        <v>46</v>
      </c>
      <c r="B372" s="33" t="s">
        <v>97</v>
      </c>
      <c r="C372" s="53">
        <v>52</v>
      </c>
      <c r="D372" s="11">
        <v>276</v>
      </c>
      <c r="E372" s="8">
        <v>0.16700000000000001</v>
      </c>
      <c r="F372" s="54">
        <v>110</v>
      </c>
      <c r="G372" s="9">
        <f>F372/C372</f>
        <v>2.1153846153846154</v>
      </c>
      <c r="H372" s="23">
        <f t="shared" si="26"/>
        <v>0.35326923076923078</v>
      </c>
      <c r="I372" t="s">
        <v>47</v>
      </c>
      <c r="J372" s="11">
        <v>54</v>
      </c>
      <c r="K372" s="11">
        <v>11.14875</v>
      </c>
      <c r="L372" t="str">
        <f>VLOOKUP(B372,'[1]Plant data'!$A$1:$AB$315,2,0)</f>
        <v>Arecaceae</v>
      </c>
      <c r="M372" s="9">
        <f>VLOOKUP($B372,'[1]Plant data'!$A$1:$AB$315,6,0)</f>
        <v>13.294285714285715</v>
      </c>
      <c r="N372" s="9">
        <f>VLOOKUP($B372,'[1]Plant data'!$A$1:$AB$315,7,0)</f>
        <v>12.980000000000002</v>
      </c>
      <c r="O372" s="8">
        <f>VLOOKUP($B372,'[1]Plant data'!$A$1:$AB$315,10,0)</f>
        <v>1.4212800000000001</v>
      </c>
      <c r="P372" s="8">
        <f>VLOOKUP($B372,'[1]Plant data'!$A$1:$AB$315,11,0)</f>
        <v>0.46</v>
      </c>
      <c r="Q372" s="8">
        <f>VLOOKUP($B372,'[1]Plant data'!$A$1:$AB$315,12,0)</f>
        <v>1.06515</v>
      </c>
      <c r="R372" s="8">
        <f>VLOOKUP($B372,'[1]Plant data'!$A$1:$AB$315,13,0)</f>
        <v>0.32305000000000006</v>
      </c>
      <c r="S372" s="8">
        <f>VLOOKUP($B372,'[1]Plant data'!$A$1:$AB$315,14,0)</f>
        <v>0.96343333333333325</v>
      </c>
      <c r="T372" s="11">
        <f>VLOOKUP($B372,'[1]Plant data'!$A$1:$AB$315,15,0)</f>
        <v>1</v>
      </c>
      <c r="U372" s="9">
        <f>VLOOKUP($B372,'[1]Plant data'!$A$1:$AB$315,19,0)</f>
        <v>0.67774999999999996</v>
      </c>
      <c r="V372" s="8">
        <f>VLOOKUP($B372,'[1]Plant data'!$A$1:$AB$315,20,0)</f>
        <v>0.13617499999999999</v>
      </c>
      <c r="W372" s="8">
        <f>VLOOKUP($B372,'[1]Plant data'!$A$1:$AB$315,21,0)</f>
        <v>5.0733332999999999E-2</v>
      </c>
      <c r="X372" s="8">
        <f>VLOOKUP($B372,'[1]Plant data'!$A$1:$AB$315,22,0)</f>
        <v>3.65E-3</v>
      </c>
      <c r="Y372" s="8">
        <f>VLOOKUP($B372,'[1]Plant data'!$A$1:$AB$315,23,0)</f>
        <v>0.182</v>
      </c>
      <c r="Z372" s="8" t="str">
        <f>VLOOKUP($B372,'[1]Plant data'!$A$1:$AB$315,24,0)</f>
        <v>NA</v>
      </c>
      <c r="AA372" s="8">
        <f>VLOOKUP($B372,'[1]Plant data'!$A$1:$AB$315,25,0)</f>
        <v>0.69899999999999995</v>
      </c>
      <c r="AB372" s="8">
        <f t="shared" si="27"/>
        <v>0.18564999999999998</v>
      </c>
    </row>
    <row r="373" spans="1:28">
      <c r="A373" s="5" t="s">
        <v>46</v>
      </c>
      <c r="B373" s="33" t="s">
        <v>97</v>
      </c>
      <c r="C373" s="53" t="s">
        <v>19</v>
      </c>
      <c r="D373" s="11" t="s">
        <v>19</v>
      </c>
      <c r="E373" s="8">
        <v>0.157</v>
      </c>
      <c r="F373" s="56" t="s">
        <v>19</v>
      </c>
      <c r="G373" s="9">
        <v>1.99</v>
      </c>
      <c r="H373" s="23">
        <f t="shared" si="26"/>
        <v>0.31242999999999999</v>
      </c>
      <c r="I373" t="s">
        <v>47</v>
      </c>
      <c r="J373" s="11">
        <v>54</v>
      </c>
      <c r="K373" s="11">
        <v>11.14875</v>
      </c>
      <c r="L373" t="str">
        <f>VLOOKUP(B373,'[1]Plant data'!$A$1:$AB$315,2,0)</f>
        <v>Arecaceae</v>
      </c>
      <c r="M373" s="9">
        <f>VLOOKUP($B373,'[1]Plant data'!$A$1:$AB$315,6,0)</f>
        <v>13.294285714285715</v>
      </c>
      <c r="N373" s="9">
        <f>VLOOKUP($B373,'[1]Plant data'!$A$1:$AB$315,7,0)</f>
        <v>12.980000000000002</v>
      </c>
      <c r="O373" s="8">
        <f>VLOOKUP($B373,'[1]Plant data'!$A$1:$AB$315,10,0)</f>
        <v>1.4212800000000001</v>
      </c>
      <c r="P373" s="8">
        <f>VLOOKUP($B373,'[1]Plant data'!$A$1:$AB$315,11,0)</f>
        <v>0.46</v>
      </c>
      <c r="Q373" s="8">
        <f>VLOOKUP($B373,'[1]Plant data'!$A$1:$AB$315,12,0)</f>
        <v>1.06515</v>
      </c>
      <c r="R373" s="8">
        <f>VLOOKUP($B373,'[1]Plant data'!$A$1:$AB$315,13,0)</f>
        <v>0.32305000000000006</v>
      </c>
      <c r="S373" s="8">
        <f>VLOOKUP($B373,'[1]Plant data'!$A$1:$AB$315,14,0)</f>
        <v>0.96343333333333325</v>
      </c>
      <c r="T373" s="11">
        <f>VLOOKUP($B373,'[1]Plant data'!$A$1:$AB$315,15,0)</f>
        <v>1</v>
      </c>
      <c r="U373" s="9">
        <f>VLOOKUP($B373,'[1]Plant data'!$A$1:$AB$315,19,0)</f>
        <v>0.67774999999999996</v>
      </c>
      <c r="V373" s="8">
        <f>VLOOKUP($B373,'[1]Plant data'!$A$1:$AB$315,20,0)</f>
        <v>0.13617499999999999</v>
      </c>
      <c r="W373" s="8">
        <f>VLOOKUP($B373,'[1]Plant data'!$A$1:$AB$315,21,0)</f>
        <v>5.0733332999999999E-2</v>
      </c>
      <c r="X373" s="8">
        <f>VLOOKUP($B373,'[1]Plant data'!$A$1:$AB$315,22,0)</f>
        <v>3.65E-3</v>
      </c>
      <c r="Y373" s="8">
        <f>VLOOKUP($B373,'[1]Plant data'!$A$1:$AB$315,23,0)</f>
        <v>0.182</v>
      </c>
      <c r="Z373" s="8" t="str">
        <f>VLOOKUP($B373,'[1]Plant data'!$A$1:$AB$315,24,0)</f>
        <v>NA</v>
      </c>
      <c r="AA373" s="8">
        <f>VLOOKUP($B373,'[1]Plant data'!$A$1:$AB$315,25,0)</f>
        <v>0.69899999999999995</v>
      </c>
      <c r="AB373" s="8">
        <f t="shared" si="27"/>
        <v>0.18564999999999998</v>
      </c>
    </row>
    <row r="374" spans="1:28">
      <c r="A374" s="5" t="s">
        <v>46</v>
      </c>
      <c r="B374" s="33" t="s">
        <v>97</v>
      </c>
      <c r="C374" s="53">
        <v>31</v>
      </c>
      <c r="D374" s="59">
        <v>324</v>
      </c>
      <c r="E374" s="8">
        <f>C374/324</f>
        <v>9.5679012345679007E-2</v>
      </c>
      <c r="F374" s="54">
        <v>33</v>
      </c>
      <c r="G374" s="9">
        <f>F374/C374</f>
        <v>1.064516129032258</v>
      </c>
      <c r="H374" s="23">
        <f t="shared" si="26"/>
        <v>0.10185185185185185</v>
      </c>
      <c r="I374" t="s">
        <v>47</v>
      </c>
      <c r="J374" s="11">
        <v>54</v>
      </c>
      <c r="K374" s="11">
        <v>11.14875</v>
      </c>
      <c r="L374" t="str">
        <f>VLOOKUP(B374,'[1]Plant data'!$A$1:$AB$315,2,0)</f>
        <v>Arecaceae</v>
      </c>
      <c r="M374" s="9">
        <f>VLOOKUP($B374,'[1]Plant data'!$A$1:$AB$315,6,0)</f>
        <v>13.294285714285715</v>
      </c>
      <c r="N374" s="9">
        <f>VLOOKUP($B374,'[1]Plant data'!$A$1:$AB$315,7,0)</f>
        <v>12.980000000000002</v>
      </c>
      <c r="O374" s="8">
        <f>VLOOKUP($B374,'[1]Plant data'!$A$1:$AB$315,10,0)</f>
        <v>1.4212800000000001</v>
      </c>
      <c r="P374" s="8">
        <f>VLOOKUP($B374,'[1]Plant data'!$A$1:$AB$315,11,0)</f>
        <v>0.46</v>
      </c>
      <c r="Q374" s="8">
        <f>VLOOKUP($B374,'[1]Plant data'!$A$1:$AB$315,12,0)</f>
        <v>1.06515</v>
      </c>
      <c r="R374" s="8">
        <f>VLOOKUP($B374,'[1]Plant data'!$A$1:$AB$315,13,0)</f>
        <v>0.32305000000000006</v>
      </c>
      <c r="S374" s="8">
        <f>VLOOKUP($B374,'[1]Plant data'!$A$1:$AB$315,14,0)</f>
        <v>0.96343333333333325</v>
      </c>
      <c r="T374" s="11">
        <f>VLOOKUP($B374,'[1]Plant data'!$A$1:$AB$315,15,0)</f>
        <v>1</v>
      </c>
      <c r="U374" s="9">
        <f>VLOOKUP($B374,'[1]Plant data'!$A$1:$AB$315,19,0)</f>
        <v>0.67774999999999996</v>
      </c>
      <c r="V374" s="8">
        <f>VLOOKUP($B374,'[1]Plant data'!$A$1:$AB$315,20,0)</f>
        <v>0.13617499999999999</v>
      </c>
      <c r="W374" s="8">
        <f>VLOOKUP($B374,'[1]Plant data'!$A$1:$AB$315,21,0)</f>
        <v>5.0733332999999999E-2</v>
      </c>
      <c r="X374" s="8">
        <f>VLOOKUP($B374,'[1]Plant data'!$A$1:$AB$315,22,0)</f>
        <v>3.65E-3</v>
      </c>
      <c r="Y374" s="8">
        <f>VLOOKUP($B374,'[1]Plant data'!$A$1:$AB$315,23,0)</f>
        <v>0.182</v>
      </c>
      <c r="Z374" s="8" t="str">
        <f>VLOOKUP($B374,'[1]Plant data'!$A$1:$AB$315,24,0)</f>
        <v>NA</v>
      </c>
      <c r="AA374" s="8">
        <f>VLOOKUP($B374,'[1]Plant data'!$A$1:$AB$315,25,0)</f>
        <v>0.69899999999999995</v>
      </c>
      <c r="AB374" s="8">
        <f t="shared" si="27"/>
        <v>0.18564999999999998</v>
      </c>
    </row>
    <row r="375" spans="1:28">
      <c r="A375" s="5" t="s">
        <v>46</v>
      </c>
      <c r="B375" s="33" t="s">
        <v>97</v>
      </c>
      <c r="C375" s="53">
        <v>8</v>
      </c>
      <c r="D375" s="59">
        <v>190</v>
      </c>
      <c r="E375" s="8">
        <f>C375/190</f>
        <v>4.2105263157894736E-2</v>
      </c>
      <c r="F375" s="54">
        <v>16</v>
      </c>
      <c r="G375" s="9">
        <f>F375/C375</f>
        <v>2</v>
      </c>
      <c r="H375" s="23">
        <f t="shared" si="26"/>
        <v>8.4210526315789472E-2</v>
      </c>
      <c r="I375" t="s">
        <v>47</v>
      </c>
      <c r="J375" s="11">
        <v>54</v>
      </c>
      <c r="K375" s="11">
        <v>11.14875</v>
      </c>
      <c r="L375" t="str">
        <f>VLOOKUP(B375,'[1]Plant data'!$A$1:$AB$315,2,0)</f>
        <v>Arecaceae</v>
      </c>
      <c r="M375" s="9">
        <f>VLOOKUP($B375,'[1]Plant data'!$A$1:$AB$315,6,0)</f>
        <v>13.294285714285715</v>
      </c>
      <c r="N375" s="9">
        <f>VLOOKUP($B375,'[1]Plant data'!$A$1:$AB$315,7,0)</f>
        <v>12.980000000000002</v>
      </c>
      <c r="O375" s="8">
        <f>VLOOKUP($B375,'[1]Plant data'!$A$1:$AB$315,10,0)</f>
        <v>1.4212800000000001</v>
      </c>
      <c r="P375" s="8">
        <f>VLOOKUP($B375,'[1]Plant data'!$A$1:$AB$315,11,0)</f>
        <v>0.46</v>
      </c>
      <c r="Q375" s="8">
        <f>VLOOKUP($B375,'[1]Plant data'!$A$1:$AB$315,12,0)</f>
        <v>1.06515</v>
      </c>
      <c r="R375" s="8">
        <f>VLOOKUP($B375,'[1]Plant data'!$A$1:$AB$315,13,0)</f>
        <v>0.32305000000000006</v>
      </c>
      <c r="S375" s="8">
        <f>VLOOKUP($B375,'[1]Plant data'!$A$1:$AB$315,14,0)</f>
        <v>0.96343333333333325</v>
      </c>
      <c r="T375" s="11">
        <f>VLOOKUP($B375,'[1]Plant data'!$A$1:$AB$315,15,0)</f>
        <v>1</v>
      </c>
      <c r="U375" s="9">
        <f>VLOOKUP($B375,'[1]Plant data'!$A$1:$AB$315,19,0)</f>
        <v>0.67774999999999996</v>
      </c>
      <c r="V375" s="8">
        <f>VLOOKUP($B375,'[1]Plant data'!$A$1:$AB$315,20,0)</f>
        <v>0.13617499999999999</v>
      </c>
      <c r="W375" s="8">
        <f>VLOOKUP($B375,'[1]Plant data'!$A$1:$AB$315,21,0)</f>
        <v>5.0733332999999999E-2</v>
      </c>
      <c r="X375" s="8">
        <f>VLOOKUP($B375,'[1]Plant data'!$A$1:$AB$315,22,0)</f>
        <v>3.65E-3</v>
      </c>
      <c r="Y375" s="8">
        <f>VLOOKUP($B375,'[1]Plant data'!$A$1:$AB$315,23,0)</f>
        <v>0.182</v>
      </c>
      <c r="Z375" s="8" t="str">
        <f>VLOOKUP($B375,'[1]Plant data'!$A$1:$AB$315,24,0)</f>
        <v>NA</v>
      </c>
      <c r="AA375" s="8">
        <f>VLOOKUP($B375,'[1]Plant data'!$A$1:$AB$315,25,0)</f>
        <v>0.69899999999999995</v>
      </c>
      <c r="AB375" s="8">
        <f t="shared" si="27"/>
        <v>0.18564999999999998</v>
      </c>
    </row>
    <row r="376" spans="1:28">
      <c r="A376" s="5" t="s">
        <v>46</v>
      </c>
      <c r="B376" s="33" t="s">
        <v>97</v>
      </c>
      <c r="C376" s="53">
        <v>8</v>
      </c>
      <c r="D376" s="59">
        <v>190</v>
      </c>
      <c r="E376" s="8">
        <f>C376/190</f>
        <v>4.2105263157894736E-2</v>
      </c>
      <c r="F376" s="54">
        <v>14</v>
      </c>
      <c r="G376" s="9">
        <f>F376/C376</f>
        <v>1.75</v>
      </c>
      <c r="H376" s="23">
        <f t="shared" si="26"/>
        <v>7.3684210526315783E-2</v>
      </c>
      <c r="I376" t="s">
        <v>47</v>
      </c>
      <c r="J376" s="11">
        <v>54</v>
      </c>
      <c r="K376" s="11">
        <v>11.14875</v>
      </c>
      <c r="L376" t="str">
        <f>VLOOKUP(B376,'[1]Plant data'!$A$1:$AB$315,2,0)</f>
        <v>Arecaceae</v>
      </c>
      <c r="M376" s="9">
        <f>VLOOKUP($B376,'[1]Plant data'!$A$1:$AB$315,6,0)</f>
        <v>13.294285714285715</v>
      </c>
      <c r="N376" s="9">
        <f>VLOOKUP($B376,'[1]Plant data'!$A$1:$AB$315,7,0)</f>
        <v>12.980000000000002</v>
      </c>
      <c r="O376" s="8">
        <f>VLOOKUP($B376,'[1]Plant data'!$A$1:$AB$315,10,0)</f>
        <v>1.4212800000000001</v>
      </c>
      <c r="P376" s="8">
        <f>VLOOKUP($B376,'[1]Plant data'!$A$1:$AB$315,11,0)</f>
        <v>0.46</v>
      </c>
      <c r="Q376" s="8">
        <f>VLOOKUP($B376,'[1]Plant data'!$A$1:$AB$315,12,0)</f>
        <v>1.06515</v>
      </c>
      <c r="R376" s="8">
        <f>VLOOKUP($B376,'[1]Plant data'!$A$1:$AB$315,13,0)</f>
        <v>0.32305000000000006</v>
      </c>
      <c r="S376" s="8">
        <f>VLOOKUP($B376,'[1]Plant data'!$A$1:$AB$315,14,0)</f>
        <v>0.96343333333333325</v>
      </c>
      <c r="T376" s="11">
        <f>VLOOKUP($B376,'[1]Plant data'!$A$1:$AB$315,15,0)</f>
        <v>1</v>
      </c>
      <c r="U376" s="9">
        <f>VLOOKUP($B376,'[1]Plant data'!$A$1:$AB$315,19,0)</f>
        <v>0.67774999999999996</v>
      </c>
      <c r="V376" s="8">
        <f>VLOOKUP($B376,'[1]Plant data'!$A$1:$AB$315,20,0)</f>
        <v>0.13617499999999999</v>
      </c>
      <c r="W376" s="8">
        <f>VLOOKUP($B376,'[1]Plant data'!$A$1:$AB$315,21,0)</f>
        <v>5.0733332999999999E-2</v>
      </c>
      <c r="X376" s="8">
        <f>VLOOKUP($B376,'[1]Plant data'!$A$1:$AB$315,22,0)</f>
        <v>3.65E-3</v>
      </c>
      <c r="Y376" s="8">
        <f>VLOOKUP($B376,'[1]Plant data'!$A$1:$AB$315,23,0)</f>
        <v>0.182</v>
      </c>
      <c r="Z376" s="8" t="str">
        <f>VLOOKUP($B376,'[1]Plant data'!$A$1:$AB$315,24,0)</f>
        <v>NA</v>
      </c>
      <c r="AA376" s="8">
        <f>VLOOKUP($B376,'[1]Plant data'!$A$1:$AB$315,25,0)</f>
        <v>0.69899999999999995</v>
      </c>
      <c r="AB376" s="8">
        <f t="shared" si="27"/>
        <v>0.18564999999999998</v>
      </c>
    </row>
    <row r="377" spans="1:28">
      <c r="A377" s="5" t="s">
        <v>46</v>
      </c>
      <c r="B377" s="33" t="s">
        <v>97</v>
      </c>
      <c r="C377" s="53" t="s">
        <v>19</v>
      </c>
      <c r="D377" s="59" t="s">
        <v>19</v>
      </c>
      <c r="E377" s="8">
        <v>5.0999999999999997E-2</v>
      </c>
      <c r="F377" s="56" t="s">
        <v>19</v>
      </c>
      <c r="G377" s="9">
        <v>1.27</v>
      </c>
      <c r="H377" s="23">
        <f t="shared" si="26"/>
        <v>6.4769999999999994E-2</v>
      </c>
      <c r="I377" t="s">
        <v>47</v>
      </c>
      <c r="J377" s="11">
        <v>54</v>
      </c>
      <c r="K377" s="11">
        <v>11.14875</v>
      </c>
      <c r="L377" t="str">
        <f>VLOOKUP(B377,'[1]Plant data'!$A$1:$AB$315,2,0)</f>
        <v>Arecaceae</v>
      </c>
      <c r="M377" s="9">
        <f>VLOOKUP($B377,'[1]Plant data'!$A$1:$AB$315,6,0)</f>
        <v>13.294285714285715</v>
      </c>
      <c r="N377" s="9">
        <f>VLOOKUP($B377,'[1]Plant data'!$A$1:$AB$315,7,0)</f>
        <v>12.980000000000002</v>
      </c>
      <c r="O377" s="8">
        <f>VLOOKUP($B377,'[1]Plant data'!$A$1:$AB$315,10,0)</f>
        <v>1.4212800000000001</v>
      </c>
      <c r="P377" s="8">
        <f>VLOOKUP($B377,'[1]Plant data'!$A$1:$AB$315,11,0)</f>
        <v>0.46</v>
      </c>
      <c r="Q377" s="8">
        <f>VLOOKUP($B377,'[1]Plant data'!$A$1:$AB$315,12,0)</f>
        <v>1.06515</v>
      </c>
      <c r="R377" s="8">
        <f>VLOOKUP($B377,'[1]Plant data'!$A$1:$AB$315,13,0)</f>
        <v>0.32305000000000006</v>
      </c>
      <c r="S377" s="8">
        <f>VLOOKUP($B377,'[1]Plant data'!$A$1:$AB$315,14,0)</f>
        <v>0.96343333333333325</v>
      </c>
      <c r="T377" s="11">
        <f>VLOOKUP($B377,'[1]Plant data'!$A$1:$AB$315,15,0)</f>
        <v>1</v>
      </c>
      <c r="U377" s="9">
        <f>VLOOKUP($B377,'[1]Plant data'!$A$1:$AB$315,19,0)</f>
        <v>0.67774999999999996</v>
      </c>
      <c r="V377" s="8">
        <f>VLOOKUP($B377,'[1]Plant data'!$A$1:$AB$315,20,0)</f>
        <v>0.13617499999999999</v>
      </c>
      <c r="W377" s="8">
        <f>VLOOKUP($B377,'[1]Plant data'!$A$1:$AB$315,21,0)</f>
        <v>5.0733332999999999E-2</v>
      </c>
      <c r="X377" s="8">
        <f>VLOOKUP($B377,'[1]Plant data'!$A$1:$AB$315,22,0)</f>
        <v>3.65E-3</v>
      </c>
      <c r="Y377" s="8">
        <f>VLOOKUP($B377,'[1]Plant data'!$A$1:$AB$315,23,0)</f>
        <v>0.182</v>
      </c>
      <c r="Z377" s="8" t="str">
        <f>VLOOKUP($B377,'[1]Plant data'!$A$1:$AB$315,24,0)</f>
        <v>NA</v>
      </c>
      <c r="AA377" s="8">
        <f>VLOOKUP($B377,'[1]Plant data'!$A$1:$AB$315,25,0)</f>
        <v>0.69899999999999995</v>
      </c>
      <c r="AB377" s="8">
        <f t="shared" si="27"/>
        <v>0.18564999999999998</v>
      </c>
    </row>
    <row r="378" spans="1:28">
      <c r="A378" s="5" t="s">
        <v>46</v>
      </c>
      <c r="B378" s="33" t="s">
        <v>97</v>
      </c>
      <c r="C378" s="53">
        <v>7</v>
      </c>
      <c r="D378" s="59">
        <v>324</v>
      </c>
      <c r="E378" s="8">
        <f>C378/324</f>
        <v>2.1604938271604937E-2</v>
      </c>
      <c r="F378" s="54">
        <v>15</v>
      </c>
      <c r="G378" s="9">
        <f>F378/C378</f>
        <v>2.1428571428571428</v>
      </c>
      <c r="H378" s="23">
        <f t="shared" si="26"/>
        <v>4.6296296296296294E-2</v>
      </c>
      <c r="I378" t="s">
        <v>47</v>
      </c>
      <c r="J378" s="11">
        <v>54</v>
      </c>
      <c r="K378" s="11">
        <v>11.14875</v>
      </c>
      <c r="L378" t="str">
        <f>VLOOKUP(B378,'[1]Plant data'!$A$1:$AB$315,2,0)</f>
        <v>Arecaceae</v>
      </c>
      <c r="M378" s="9">
        <f>VLOOKUP($B378,'[1]Plant data'!$A$1:$AB$315,6,0)</f>
        <v>13.294285714285715</v>
      </c>
      <c r="N378" s="9">
        <f>VLOOKUP($B378,'[1]Plant data'!$A$1:$AB$315,7,0)</f>
        <v>12.980000000000002</v>
      </c>
      <c r="O378" s="8">
        <f>VLOOKUP($B378,'[1]Plant data'!$A$1:$AB$315,10,0)</f>
        <v>1.4212800000000001</v>
      </c>
      <c r="P378" s="8">
        <f>VLOOKUP($B378,'[1]Plant data'!$A$1:$AB$315,11,0)</f>
        <v>0.46</v>
      </c>
      <c r="Q378" s="8">
        <f>VLOOKUP($B378,'[1]Plant data'!$A$1:$AB$315,12,0)</f>
        <v>1.06515</v>
      </c>
      <c r="R378" s="8">
        <f>VLOOKUP($B378,'[1]Plant data'!$A$1:$AB$315,13,0)</f>
        <v>0.32305000000000006</v>
      </c>
      <c r="S378" s="8">
        <f>VLOOKUP($B378,'[1]Plant data'!$A$1:$AB$315,14,0)</f>
        <v>0.96343333333333325</v>
      </c>
      <c r="T378" s="11">
        <f>VLOOKUP($B378,'[1]Plant data'!$A$1:$AB$315,15,0)</f>
        <v>1</v>
      </c>
      <c r="U378" s="9">
        <f>VLOOKUP($B378,'[1]Plant data'!$A$1:$AB$315,19,0)</f>
        <v>0.67774999999999996</v>
      </c>
      <c r="V378" s="8">
        <f>VLOOKUP($B378,'[1]Plant data'!$A$1:$AB$315,20,0)</f>
        <v>0.13617499999999999</v>
      </c>
      <c r="W378" s="8">
        <f>VLOOKUP($B378,'[1]Plant data'!$A$1:$AB$315,21,0)</f>
        <v>5.0733332999999999E-2</v>
      </c>
      <c r="X378" s="8">
        <f>VLOOKUP($B378,'[1]Plant data'!$A$1:$AB$315,22,0)</f>
        <v>3.65E-3</v>
      </c>
      <c r="Y378" s="8">
        <f>VLOOKUP($B378,'[1]Plant data'!$A$1:$AB$315,23,0)</f>
        <v>0.182</v>
      </c>
      <c r="Z378" s="8" t="str">
        <f>VLOOKUP($B378,'[1]Plant data'!$A$1:$AB$315,24,0)</f>
        <v>NA</v>
      </c>
      <c r="AA378" s="8">
        <f>VLOOKUP($B378,'[1]Plant data'!$A$1:$AB$315,25,0)</f>
        <v>0.69899999999999995</v>
      </c>
      <c r="AB378" s="8">
        <f t="shared" si="27"/>
        <v>0.18564999999999998</v>
      </c>
    </row>
    <row r="379" spans="1:28">
      <c r="A379" s="5" t="s">
        <v>46</v>
      </c>
      <c r="B379" s="33" t="s">
        <v>97</v>
      </c>
      <c r="C379" s="53">
        <v>1</v>
      </c>
      <c r="D379" s="59">
        <v>190</v>
      </c>
      <c r="E379" s="8">
        <f>C379/190</f>
        <v>5.263157894736842E-3</v>
      </c>
      <c r="F379" s="54">
        <v>4</v>
      </c>
      <c r="G379" s="9">
        <f>F379/C379</f>
        <v>4</v>
      </c>
      <c r="H379" s="23">
        <f t="shared" si="26"/>
        <v>2.1052631578947368E-2</v>
      </c>
      <c r="I379" t="s">
        <v>47</v>
      </c>
      <c r="J379" s="11">
        <v>54</v>
      </c>
      <c r="K379" s="11">
        <v>11.14875</v>
      </c>
      <c r="L379" t="str">
        <f>VLOOKUP(B379,'[1]Plant data'!$A$1:$AB$315,2,0)</f>
        <v>Arecaceae</v>
      </c>
      <c r="M379" s="9">
        <f>VLOOKUP($B379,'[1]Plant data'!$A$1:$AB$315,6,0)</f>
        <v>13.294285714285715</v>
      </c>
      <c r="N379" s="9">
        <f>VLOOKUP($B379,'[1]Plant data'!$A$1:$AB$315,7,0)</f>
        <v>12.980000000000002</v>
      </c>
      <c r="O379" s="8">
        <f>VLOOKUP($B379,'[1]Plant data'!$A$1:$AB$315,10,0)</f>
        <v>1.4212800000000001</v>
      </c>
      <c r="P379" s="8">
        <f>VLOOKUP($B379,'[1]Plant data'!$A$1:$AB$315,11,0)</f>
        <v>0.46</v>
      </c>
      <c r="Q379" s="8">
        <f>VLOOKUP($B379,'[1]Plant data'!$A$1:$AB$315,12,0)</f>
        <v>1.06515</v>
      </c>
      <c r="R379" s="8">
        <f>VLOOKUP($B379,'[1]Plant data'!$A$1:$AB$315,13,0)</f>
        <v>0.32305000000000006</v>
      </c>
      <c r="S379" s="8">
        <f>VLOOKUP($B379,'[1]Plant data'!$A$1:$AB$315,14,0)</f>
        <v>0.96343333333333325</v>
      </c>
      <c r="T379" s="11">
        <f>VLOOKUP($B379,'[1]Plant data'!$A$1:$AB$315,15,0)</f>
        <v>1</v>
      </c>
      <c r="U379" s="9">
        <f>VLOOKUP($B379,'[1]Plant data'!$A$1:$AB$315,19,0)</f>
        <v>0.67774999999999996</v>
      </c>
      <c r="V379" s="8">
        <f>VLOOKUP($B379,'[1]Plant data'!$A$1:$AB$315,20,0)</f>
        <v>0.13617499999999999</v>
      </c>
      <c r="W379" s="8">
        <f>VLOOKUP($B379,'[1]Plant data'!$A$1:$AB$315,21,0)</f>
        <v>5.0733332999999999E-2</v>
      </c>
      <c r="X379" s="8">
        <f>VLOOKUP($B379,'[1]Plant data'!$A$1:$AB$315,22,0)</f>
        <v>3.65E-3</v>
      </c>
      <c r="Y379" s="8">
        <f>VLOOKUP($B379,'[1]Plant data'!$A$1:$AB$315,23,0)</f>
        <v>0.182</v>
      </c>
      <c r="Z379" s="8" t="str">
        <f>VLOOKUP($B379,'[1]Plant data'!$A$1:$AB$315,24,0)</f>
        <v>NA</v>
      </c>
      <c r="AA379" s="8">
        <f>VLOOKUP($B379,'[1]Plant data'!$A$1:$AB$315,25,0)</f>
        <v>0.69899999999999995</v>
      </c>
      <c r="AB379" s="8">
        <f t="shared" si="27"/>
        <v>0.18564999999999998</v>
      </c>
    </row>
    <row r="380" spans="1:28">
      <c r="A380" s="5" t="s">
        <v>46</v>
      </c>
      <c r="B380" s="33" t="s">
        <v>97</v>
      </c>
      <c r="C380" s="53">
        <v>2</v>
      </c>
      <c r="D380" s="59">
        <v>324</v>
      </c>
      <c r="E380" s="8">
        <f>C380/324</f>
        <v>6.1728395061728392E-3</v>
      </c>
      <c r="F380" s="54">
        <v>6</v>
      </c>
      <c r="G380" s="9">
        <f>F380/C380</f>
        <v>3</v>
      </c>
      <c r="H380" s="23">
        <f t="shared" ref="H380:H411" si="28">E380*G380</f>
        <v>1.8518518518518517E-2</v>
      </c>
      <c r="I380" t="s">
        <v>47</v>
      </c>
      <c r="J380" s="11">
        <v>54</v>
      </c>
      <c r="K380" s="11">
        <v>11.14875</v>
      </c>
      <c r="L380" t="str">
        <f>VLOOKUP(B380,'[1]Plant data'!$A$1:$AB$315,2,0)</f>
        <v>Arecaceae</v>
      </c>
      <c r="M380" s="9">
        <f>VLOOKUP($B380,'[1]Plant data'!$A$1:$AB$315,6,0)</f>
        <v>13.294285714285715</v>
      </c>
      <c r="N380" s="9">
        <f>VLOOKUP($B380,'[1]Plant data'!$A$1:$AB$315,7,0)</f>
        <v>12.980000000000002</v>
      </c>
      <c r="O380" s="8">
        <f>VLOOKUP($B380,'[1]Plant data'!$A$1:$AB$315,10,0)</f>
        <v>1.4212800000000001</v>
      </c>
      <c r="P380" s="8">
        <f>VLOOKUP($B380,'[1]Plant data'!$A$1:$AB$315,11,0)</f>
        <v>0.46</v>
      </c>
      <c r="Q380" s="8">
        <f>VLOOKUP($B380,'[1]Plant data'!$A$1:$AB$315,12,0)</f>
        <v>1.06515</v>
      </c>
      <c r="R380" s="8">
        <f>VLOOKUP($B380,'[1]Plant data'!$A$1:$AB$315,13,0)</f>
        <v>0.32305000000000006</v>
      </c>
      <c r="S380" s="8">
        <f>VLOOKUP($B380,'[1]Plant data'!$A$1:$AB$315,14,0)</f>
        <v>0.96343333333333325</v>
      </c>
      <c r="T380" s="11">
        <f>VLOOKUP($B380,'[1]Plant data'!$A$1:$AB$315,15,0)</f>
        <v>1</v>
      </c>
      <c r="U380" s="9">
        <f>VLOOKUP($B380,'[1]Plant data'!$A$1:$AB$315,19,0)</f>
        <v>0.67774999999999996</v>
      </c>
      <c r="V380" s="8">
        <f>VLOOKUP($B380,'[1]Plant data'!$A$1:$AB$315,20,0)</f>
        <v>0.13617499999999999</v>
      </c>
      <c r="W380" s="8">
        <f>VLOOKUP($B380,'[1]Plant data'!$A$1:$AB$315,21,0)</f>
        <v>5.0733332999999999E-2</v>
      </c>
      <c r="X380" s="8">
        <f>VLOOKUP($B380,'[1]Plant data'!$A$1:$AB$315,22,0)</f>
        <v>3.65E-3</v>
      </c>
      <c r="Y380" s="8">
        <f>VLOOKUP($B380,'[1]Plant data'!$A$1:$AB$315,23,0)</f>
        <v>0.182</v>
      </c>
      <c r="Z380" s="8" t="str">
        <f>VLOOKUP($B380,'[1]Plant data'!$A$1:$AB$315,24,0)</f>
        <v>NA</v>
      </c>
      <c r="AA380" s="8">
        <f>VLOOKUP($B380,'[1]Plant data'!$A$1:$AB$315,25,0)</f>
        <v>0.69899999999999995</v>
      </c>
      <c r="AB380" s="8">
        <f t="shared" si="27"/>
        <v>0.18564999999999998</v>
      </c>
    </row>
    <row r="381" spans="1:28">
      <c r="A381" s="5" t="s">
        <v>46</v>
      </c>
      <c r="B381" s="33" t="s">
        <v>97</v>
      </c>
      <c r="C381" s="53">
        <v>4</v>
      </c>
      <c r="D381" s="11">
        <v>330</v>
      </c>
      <c r="E381" s="8">
        <f>C381/330</f>
        <v>1.2121212121212121E-2</v>
      </c>
      <c r="F381" s="56" t="s">
        <v>19</v>
      </c>
      <c r="G381" s="9">
        <v>1.5</v>
      </c>
      <c r="H381" s="23">
        <f t="shared" si="28"/>
        <v>1.8181818181818181E-2</v>
      </c>
      <c r="I381" t="s">
        <v>47</v>
      </c>
      <c r="J381" s="11">
        <v>54</v>
      </c>
      <c r="K381" s="11">
        <v>11.14875</v>
      </c>
      <c r="L381" t="str">
        <f>VLOOKUP(B381,'[1]Plant data'!$A$1:$AB$315,2,0)</f>
        <v>Arecaceae</v>
      </c>
      <c r="M381" s="9">
        <f>VLOOKUP($B381,'[1]Plant data'!$A$1:$AB$315,6,0)</f>
        <v>13.294285714285715</v>
      </c>
      <c r="N381" s="9">
        <f>VLOOKUP($B381,'[1]Plant data'!$A$1:$AB$315,7,0)</f>
        <v>12.980000000000002</v>
      </c>
      <c r="O381" s="8">
        <f>VLOOKUP($B381,'[1]Plant data'!$A$1:$AB$315,10,0)</f>
        <v>1.4212800000000001</v>
      </c>
      <c r="P381" s="8">
        <f>VLOOKUP($B381,'[1]Plant data'!$A$1:$AB$315,11,0)</f>
        <v>0.46</v>
      </c>
      <c r="Q381" s="8">
        <f>VLOOKUP($B381,'[1]Plant data'!$A$1:$AB$315,12,0)</f>
        <v>1.06515</v>
      </c>
      <c r="R381" s="8">
        <f>VLOOKUP($B381,'[1]Plant data'!$A$1:$AB$315,13,0)</f>
        <v>0.32305000000000006</v>
      </c>
      <c r="S381" s="8">
        <f>VLOOKUP($B381,'[1]Plant data'!$A$1:$AB$315,14,0)</f>
        <v>0.96343333333333325</v>
      </c>
      <c r="T381" s="11">
        <f>VLOOKUP($B381,'[1]Plant data'!$A$1:$AB$315,15,0)</f>
        <v>1</v>
      </c>
      <c r="U381" s="9">
        <f>VLOOKUP($B381,'[1]Plant data'!$A$1:$AB$315,19,0)</f>
        <v>0.67774999999999996</v>
      </c>
      <c r="V381" s="8">
        <f>VLOOKUP($B381,'[1]Plant data'!$A$1:$AB$315,20,0)</f>
        <v>0.13617499999999999</v>
      </c>
      <c r="W381" s="8">
        <f>VLOOKUP($B381,'[1]Plant data'!$A$1:$AB$315,21,0)</f>
        <v>5.0733332999999999E-2</v>
      </c>
      <c r="X381" s="8">
        <f>VLOOKUP($B381,'[1]Plant data'!$A$1:$AB$315,22,0)</f>
        <v>3.65E-3</v>
      </c>
      <c r="Y381" s="8">
        <f>VLOOKUP($B381,'[1]Plant data'!$A$1:$AB$315,23,0)</f>
        <v>0.182</v>
      </c>
      <c r="Z381" s="8" t="str">
        <f>VLOOKUP($B381,'[1]Plant data'!$A$1:$AB$315,24,0)</f>
        <v>NA</v>
      </c>
      <c r="AA381" s="8">
        <f>VLOOKUP($B381,'[1]Plant data'!$A$1:$AB$315,25,0)</f>
        <v>0.69899999999999995</v>
      </c>
      <c r="AB381" s="8">
        <f t="shared" si="27"/>
        <v>0.18564999999999998</v>
      </c>
    </row>
    <row r="382" spans="1:28">
      <c r="A382" s="5" t="s">
        <v>46</v>
      </c>
      <c r="B382" s="33" t="s">
        <v>97</v>
      </c>
      <c r="C382" s="53">
        <v>2</v>
      </c>
      <c r="D382" s="58">
        <v>250</v>
      </c>
      <c r="E382" s="8">
        <f>C382/250</f>
        <v>8.0000000000000002E-3</v>
      </c>
      <c r="F382" s="54" t="s">
        <v>19</v>
      </c>
      <c r="G382" s="41">
        <v>2.08</v>
      </c>
      <c r="H382" s="23">
        <f t="shared" si="28"/>
        <v>1.6640000000000002E-2</v>
      </c>
      <c r="I382" t="s">
        <v>47</v>
      </c>
      <c r="J382" s="11">
        <v>54</v>
      </c>
      <c r="K382" s="11">
        <v>11.14875</v>
      </c>
      <c r="L382" t="str">
        <f>VLOOKUP(B382,'[1]Plant data'!$A$1:$AB$315,2,0)</f>
        <v>Arecaceae</v>
      </c>
      <c r="M382" s="9">
        <f>VLOOKUP($B382,'[1]Plant data'!$A$1:$AB$315,6,0)</f>
        <v>13.294285714285715</v>
      </c>
      <c r="N382" s="9">
        <f>VLOOKUP($B382,'[1]Plant data'!$A$1:$AB$315,7,0)</f>
        <v>12.980000000000002</v>
      </c>
      <c r="O382" s="8">
        <f>VLOOKUP($B382,'[1]Plant data'!$A$1:$AB$315,10,0)</f>
        <v>1.4212800000000001</v>
      </c>
      <c r="P382" s="8">
        <f>VLOOKUP($B382,'[1]Plant data'!$A$1:$AB$315,11,0)</f>
        <v>0.46</v>
      </c>
      <c r="Q382" s="8">
        <f>VLOOKUP($B382,'[1]Plant data'!$A$1:$AB$315,12,0)</f>
        <v>1.06515</v>
      </c>
      <c r="R382" s="8">
        <f>VLOOKUP($B382,'[1]Plant data'!$A$1:$AB$315,13,0)</f>
        <v>0.32305000000000006</v>
      </c>
      <c r="S382" s="8">
        <f>VLOOKUP($B382,'[1]Plant data'!$A$1:$AB$315,14,0)</f>
        <v>0.96343333333333325</v>
      </c>
      <c r="T382" s="11">
        <f>VLOOKUP($B382,'[1]Plant data'!$A$1:$AB$315,15,0)</f>
        <v>1</v>
      </c>
      <c r="U382" s="9">
        <f>VLOOKUP($B382,'[1]Plant data'!$A$1:$AB$315,19,0)</f>
        <v>0.67774999999999996</v>
      </c>
      <c r="V382" s="8">
        <f>VLOOKUP($B382,'[1]Plant data'!$A$1:$AB$315,20,0)</f>
        <v>0.13617499999999999</v>
      </c>
      <c r="W382" s="8">
        <f>VLOOKUP($B382,'[1]Plant data'!$A$1:$AB$315,21,0)</f>
        <v>5.0733332999999999E-2</v>
      </c>
      <c r="X382" s="8">
        <f>VLOOKUP($B382,'[1]Plant data'!$A$1:$AB$315,22,0)</f>
        <v>3.65E-3</v>
      </c>
      <c r="Y382" s="8">
        <f>VLOOKUP($B382,'[1]Plant data'!$A$1:$AB$315,23,0)</f>
        <v>0.182</v>
      </c>
      <c r="Z382" s="8" t="str">
        <f>VLOOKUP($B382,'[1]Plant data'!$A$1:$AB$315,24,0)</f>
        <v>NA</v>
      </c>
      <c r="AA382" s="8">
        <f>VLOOKUP($B382,'[1]Plant data'!$A$1:$AB$315,25,0)</f>
        <v>0.69899999999999995</v>
      </c>
      <c r="AB382" s="8">
        <f t="shared" si="27"/>
        <v>0.18564999999999998</v>
      </c>
    </row>
    <row r="383" spans="1:28">
      <c r="A383" s="5" t="s">
        <v>46</v>
      </c>
      <c r="B383" s="33" t="s">
        <v>97</v>
      </c>
      <c r="C383" s="53">
        <v>4</v>
      </c>
      <c r="D383" s="11">
        <v>750</v>
      </c>
      <c r="E383" s="8">
        <f>C383/750</f>
        <v>5.3333333333333332E-3</v>
      </c>
      <c r="F383" s="56" t="s">
        <v>19</v>
      </c>
      <c r="G383" s="41">
        <v>2.08</v>
      </c>
      <c r="H383" s="23">
        <f t="shared" si="28"/>
        <v>1.1093333333333334E-2</v>
      </c>
      <c r="I383" t="s">
        <v>47</v>
      </c>
      <c r="J383" s="11">
        <v>54</v>
      </c>
      <c r="K383" s="11">
        <v>11.14875</v>
      </c>
      <c r="L383" t="str">
        <f>VLOOKUP(B383,'[1]Plant data'!$A$1:$AB$315,2,0)</f>
        <v>Arecaceae</v>
      </c>
      <c r="M383" s="9">
        <f>VLOOKUP($B383,'[1]Plant data'!$A$1:$AB$315,6,0)</f>
        <v>13.294285714285715</v>
      </c>
      <c r="N383" s="9">
        <f>VLOOKUP($B383,'[1]Plant data'!$A$1:$AB$315,7,0)</f>
        <v>12.980000000000002</v>
      </c>
      <c r="O383" s="8">
        <f>VLOOKUP($B383,'[1]Plant data'!$A$1:$AB$315,10,0)</f>
        <v>1.4212800000000001</v>
      </c>
      <c r="P383" s="8">
        <f>VLOOKUP($B383,'[1]Plant data'!$A$1:$AB$315,11,0)</f>
        <v>0.46</v>
      </c>
      <c r="Q383" s="8">
        <f>VLOOKUP($B383,'[1]Plant data'!$A$1:$AB$315,12,0)</f>
        <v>1.06515</v>
      </c>
      <c r="R383" s="8">
        <f>VLOOKUP($B383,'[1]Plant data'!$A$1:$AB$315,13,0)</f>
        <v>0.32305000000000006</v>
      </c>
      <c r="S383" s="8">
        <f>VLOOKUP($B383,'[1]Plant data'!$A$1:$AB$315,14,0)</f>
        <v>0.96343333333333325</v>
      </c>
      <c r="T383" s="11">
        <f>VLOOKUP($B383,'[1]Plant data'!$A$1:$AB$315,15,0)</f>
        <v>1</v>
      </c>
      <c r="U383" s="9">
        <f>VLOOKUP($B383,'[1]Plant data'!$A$1:$AB$315,19,0)</f>
        <v>0.67774999999999996</v>
      </c>
      <c r="V383" s="8">
        <f>VLOOKUP($B383,'[1]Plant data'!$A$1:$AB$315,20,0)</f>
        <v>0.13617499999999999</v>
      </c>
      <c r="W383" s="8">
        <f>VLOOKUP($B383,'[1]Plant data'!$A$1:$AB$315,21,0)</f>
        <v>5.0733332999999999E-2</v>
      </c>
      <c r="X383" s="8">
        <f>VLOOKUP($B383,'[1]Plant data'!$A$1:$AB$315,22,0)</f>
        <v>3.65E-3</v>
      </c>
      <c r="Y383" s="8">
        <f>VLOOKUP($B383,'[1]Plant data'!$A$1:$AB$315,23,0)</f>
        <v>0.182</v>
      </c>
      <c r="Z383" s="8" t="str">
        <f>VLOOKUP($B383,'[1]Plant data'!$A$1:$AB$315,24,0)</f>
        <v>NA</v>
      </c>
      <c r="AA383" s="8">
        <f>VLOOKUP($B383,'[1]Plant data'!$A$1:$AB$315,25,0)</f>
        <v>0.69899999999999995</v>
      </c>
      <c r="AB383" s="8">
        <f t="shared" si="27"/>
        <v>0.18564999999999998</v>
      </c>
    </row>
    <row r="384" spans="1:28">
      <c r="A384" s="5" t="s">
        <v>50</v>
      </c>
      <c r="B384" s="32" t="s">
        <v>97</v>
      </c>
      <c r="C384" s="53">
        <v>5</v>
      </c>
      <c r="D384" s="11">
        <v>33</v>
      </c>
      <c r="E384" s="8">
        <f>C384/33</f>
        <v>0.15151515151515152</v>
      </c>
      <c r="F384" s="56" t="s">
        <v>19</v>
      </c>
      <c r="G384" s="9">
        <v>1.6</v>
      </c>
      <c r="H384" s="23">
        <f t="shared" si="28"/>
        <v>0.24242424242424243</v>
      </c>
      <c r="I384" t="s">
        <v>47</v>
      </c>
      <c r="J384" s="11">
        <v>69.5</v>
      </c>
      <c r="K384" s="11">
        <v>13.253214290000001</v>
      </c>
      <c r="L384" t="str">
        <f>VLOOKUP(B384,'[1]Plant data'!$A$1:$AB$315,2,0)</f>
        <v>Arecaceae</v>
      </c>
      <c r="M384" s="9">
        <f>VLOOKUP($B384,'[1]Plant data'!$A$1:$AB$315,6,0)</f>
        <v>13.294285714285715</v>
      </c>
      <c r="N384" s="9">
        <f>VLOOKUP($B384,'[1]Plant data'!$A$1:$AB$315,7,0)</f>
        <v>12.980000000000002</v>
      </c>
      <c r="O384" s="8">
        <f>VLOOKUP($B384,'[1]Plant data'!$A$1:$AB$315,10,0)</f>
        <v>1.4212800000000001</v>
      </c>
      <c r="P384" s="8">
        <f>VLOOKUP($B384,'[1]Plant data'!$A$1:$AB$315,11,0)</f>
        <v>0.46</v>
      </c>
      <c r="Q384" s="8">
        <f>VLOOKUP($B384,'[1]Plant data'!$A$1:$AB$315,12,0)</f>
        <v>1.06515</v>
      </c>
      <c r="R384" s="8">
        <f>VLOOKUP($B384,'[1]Plant data'!$A$1:$AB$315,13,0)</f>
        <v>0.32305000000000006</v>
      </c>
      <c r="S384" s="8">
        <f>VLOOKUP($B384,'[1]Plant data'!$A$1:$AB$315,14,0)</f>
        <v>0.96343333333333325</v>
      </c>
      <c r="T384" s="11">
        <f>VLOOKUP($B384,'[1]Plant data'!$A$1:$AB$315,15,0)</f>
        <v>1</v>
      </c>
      <c r="U384" s="9">
        <f>VLOOKUP($B384,'[1]Plant data'!$A$1:$AB$315,19,0)</f>
        <v>0.67774999999999996</v>
      </c>
      <c r="V384" s="8">
        <f>VLOOKUP($B384,'[1]Plant data'!$A$1:$AB$315,20,0)</f>
        <v>0.13617499999999999</v>
      </c>
      <c r="W384" s="8">
        <f>VLOOKUP($B384,'[1]Plant data'!$A$1:$AB$315,21,0)</f>
        <v>5.0733332999999999E-2</v>
      </c>
      <c r="X384" s="8">
        <f>VLOOKUP($B384,'[1]Plant data'!$A$1:$AB$315,22,0)</f>
        <v>3.65E-3</v>
      </c>
      <c r="Y384" s="8">
        <f>VLOOKUP($B384,'[1]Plant data'!$A$1:$AB$315,23,0)</f>
        <v>0.182</v>
      </c>
      <c r="Z384" s="8" t="str">
        <f>VLOOKUP($B384,'[1]Plant data'!$A$1:$AB$315,24,0)</f>
        <v>NA</v>
      </c>
      <c r="AA384" s="8">
        <f>VLOOKUP($B384,'[1]Plant data'!$A$1:$AB$315,25,0)</f>
        <v>0.69899999999999995</v>
      </c>
      <c r="AB384" s="8">
        <f t="shared" si="27"/>
        <v>0.18564999999999998</v>
      </c>
    </row>
    <row r="385" spans="1:28">
      <c r="A385" s="5" t="s">
        <v>50</v>
      </c>
      <c r="B385" s="32" t="s">
        <v>97</v>
      </c>
      <c r="C385" s="53" t="s">
        <v>19</v>
      </c>
      <c r="D385" s="11" t="s">
        <v>19</v>
      </c>
      <c r="E385" s="8">
        <v>0.12</v>
      </c>
      <c r="F385" s="56" t="s">
        <v>19</v>
      </c>
      <c r="G385" s="9">
        <v>1.29</v>
      </c>
      <c r="H385" s="23">
        <f t="shared" si="28"/>
        <v>0.15479999999999999</v>
      </c>
      <c r="I385" t="s">
        <v>47</v>
      </c>
      <c r="J385" s="11">
        <v>69.5</v>
      </c>
      <c r="K385" s="11">
        <v>13.253214290000001</v>
      </c>
      <c r="L385" t="str">
        <f>VLOOKUP(B385,'[1]Plant data'!$A$1:$AB$315,2,0)</f>
        <v>Arecaceae</v>
      </c>
      <c r="M385" s="9">
        <f>VLOOKUP($B385,'[1]Plant data'!$A$1:$AB$315,6,0)</f>
        <v>13.294285714285715</v>
      </c>
      <c r="N385" s="9">
        <f>VLOOKUP($B385,'[1]Plant data'!$A$1:$AB$315,7,0)</f>
        <v>12.980000000000002</v>
      </c>
      <c r="O385" s="8">
        <f>VLOOKUP($B385,'[1]Plant data'!$A$1:$AB$315,10,0)</f>
        <v>1.4212800000000001</v>
      </c>
      <c r="P385" s="8">
        <f>VLOOKUP($B385,'[1]Plant data'!$A$1:$AB$315,11,0)</f>
        <v>0.46</v>
      </c>
      <c r="Q385" s="8">
        <f>VLOOKUP($B385,'[1]Plant data'!$A$1:$AB$315,12,0)</f>
        <v>1.06515</v>
      </c>
      <c r="R385" s="8">
        <f>VLOOKUP($B385,'[1]Plant data'!$A$1:$AB$315,13,0)</f>
        <v>0.32305000000000006</v>
      </c>
      <c r="S385" s="8">
        <f>VLOOKUP($B385,'[1]Plant data'!$A$1:$AB$315,14,0)</f>
        <v>0.96343333333333325</v>
      </c>
      <c r="T385" s="11">
        <f>VLOOKUP($B385,'[1]Plant data'!$A$1:$AB$315,15,0)</f>
        <v>1</v>
      </c>
      <c r="U385" s="9">
        <f>VLOOKUP($B385,'[1]Plant data'!$A$1:$AB$315,19,0)</f>
        <v>0.67774999999999996</v>
      </c>
      <c r="V385" s="8">
        <f>VLOOKUP($B385,'[1]Plant data'!$A$1:$AB$315,20,0)</f>
        <v>0.13617499999999999</v>
      </c>
      <c r="W385" s="8">
        <f>VLOOKUP($B385,'[1]Plant data'!$A$1:$AB$315,21,0)</f>
        <v>5.0733332999999999E-2</v>
      </c>
      <c r="X385" s="8">
        <f>VLOOKUP($B385,'[1]Plant data'!$A$1:$AB$315,22,0)</f>
        <v>3.65E-3</v>
      </c>
      <c r="Y385" s="8">
        <f>VLOOKUP($B385,'[1]Plant data'!$A$1:$AB$315,23,0)</f>
        <v>0.182</v>
      </c>
      <c r="Z385" s="8" t="str">
        <f>VLOOKUP($B385,'[1]Plant data'!$A$1:$AB$315,24,0)</f>
        <v>NA</v>
      </c>
      <c r="AA385" s="8">
        <f>VLOOKUP($B385,'[1]Plant data'!$A$1:$AB$315,25,0)</f>
        <v>0.69899999999999995</v>
      </c>
      <c r="AB385" s="8">
        <f t="shared" si="27"/>
        <v>0.18564999999999998</v>
      </c>
    </row>
    <row r="386" spans="1:28">
      <c r="A386" s="5" t="s">
        <v>50</v>
      </c>
      <c r="B386" s="32" t="s">
        <v>97</v>
      </c>
      <c r="C386" s="53" t="s">
        <v>19</v>
      </c>
      <c r="D386" s="11" t="s">
        <v>19</v>
      </c>
      <c r="E386" s="8">
        <v>0.02</v>
      </c>
      <c r="F386" s="56" t="s">
        <v>19</v>
      </c>
      <c r="G386" s="9">
        <v>1.75</v>
      </c>
      <c r="H386" s="23">
        <f t="shared" si="28"/>
        <v>3.5000000000000003E-2</v>
      </c>
      <c r="I386" t="s">
        <v>47</v>
      </c>
      <c r="J386" s="11">
        <v>69.5</v>
      </c>
      <c r="K386" s="11">
        <v>13.253214290000001</v>
      </c>
      <c r="L386" t="str">
        <f>VLOOKUP(B386,'[1]Plant data'!$A$1:$AB$315,2,0)</f>
        <v>Arecaceae</v>
      </c>
      <c r="M386" s="9">
        <f>VLOOKUP($B386,'[1]Plant data'!$A$1:$AB$315,6,0)</f>
        <v>13.294285714285715</v>
      </c>
      <c r="N386" s="9">
        <f>VLOOKUP($B386,'[1]Plant data'!$A$1:$AB$315,7,0)</f>
        <v>12.980000000000002</v>
      </c>
      <c r="O386" s="8">
        <f>VLOOKUP($B386,'[1]Plant data'!$A$1:$AB$315,10,0)</f>
        <v>1.4212800000000001</v>
      </c>
      <c r="P386" s="8">
        <f>VLOOKUP($B386,'[1]Plant data'!$A$1:$AB$315,11,0)</f>
        <v>0.46</v>
      </c>
      <c r="Q386" s="8">
        <f>VLOOKUP($B386,'[1]Plant data'!$A$1:$AB$315,12,0)</f>
        <v>1.06515</v>
      </c>
      <c r="R386" s="8">
        <f>VLOOKUP($B386,'[1]Plant data'!$A$1:$AB$315,13,0)</f>
        <v>0.32305000000000006</v>
      </c>
      <c r="S386" s="8">
        <f>VLOOKUP($B386,'[1]Plant data'!$A$1:$AB$315,14,0)</f>
        <v>0.96343333333333325</v>
      </c>
      <c r="T386" s="11">
        <f>VLOOKUP($B386,'[1]Plant data'!$A$1:$AB$315,15,0)</f>
        <v>1</v>
      </c>
      <c r="U386" s="9">
        <f>VLOOKUP($B386,'[1]Plant data'!$A$1:$AB$315,19,0)</f>
        <v>0.67774999999999996</v>
      </c>
      <c r="V386" s="8">
        <f>VLOOKUP($B386,'[1]Plant data'!$A$1:$AB$315,20,0)</f>
        <v>0.13617499999999999</v>
      </c>
      <c r="W386" s="8">
        <f>VLOOKUP($B386,'[1]Plant data'!$A$1:$AB$315,21,0)</f>
        <v>5.0733332999999999E-2</v>
      </c>
      <c r="X386" s="8">
        <f>VLOOKUP($B386,'[1]Plant data'!$A$1:$AB$315,22,0)</f>
        <v>3.65E-3</v>
      </c>
      <c r="Y386" s="8">
        <f>VLOOKUP($B386,'[1]Plant data'!$A$1:$AB$315,23,0)</f>
        <v>0.182</v>
      </c>
      <c r="Z386" s="8" t="str">
        <f>VLOOKUP($B386,'[1]Plant data'!$A$1:$AB$315,24,0)</f>
        <v>NA</v>
      </c>
      <c r="AA386" s="8">
        <f>VLOOKUP($B386,'[1]Plant data'!$A$1:$AB$315,25,0)</f>
        <v>0.69899999999999995</v>
      </c>
      <c r="AB386" s="8">
        <f t="shared" si="27"/>
        <v>0.18564999999999998</v>
      </c>
    </row>
    <row r="387" spans="1:28">
      <c r="A387" s="5" t="s">
        <v>50</v>
      </c>
      <c r="B387" s="32" t="s">
        <v>97</v>
      </c>
      <c r="C387" s="53">
        <v>3</v>
      </c>
      <c r="D387" s="11">
        <v>276</v>
      </c>
      <c r="E387" s="8">
        <v>9.5999999999999992E-3</v>
      </c>
      <c r="F387" s="54">
        <v>6</v>
      </c>
      <c r="G387" s="9">
        <f>F387/C387</f>
        <v>2</v>
      </c>
      <c r="H387" s="23">
        <f t="shared" si="28"/>
        <v>1.9199999999999998E-2</v>
      </c>
      <c r="I387" t="s">
        <v>47</v>
      </c>
      <c r="J387" s="11">
        <v>69.5</v>
      </c>
      <c r="K387" s="11">
        <v>13.253214290000001</v>
      </c>
      <c r="L387" t="str">
        <f>VLOOKUP(B387,'[1]Plant data'!$A$1:$AB$315,2,0)</f>
        <v>Arecaceae</v>
      </c>
      <c r="M387" s="9">
        <f>VLOOKUP($B387,'[1]Plant data'!$A$1:$AB$315,6,0)</f>
        <v>13.294285714285715</v>
      </c>
      <c r="N387" s="9">
        <f>VLOOKUP($B387,'[1]Plant data'!$A$1:$AB$315,7,0)</f>
        <v>12.980000000000002</v>
      </c>
      <c r="O387" s="8">
        <f>VLOOKUP($B387,'[1]Plant data'!$A$1:$AB$315,10,0)</f>
        <v>1.4212800000000001</v>
      </c>
      <c r="P387" s="8">
        <f>VLOOKUP($B387,'[1]Plant data'!$A$1:$AB$315,11,0)</f>
        <v>0.46</v>
      </c>
      <c r="Q387" s="8">
        <f>VLOOKUP($B387,'[1]Plant data'!$A$1:$AB$315,12,0)</f>
        <v>1.06515</v>
      </c>
      <c r="R387" s="8">
        <f>VLOOKUP($B387,'[1]Plant data'!$A$1:$AB$315,13,0)</f>
        <v>0.32305000000000006</v>
      </c>
      <c r="S387" s="8">
        <f>VLOOKUP($B387,'[1]Plant data'!$A$1:$AB$315,14,0)</f>
        <v>0.96343333333333325</v>
      </c>
      <c r="T387" s="11">
        <f>VLOOKUP($B387,'[1]Plant data'!$A$1:$AB$315,15,0)</f>
        <v>1</v>
      </c>
      <c r="U387" s="9">
        <f>VLOOKUP($B387,'[1]Plant data'!$A$1:$AB$315,19,0)</f>
        <v>0.67774999999999996</v>
      </c>
      <c r="V387" s="8">
        <f>VLOOKUP($B387,'[1]Plant data'!$A$1:$AB$315,20,0)</f>
        <v>0.13617499999999999</v>
      </c>
      <c r="W387" s="8">
        <f>VLOOKUP($B387,'[1]Plant data'!$A$1:$AB$315,21,0)</f>
        <v>5.0733332999999999E-2</v>
      </c>
      <c r="X387" s="8">
        <f>VLOOKUP($B387,'[1]Plant data'!$A$1:$AB$315,22,0)</f>
        <v>3.65E-3</v>
      </c>
      <c r="Y387" s="8">
        <f>VLOOKUP($B387,'[1]Plant data'!$A$1:$AB$315,23,0)</f>
        <v>0.182</v>
      </c>
      <c r="Z387" s="8" t="str">
        <f>VLOOKUP($B387,'[1]Plant data'!$A$1:$AB$315,24,0)</f>
        <v>NA</v>
      </c>
      <c r="AA387" s="8">
        <f>VLOOKUP($B387,'[1]Plant data'!$A$1:$AB$315,25,0)</f>
        <v>0.69899999999999995</v>
      </c>
      <c r="AB387" s="8">
        <f t="shared" si="27"/>
        <v>0.18564999999999998</v>
      </c>
    </row>
    <row r="388" spans="1:28">
      <c r="A388" s="5" t="s">
        <v>50</v>
      </c>
      <c r="B388" s="32" t="s">
        <v>97</v>
      </c>
      <c r="C388" s="53">
        <v>3</v>
      </c>
      <c r="D388" s="11">
        <v>330</v>
      </c>
      <c r="E388" s="8">
        <f>C388/330</f>
        <v>9.0909090909090905E-3</v>
      </c>
      <c r="F388" s="56" t="s">
        <v>19</v>
      </c>
      <c r="G388" s="9">
        <v>2</v>
      </c>
      <c r="H388" s="23">
        <f t="shared" si="28"/>
        <v>1.8181818181818181E-2</v>
      </c>
      <c r="I388" t="s">
        <v>47</v>
      </c>
      <c r="J388" s="11">
        <v>69.5</v>
      </c>
      <c r="K388" s="11">
        <v>13.253214290000001</v>
      </c>
      <c r="L388" t="str">
        <f>VLOOKUP(B388,'[1]Plant data'!$A$1:$AB$315,2,0)</f>
        <v>Arecaceae</v>
      </c>
      <c r="M388" s="9">
        <f>VLOOKUP($B388,'[1]Plant data'!$A$1:$AB$315,6,0)</f>
        <v>13.294285714285715</v>
      </c>
      <c r="N388" s="9">
        <f>VLOOKUP($B388,'[1]Plant data'!$A$1:$AB$315,7,0)</f>
        <v>12.980000000000002</v>
      </c>
      <c r="O388" s="8">
        <f>VLOOKUP($B388,'[1]Plant data'!$A$1:$AB$315,10,0)</f>
        <v>1.4212800000000001</v>
      </c>
      <c r="P388" s="8">
        <f>VLOOKUP($B388,'[1]Plant data'!$A$1:$AB$315,11,0)</f>
        <v>0.46</v>
      </c>
      <c r="Q388" s="8">
        <f>VLOOKUP($B388,'[1]Plant data'!$A$1:$AB$315,12,0)</f>
        <v>1.06515</v>
      </c>
      <c r="R388" s="8">
        <f>VLOOKUP($B388,'[1]Plant data'!$A$1:$AB$315,13,0)</f>
        <v>0.32305000000000006</v>
      </c>
      <c r="S388" s="8">
        <f>VLOOKUP($B388,'[1]Plant data'!$A$1:$AB$315,14,0)</f>
        <v>0.96343333333333325</v>
      </c>
      <c r="T388" s="11">
        <f>VLOOKUP($B388,'[1]Plant data'!$A$1:$AB$315,15,0)</f>
        <v>1</v>
      </c>
      <c r="U388" s="9">
        <f>VLOOKUP($B388,'[1]Plant data'!$A$1:$AB$315,19,0)</f>
        <v>0.67774999999999996</v>
      </c>
      <c r="V388" s="8">
        <f>VLOOKUP($B388,'[1]Plant data'!$A$1:$AB$315,20,0)</f>
        <v>0.13617499999999999</v>
      </c>
      <c r="W388" s="8">
        <f>VLOOKUP($B388,'[1]Plant data'!$A$1:$AB$315,21,0)</f>
        <v>5.0733332999999999E-2</v>
      </c>
      <c r="X388" s="8">
        <f>VLOOKUP($B388,'[1]Plant data'!$A$1:$AB$315,22,0)</f>
        <v>3.65E-3</v>
      </c>
      <c r="Y388" s="8">
        <f>VLOOKUP($B388,'[1]Plant data'!$A$1:$AB$315,23,0)</f>
        <v>0.182</v>
      </c>
      <c r="Z388" s="8" t="str">
        <f>VLOOKUP($B388,'[1]Plant data'!$A$1:$AB$315,24,0)</f>
        <v>NA</v>
      </c>
      <c r="AA388" s="8">
        <f>VLOOKUP($B388,'[1]Plant data'!$A$1:$AB$315,25,0)</f>
        <v>0.69899999999999995</v>
      </c>
      <c r="AB388" s="8">
        <f t="shared" si="27"/>
        <v>0.18564999999999998</v>
      </c>
    </row>
    <row r="389" spans="1:28">
      <c r="A389" s="5" t="s">
        <v>50</v>
      </c>
      <c r="B389" s="32" t="s">
        <v>97</v>
      </c>
      <c r="C389" s="53">
        <v>2</v>
      </c>
      <c r="D389" s="59">
        <v>324</v>
      </c>
      <c r="E389" s="8">
        <f>C389/324</f>
        <v>6.1728395061728392E-3</v>
      </c>
      <c r="F389" s="54">
        <v>4</v>
      </c>
      <c r="G389" s="9">
        <f>F389/C389</f>
        <v>2</v>
      </c>
      <c r="H389" s="23">
        <f t="shared" si="28"/>
        <v>1.2345679012345678E-2</v>
      </c>
      <c r="I389" t="s">
        <v>47</v>
      </c>
      <c r="J389" s="11">
        <v>69.5</v>
      </c>
      <c r="K389" s="11">
        <v>13.253214290000001</v>
      </c>
      <c r="L389" t="str">
        <f>VLOOKUP(B389,'[1]Plant data'!$A$1:$AB$315,2,0)</f>
        <v>Arecaceae</v>
      </c>
      <c r="M389" s="9">
        <f>VLOOKUP($B389,'[1]Plant data'!$A$1:$AB$315,6,0)</f>
        <v>13.294285714285715</v>
      </c>
      <c r="N389" s="9">
        <f>VLOOKUP($B389,'[1]Plant data'!$A$1:$AB$315,7,0)</f>
        <v>12.980000000000002</v>
      </c>
      <c r="O389" s="8">
        <f>VLOOKUP($B389,'[1]Plant data'!$A$1:$AB$315,10,0)</f>
        <v>1.4212800000000001</v>
      </c>
      <c r="P389" s="8">
        <f>VLOOKUP($B389,'[1]Plant data'!$A$1:$AB$315,11,0)</f>
        <v>0.46</v>
      </c>
      <c r="Q389" s="8">
        <f>VLOOKUP($B389,'[1]Plant data'!$A$1:$AB$315,12,0)</f>
        <v>1.06515</v>
      </c>
      <c r="R389" s="8">
        <f>VLOOKUP($B389,'[1]Plant data'!$A$1:$AB$315,13,0)</f>
        <v>0.32305000000000006</v>
      </c>
      <c r="S389" s="8">
        <f>VLOOKUP($B389,'[1]Plant data'!$A$1:$AB$315,14,0)</f>
        <v>0.96343333333333325</v>
      </c>
      <c r="T389" s="11">
        <f>VLOOKUP($B389,'[1]Plant data'!$A$1:$AB$315,15,0)</f>
        <v>1</v>
      </c>
      <c r="U389" s="9">
        <f>VLOOKUP($B389,'[1]Plant data'!$A$1:$AB$315,19,0)</f>
        <v>0.67774999999999996</v>
      </c>
      <c r="V389" s="8">
        <f>VLOOKUP($B389,'[1]Plant data'!$A$1:$AB$315,20,0)</f>
        <v>0.13617499999999999</v>
      </c>
      <c r="W389" s="8">
        <f>VLOOKUP($B389,'[1]Plant data'!$A$1:$AB$315,21,0)</f>
        <v>5.0733332999999999E-2</v>
      </c>
      <c r="X389" s="8">
        <f>VLOOKUP($B389,'[1]Plant data'!$A$1:$AB$315,22,0)</f>
        <v>3.65E-3</v>
      </c>
      <c r="Y389" s="8">
        <f>VLOOKUP($B389,'[1]Plant data'!$A$1:$AB$315,23,0)</f>
        <v>0.182</v>
      </c>
      <c r="Z389" s="8" t="str">
        <f>VLOOKUP($B389,'[1]Plant data'!$A$1:$AB$315,24,0)</f>
        <v>NA</v>
      </c>
      <c r="AA389" s="8">
        <f>VLOOKUP($B389,'[1]Plant data'!$A$1:$AB$315,25,0)</f>
        <v>0.69899999999999995</v>
      </c>
      <c r="AB389" s="8">
        <f t="shared" si="27"/>
        <v>0.18564999999999998</v>
      </c>
    </row>
    <row r="390" spans="1:28">
      <c r="A390" s="5" t="s">
        <v>50</v>
      </c>
      <c r="B390" s="32" t="s">
        <v>97</v>
      </c>
      <c r="C390" s="53">
        <v>3</v>
      </c>
      <c r="D390" s="59">
        <v>190</v>
      </c>
      <c r="E390" s="8">
        <f>C390/190</f>
        <v>1.5789473684210527E-2</v>
      </c>
      <c r="F390" s="54">
        <v>2</v>
      </c>
      <c r="G390" s="9">
        <f>F390/C390</f>
        <v>0.66666666666666663</v>
      </c>
      <c r="H390" s="23">
        <f t="shared" si="28"/>
        <v>1.0526315789473684E-2</v>
      </c>
      <c r="I390" t="s">
        <v>47</v>
      </c>
      <c r="J390" s="11">
        <v>69.5</v>
      </c>
      <c r="K390" s="11">
        <v>13.253214290000001</v>
      </c>
      <c r="L390" t="str">
        <f>VLOOKUP(B390,'[1]Plant data'!$A$1:$AB$315,2,0)</f>
        <v>Arecaceae</v>
      </c>
      <c r="M390" s="9">
        <f>VLOOKUP($B390,'[1]Plant data'!$A$1:$AB$315,6,0)</f>
        <v>13.294285714285715</v>
      </c>
      <c r="N390" s="9">
        <f>VLOOKUP($B390,'[1]Plant data'!$A$1:$AB$315,7,0)</f>
        <v>12.980000000000002</v>
      </c>
      <c r="O390" s="8">
        <f>VLOOKUP($B390,'[1]Plant data'!$A$1:$AB$315,10,0)</f>
        <v>1.4212800000000001</v>
      </c>
      <c r="P390" s="8">
        <f>VLOOKUP($B390,'[1]Plant data'!$A$1:$AB$315,11,0)</f>
        <v>0.46</v>
      </c>
      <c r="Q390" s="8">
        <f>VLOOKUP($B390,'[1]Plant data'!$A$1:$AB$315,12,0)</f>
        <v>1.06515</v>
      </c>
      <c r="R390" s="8">
        <f>VLOOKUP($B390,'[1]Plant data'!$A$1:$AB$315,13,0)</f>
        <v>0.32305000000000006</v>
      </c>
      <c r="S390" s="8">
        <f>VLOOKUP($B390,'[1]Plant data'!$A$1:$AB$315,14,0)</f>
        <v>0.96343333333333325</v>
      </c>
      <c r="T390" s="11">
        <f>VLOOKUP($B390,'[1]Plant data'!$A$1:$AB$315,15,0)</f>
        <v>1</v>
      </c>
      <c r="U390" s="9">
        <f>VLOOKUP($B390,'[1]Plant data'!$A$1:$AB$315,19,0)</f>
        <v>0.67774999999999996</v>
      </c>
      <c r="V390" s="8">
        <f>VLOOKUP($B390,'[1]Plant data'!$A$1:$AB$315,20,0)</f>
        <v>0.13617499999999999</v>
      </c>
      <c r="W390" s="8">
        <f>VLOOKUP($B390,'[1]Plant data'!$A$1:$AB$315,21,0)</f>
        <v>5.0733332999999999E-2</v>
      </c>
      <c r="X390" s="8">
        <f>VLOOKUP($B390,'[1]Plant data'!$A$1:$AB$315,22,0)</f>
        <v>3.65E-3</v>
      </c>
      <c r="Y390" s="8">
        <f>VLOOKUP($B390,'[1]Plant data'!$A$1:$AB$315,23,0)</f>
        <v>0.182</v>
      </c>
      <c r="Z390" s="8" t="str">
        <f>VLOOKUP($B390,'[1]Plant data'!$A$1:$AB$315,24,0)</f>
        <v>NA</v>
      </c>
      <c r="AA390" s="8">
        <f>VLOOKUP($B390,'[1]Plant data'!$A$1:$AB$315,25,0)</f>
        <v>0.69899999999999995</v>
      </c>
      <c r="AB390" s="8">
        <f t="shared" si="27"/>
        <v>0.18564999999999998</v>
      </c>
    </row>
    <row r="391" spans="1:28">
      <c r="A391" s="5" t="s">
        <v>50</v>
      </c>
      <c r="B391" s="32" t="s">
        <v>97</v>
      </c>
      <c r="C391" s="53">
        <v>2</v>
      </c>
      <c r="D391" s="59">
        <v>324</v>
      </c>
      <c r="E391" s="8">
        <f>C391/324</f>
        <v>6.1728395061728392E-3</v>
      </c>
      <c r="F391" s="54">
        <v>3</v>
      </c>
      <c r="G391" s="9">
        <f>F391/C391</f>
        <v>1.5</v>
      </c>
      <c r="H391" s="23">
        <f t="shared" si="28"/>
        <v>9.2592592592592587E-3</v>
      </c>
      <c r="I391" t="s">
        <v>47</v>
      </c>
      <c r="J391" s="11">
        <v>69.5</v>
      </c>
      <c r="K391" s="11">
        <v>13.253214290000001</v>
      </c>
      <c r="L391" t="str">
        <f>VLOOKUP(B391,'[1]Plant data'!$A$1:$AB$315,2,0)</f>
        <v>Arecaceae</v>
      </c>
      <c r="M391" s="9">
        <f>VLOOKUP($B391,'[1]Plant data'!$A$1:$AB$315,6,0)</f>
        <v>13.294285714285715</v>
      </c>
      <c r="N391" s="9">
        <f>VLOOKUP($B391,'[1]Plant data'!$A$1:$AB$315,7,0)</f>
        <v>12.980000000000002</v>
      </c>
      <c r="O391" s="8">
        <f>VLOOKUP($B391,'[1]Plant data'!$A$1:$AB$315,10,0)</f>
        <v>1.4212800000000001</v>
      </c>
      <c r="P391" s="8">
        <f>VLOOKUP($B391,'[1]Plant data'!$A$1:$AB$315,11,0)</f>
        <v>0.46</v>
      </c>
      <c r="Q391" s="8">
        <f>VLOOKUP($B391,'[1]Plant data'!$A$1:$AB$315,12,0)</f>
        <v>1.06515</v>
      </c>
      <c r="R391" s="8">
        <f>VLOOKUP($B391,'[1]Plant data'!$A$1:$AB$315,13,0)</f>
        <v>0.32305000000000006</v>
      </c>
      <c r="S391" s="8">
        <f>VLOOKUP($B391,'[1]Plant data'!$A$1:$AB$315,14,0)</f>
        <v>0.96343333333333325</v>
      </c>
      <c r="T391" s="11">
        <f>VLOOKUP($B391,'[1]Plant data'!$A$1:$AB$315,15,0)</f>
        <v>1</v>
      </c>
      <c r="U391" s="9">
        <f>VLOOKUP($B391,'[1]Plant data'!$A$1:$AB$315,19,0)</f>
        <v>0.67774999999999996</v>
      </c>
      <c r="V391" s="8">
        <f>VLOOKUP($B391,'[1]Plant data'!$A$1:$AB$315,20,0)</f>
        <v>0.13617499999999999</v>
      </c>
      <c r="W391" s="8">
        <f>VLOOKUP($B391,'[1]Plant data'!$A$1:$AB$315,21,0)</f>
        <v>5.0733332999999999E-2</v>
      </c>
      <c r="X391" s="8">
        <f>VLOOKUP($B391,'[1]Plant data'!$A$1:$AB$315,22,0)</f>
        <v>3.65E-3</v>
      </c>
      <c r="Y391" s="8">
        <f>VLOOKUP($B391,'[1]Plant data'!$A$1:$AB$315,23,0)</f>
        <v>0.182</v>
      </c>
      <c r="Z391" s="8" t="str">
        <f>VLOOKUP($B391,'[1]Plant data'!$A$1:$AB$315,24,0)</f>
        <v>NA</v>
      </c>
      <c r="AA391" s="8">
        <f>VLOOKUP($B391,'[1]Plant data'!$A$1:$AB$315,25,0)</f>
        <v>0.69899999999999995</v>
      </c>
      <c r="AB391" s="8">
        <f t="shared" si="27"/>
        <v>0.18564999999999998</v>
      </c>
    </row>
    <row r="392" spans="1:28">
      <c r="A392" s="5" t="s">
        <v>50</v>
      </c>
      <c r="B392" s="32" t="s">
        <v>97</v>
      </c>
      <c r="C392" s="53">
        <v>2</v>
      </c>
      <c r="D392" s="11">
        <v>750</v>
      </c>
      <c r="E392" s="8">
        <f>C392/750</f>
        <v>2.6666666666666666E-3</v>
      </c>
      <c r="F392" s="56" t="s">
        <v>19</v>
      </c>
      <c r="G392" s="41">
        <v>1.6008333333333331</v>
      </c>
      <c r="H392" s="23">
        <f t="shared" si="28"/>
        <v>4.268888888888888E-3</v>
      </c>
      <c r="I392" t="s">
        <v>47</v>
      </c>
      <c r="J392" s="11">
        <v>69.5</v>
      </c>
      <c r="K392" s="11">
        <v>13.253214290000001</v>
      </c>
      <c r="L392" t="str">
        <f>VLOOKUP(B392,'[1]Plant data'!$A$1:$AB$315,2,0)</f>
        <v>Arecaceae</v>
      </c>
      <c r="M392" s="9">
        <f>VLOOKUP($B392,'[1]Plant data'!$A$1:$AB$315,6,0)</f>
        <v>13.294285714285715</v>
      </c>
      <c r="N392" s="9">
        <f>VLOOKUP($B392,'[1]Plant data'!$A$1:$AB$315,7,0)</f>
        <v>12.980000000000002</v>
      </c>
      <c r="O392" s="8">
        <f>VLOOKUP($B392,'[1]Plant data'!$A$1:$AB$315,10,0)</f>
        <v>1.4212800000000001</v>
      </c>
      <c r="P392" s="8">
        <f>VLOOKUP($B392,'[1]Plant data'!$A$1:$AB$315,11,0)</f>
        <v>0.46</v>
      </c>
      <c r="Q392" s="8">
        <f>VLOOKUP($B392,'[1]Plant data'!$A$1:$AB$315,12,0)</f>
        <v>1.06515</v>
      </c>
      <c r="R392" s="8">
        <f>VLOOKUP($B392,'[1]Plant data'!$A$1:$AB$315,13,0)</f>
        <v>0.32305000000000006</v>
      </c>
      <c r="S392" s="8">
        <f>VLOOKUP($B392,'[1]Plant data'!$A$1:$AB$315,14,0)</f>
        <v>0.96343333333333325</v>
      </c>
      <c r="T392" s="11">
        <f>VLOOKUP($B392,'[1]Plant data'!$A$1:$AB$315,15,0)</f>
        <v>1</v>
      </c>
      <c r="U392" s="9">
        <f>VLOOKUP($B392,'[1]Plant data'!$A$1:$AB$315,19,0)</f>
        <v>0.67774999999999996</v>
      </c>
      <c r="V392" s="8">
        <f>VLOOKUP($B392,'[1]Plant data'!$A$1:$AB$315,20,0)</f>
        <v>0.13617499999999999</v>
      </c>
      <c r="W392" s="8">
        <f>VLOOKUP($B392,'[1]Plant data'!$A$1:$AB$315,21,0)</f>
        <v>5.0733332999999999E-2</v>
      </c>
      <c r="X392" s="8">
        <f>VLOOKUP($B392,'[1]Plant data'!$A$1:$AB$315,22,0)</f>
        <v>3.65E-3</v>
      </c>
      <c r="Y392" s="8">
        <f>VLOOKUP($B392,'[1]Plant data'!$A$1:$AB$315,23,0)</f>
        <v>0.182</v>
      </c>
      <c r="Z392" s="8" t="str">
        <f>VLOOKUP($B392,'[1]Plant data'!$A$1:$AB$315,24,0)</f>
        <v>NA</v>
      </c>
      <c r="AA392" s="8">
        <f>VLOOKUP($B392,'[1]Plant data'!$A$1:$AB$315,25,0)</f>
        <v>0.69899999999999995</v>
      </c>
      <c r="AB392" s="8">
        <f t="shared" si="27"/>
        <v>0.18564999999999998</v>
      </c>
    </row>
    <row r="393" spans="1:28">
      <c r="A393" s="21" t="s">
        <v>90</v>
      </c>
      <c r="B393" s="31" t="s">
        <v>125</v>
      </c>
      <c r="C393" s="55">
        <v>1</v>
      </c>
      <c r="D393" s="17">
        <v>60</v>
      </c>
      <c r="E393" s="8">
        <f>C393/60</f>
        <v>1.6666666666666666E-2</v>
      </c>
      <c r="F393" s="55">
        <v>2</v>
      </c>
      <c r="G393" s="19">
        <v>2</v>
      </c>
      <c r="H393" s="23">
        <f t="shared" si="28"/>
        <v>3.3333333333333333E-2</v>
      </c>
      <c r="I393" s="16" t="s">
        <v>94</v>
      </c>
      <c r="J393" s="17">
        <v>331</v>
      </c>
      <c r="K393" s="17">
        <v>30.7</v>
      </c>
      <c r="L393" t="str">
        <f>VLOOKUP(B393,'[1]Plant data'!$A$1:$AB$315,2,0)</f>
        <v>Myrtaceae</v>
      </c>
      <c r="M393" s="9">
        <f>VLOOKUP($B393,'[1]Plant data'!$A$1:$AB$315,6,0)</f>
        <v>19.07</v>
      </c>
      <c r="N393" s="9">
        <f>VLOOKUP($B393,'[1]Plant data'!$A$1:$AB$315,7,0)</f>
        <v>24.386666666666667</v>
      </c>
      <c r="O393" s="8">
        <f>VLOOKUP($B393,'[1]Plant data'!$A$1:$AB$315,10,0)</f>
        <v>4.9989999999999997</v>
      </c>
      <c r="P393" s="8">
        <f>VLOOKUP($B393,'[1]Plant data'!$A$1:$AB$315,11,0)</f>
        <v>4.109</v>
      </c>
      <c r="Q393" s="8" t="str">
        <f>VLOOKUP($B393,'[1]Plant data'!$A$1:$AB$315,12,0)</f>
        <v>NA</v>
      </c>
      <c r="R393" s="8">
        <f>VLOOKUP($B393,'[1]Plant data'!$A$1:$AB$315,13,0)</f>
        <v>0.43099999999999999</v>
      </c>
      <c r="S393" s="8" t="str">
        <f>VLOOKUP($B393,'[1]Plant data'!$A$1:$AB$315,14,0)</f>
        <v>NA</v>
      </c>
      <c r="T393" s="11">
        <f>VLOOKUP($B393,'[1]Plant data'!$A$1:$AB$315,15,0)</f>
        <v>1.23</v>
      </c>
      <c r="U393" s="9">
        <f>VLOOKUP($B393,'[1]Plant data'!$A$1:$AB$315,19,0)</f>
        <v>0.85799999999999998</v>
      </c>
      <c r="V393" s="8">
        <f>VLOOKUP($B393,'[1]Plant data'!$A$1:$AB$315,20,0)</f>
        <v>2.8000000000000001E-2</v>
      </c>
      <c r="W393" s="8">
        <f>VLOOKUP($B393,'[1]Plant data'!$A$1:$AB$315,21,0)</f>
        <v>5.6000000000000001E-2</v>
      </c>
      <c r="X393" s="8" t="str">
        <f>VLOOKUP($B393,'[1]Plant data'!$A$1:$AB$315,22,0)</f>
        <v>NA</v>
      </c>
      <c r="Y393" s="8" t="str">
        <f>VLOOKUP($B393,'[1]Plant data'!$A$1:$AB$315,23,0)</f>
        <v>NA</v>
      </c>
      <c r="Z393" s="8">
        <f>VLOOKUP($B393,'[1]Plant data'!$A$1:$AB$315,24,0)</f>
        <v>0.88</v>
      </c>
      <c r="AA393" s="8" t="str">
        <f>VLOOKUP($B393,'[1]Plant data'!$A$1:$AB$315,25,0)</f>
        <v>NA</v>
      </c>
      <c r="AB393" s="8" t="s">
        <v>19</v>
      </c>
    </row>
    <row r="394" spans="1:28">
      <c r="A394" s="5" t="s">
        <v>43</v>
      </c>
      <c r="B394" s="32" t="s">
        <v>125</v>
      </c>
      <c r="C394" s="53">
        <v>213</v>
      </c>
      <c r="D394" s="11">
        <v>60</v>
      </c>
      <c r="E394" s="8">
        <f>C394/60</f>
        <v>3.55</v>
      </c>
      <c r="F394" s="54">
        <v>390</v>
      </c>
      <c r="G394" s="9">
        <f>F394/C394</f>
        <v>1.8309859154929577</v>
      </c>
      <c r="H394" s="23">
        <f t="shared" si="28"/>
        <v>6.5</v>
      </c>
      <c r="I394" t="s">
        <v>30</v>
      </c>
      <c r="J394" s="11">
        <v>32.5</v>
      </c>
      <c r="K394" s="11">
        <v>8.9205555560000001</v>
      </c>
      <c r="L394" t="str">
        <f>VLOOKUP(B394,'[1]Plant data'!$A$1:$AB$315,2,0)</f>
        <v>Myrtaceae</v>
      </c>
      <c r="M394" s="9">
        <f>VLOOKUP($B394,'[1]Plant data'!$A$1:$AB$315,6,0)</f>
        <v>19.07</v>
      </c>
      <c r="N394" s="9">
        <f>VLOOKUP($B394,'[1]Plant data'!$A$1:$AB$315,7,0)</f>
        <v>24.386666666666667</v>
      </c>
      <c r="O394" s="8">
        <f>VLOOKUP($B394,'[1]Plant data'!$A$1:$AB$315,10,0)</f>
        <v>4.9989999999999997</v>
      </c>
      <c r="P394" s="8">
        <f>VLOOKUP($B394,'[1]Plant data'!$A$1:$AB$315,11,0)</f>
        <v>4.109</v>
      </c>
      <c r="Q394" s="8" t="str">
        <f>VLOOKUP($B394,'[1]Plant data'!$A$1:$AB$315,12,0)</f>
        <v>NA</v>
      </c>
      <c r="R394" s="8">
        <f>VLOOKUP($B394,'[1]Plant data'!$A$1:$AB$315,13,0)</f>
        <v>0.43099999999999999</v>
      </c>
      <c r="S394" s="8" t="str">
        <f>VLOOKUP($B394,'[1]Plant data'!$A$1:$AB$315,14,0)</f>
        <v>NA</v>
      </c>
      <c r="T394" s="11">
        <f>VLOOKUP($B394,'[1]Plant data'!$A$1:$AB$315,15,0)</f>
        <v>1.23</v>
      </c>
      <c r="U394" s="9">
        <f>VLOOKUP($B394,'[1]Plant data'!$A$1:$AB$315,19,0)</f>
        <v>0.85799999999999998</v>
      </c>
      <c r="V394" s="8">
        <f>VLOOKUP($B394,'[1]Plant data'!$A$1:$AB$315,20,0)</f>
        <v>2.8000000000000001E-2</v>
      </c>
      <c r="W394" s="8">
        <f>VLOOKUP($B394,'[1]Plant data'!$A$1:$AB$315,21,0)</f>
        <v>5.6000000000000001E-2</v>
      </c>
      <c r="X394" s="8" t="str">
        <f>VLOOKUP($B394,'[1]Plant data'!$A$1:$AB$315,22,0)</f>
        <v>NA</v>
      </c>
      <c r="Y394" s="8" t="str">
        <f>VLOOKUP($B394,'[1]Plant data'!$A$1:$AB$315,23,0)</f>
        <v>NA</v>
      </c>
      <c r="Z394" s="8">
        <f>VLOOKUP($B394,'[1]Plant data'!$A$1:$AB$315,24,0)</f>
        <v>0.88</v>
      </c>
      <c r="AA394" s="8" t="str">
        <f>VLOOKUP($B394,'[1]Plant data'!$A$1:$AB$315,25,0)</f>
        <v>NA</v>
      </c>
      <c r="AB394" s="8" t="s">
        <v>19</v>
      </c>
    </row>
    <row r="395" spans="1:28">
      <c r="A395" s="5" t="s">
        <v>43</v>
      </c>
      <c r="B395" s="32" t="s">
        <v>125</v>
      </c>
      <c r="C395" s="53">
        <v>115</v>
      </c>
      <c r="D395" s="59">
        <v>116</v>
      </c>
      <c r="E395" s="8">
        <f>C395/D395</f>
        <v>0.99137931034482762</v>
      </c>
      <c r="F395" s="54" t="s">
        <v>19</v>
      </c>
      <c r="G395" s="9">
        <v>1.53</v>
      </c>
      <c r="H395" s="23">
        <f t="shared" si="28"/>
        <v>1.5168103448275863</v>
      </c>
      <c r="I395" t="s">
        <v>30</v>
      </c>
      <c r="J395" s="11">
        <v>32.5</v>
      </c>
      <c r="K395" s="11">
        <v>8.9205555560000001</v>
      </c>
      <c r="L395" t="str">
        <f>VLOOKUP(B395,'[1]Plant data'!$A$1:$AB$315,2,0)</f>
        <v>Myrtaceae</v>
      </c>
      <c r="M395" s="9">
        <f>VLOOKUP($B395,'[1]Plant data'!$A$1:$AB$315,6,0)</f>
        <v>19.07</v>
      </c>
      <c r="N395" s="9">
        <f>VLOOKUP($B395,'[1]Plant data'!$A$1:$AB$315,7,0)</f>
        <v>24.386666666666667</v>
      </c>
      <c r="O395" s="8">
        <f>VLOOKUP($B395,'[1]Plant data'!$A$1:$AB$315,10,0)</f>
        <v>4.9989999999999997</v>
      </c>
      <c r="P395" s="8">
        <f>VLOOKUP($B395,'[1]Plant data'!$A$1:$AB$315,11,0)</f>
        <v>4.109</v>
      </c>
      <c r="Q395" s="8" t="str">
        <f>VLOOKUP($B395,'[1]Plant data'!$A$1:$AB$315,12,0)</f>
        <v>NA</v>
      </c>
      <c r="R395" s="8">
        <f>VLOOKUP($B395,'[1]Plant data'!$A$1:$AB$315,13,0)</f>
        <v>0.43099999999999999</v>
      </c>
      <c r="S395" s="8" t="str">
        <f>VLOOKUP($B395,'[1]Plant data'!$A$1:$AB$315,14,0)</f>
        <v>NA</v>
      </c>
      <c r="T395" s="11">
        <f>VLOOKUP($B395,'[1]Plant data'!$A$1:$AB$315,15,0)</f>
        <v>1.23</v>
      </c>
      <c r="U395" s="9">
        <f>VLOOKUP($B395,'[1]Plant data'!$A$1:$AB$315,19,0)</f>
        <v>0.85799999999999998</v>
      </c>
      <c r="V395" s="8">
        <f>VLOOKUP($B395,'[1]Plant data'!$A$1:$AB$315,20,0)</f>
        <v>2.8000000000000001E-2</v>
      </c>
      <c r="W395" s="8">
        <f>VLOOKUP($B395,'[1]Plant data'!$A$1:$AB$315,21,0)</f>
        <v>5.6000000000000001E-2</v>
      </c>
      <c r="X395" s="8" t="str">
        <f>VLOOKUP($B395,'[1]Plant data'!$A$1:$AB$315,22,0)</f>
        <v>NA</v>
      </c>
      <c r="Y395" s="8" t="str">
        <f>VLOOKUP($B395,'[1]Plant data'!$A$1:$AB$315,23,0)</f>
        <v>NA</v>
      </c>
      <c r="Z395" s="8">
        <f>VLOOKUP($B395,'[1]Plant data'!$A$1:$AB$315,24,0)</f>
        <v>0.88</v>
      </c>
      <c r="AA395" s="8" t="str">
        <f>VLOOKUP($B395,'[1]Plant data'!$A$1:$AB$315,25,0)</f>
        <v>NA</v>
      </c>
      <c r="AB395" s="8" t="s">
        <v>19</v>
      </c>
    </row>
    <row r="396" spans="1:28">
      <c r="A396" s="5" t="s">
        <v>43</v>
      </c>
      <c r="B396" s="32" t="s">
        <v>125</v>
      </c>
      <c r="C396" s="53">
        <v>6</v>
      </c>
      <c r="D396" s="59">
        <v>10</v>
      </c>
      <c r="E396" s="8">
        <f>C396/10</f>
        <v>0.6</v>
      </c>
      <c r="F396" s="54">
        <v>9</v>
      </c>
      <c r="G396" s="9">
        <f>F396/C396</f>
        <v>1.5</v>
      </c>
      <c r="H396" s="23">
        <f t="shared" si="28"/>
        <v>0.89999999999999991</v>
      </c>
      <c r="I396" t="s">
        <v>30</v>
      </c>
      <c r="J396" s="11">
        <v>32.5</v>
      </c>
      <c r="K396" s="11">
        <v>8.9205555560000001</v>
      </c>
      <c r="L396" t="str">
        <f>VLOOKUP(B396,'[1]Plant data'!$A$1:$AB$315,2,0)</f>
        <v>Myrtaceae</v>
      </c>
      <c r="M396" s="9">
        <f>VLOOKUP($B396,'[1]Plant data'!$A$1:$AB$315,6,0)</f>
        <v>19.07</v>
      </c>
      <c r="N396" s="9">
        <f>VLOOKUP($B396,'[1]Plant data'!$A$1:$AB$315,7,0)</f>
        <v>24.386666666666667</v>
      </c>
      <c r="O396" s="8">
        <f>VLOOKUP($B396,'[1]Plant data'!$A$1:$AB$315,10,0)</f>
        <v>4.9989999999999997</v>
      </c>
      <c r="P396" s="8">
        <f>VLOOKUP($B396,'[1]Plant data'!$A$1:$AB$315,11,0)</f>
        <v>4.109</v>
      </c>
      <c r="Q396" s="8" t="str">
        <f>VLOOKUP($B396,'[1]Plant data'!$A$1:$AB$315,12,0)</f>
        <v>NA</v>
      </c>
      <c r="R396" s="8">
        <f>VLOOKUP($B396,'[1]Plant data'!$A$1:$AB$315,13,0)</f>
        <v>0.43099999999999999</v>
      </c>
      <c r="S396" s="8" t="str">
        <f>VLOOKUP($B396,'[1]Plant data'!$A$1:$AB$315,14,0)</f>
        <v>NA</v>
      </c>
      <c r="T396" s="11">
        <f>VLOOKUP($B396,'[1]Plant data'!$A$1:$AB$315,15,0)</f>
        <v>1.23</v>
      </c>
      <c r="U396" s="9">
        <f>VLOOKUP($B396,'[1]Plant data'!$A$1:$AB$315,19,0)</f>
        <v>0.85799999999999998</v>
      </c>
      <c r="V396" s="8">
        <f>VLOOKUP($B396,'[1]Plant data'!$A$1:$AB$315,20,0)</f>
        <v>2.8000000000000001E-2</v>
      </c>
      <c r="W396" s="8">
        <f>VLOOKUP($B396,'[1]Plant data'!$A$1:$AB$315,21,0)</f>
        <v>5.6000000000000001E-2</v>
      </c>
      <c r="X396" s="8" t="str">
        <f>VLOOKUP($B396,'[1]Plant data'!$A$1:$AB$315,22,0)</f>
        <v>NA</v>
      </c>
      <c r="Y396" s="8" t="str">
        <f>VLOOKUP($B396,'[1]Plant data'!$A$1:$AB$315,23,0)</f>
        <v>NA</v>
      </c>
      <c r="Z396" s="8">
        <f>VLOOKUP($B396,'[1]Plant data'!$A$1:$AB$315,24,0)</f>
        <v>0.88</v>
      </c>
      <c r="AA396" s="8" t="str">
        <f>VLOOKUP($B396,'[1]Plant data'!$A$1:$AB$315,25,0)</f>
        <v>NA</v>
      </c>
      <c r="AB396" s="8" t="s">
        <v>19</v>
      </c>
    </row>
    <row r="397" spans="1:28">
      <c r="A397" s="21" t="s">
        <v>50</v>
      </c>
      <c r="B397" s="31" t="s">
        <v>125</v>
      </c>
      <c r="C397" s="55">
        <v>6</v>
      </c>
      <c r="D397" s="11">
        <v>60</v>
      </c>
      <c r="E397" s="8">
        <f>C397/60</f>
        <v>0.1</v>
      </c>
      <c r="F397" s="55">
        <v>6</v>
      </c>
      <c r="G397" s="19">
        <v>1</v>
      </c>
      <c r="H397" s="23">
        <f t="shared" si="28"/>
        <v>0.1</v>
      </c>
      <c r="I397" s="16" t="s">
        <v>47</v>
      </c>
      <c r="J397" s="17">
        <v>69.5</v>
      </c>
      <c r="K397" s="17">
        <v>13.253214290000001</v>
      </c>
      <c r="L397" t="str">
        <f>VLOOKUP(B397,'[1]Plant data'!$A$1:$AB$315,2,0)</f>
        <v>Myrtaceae</v>
      </c>
      <c r="M397" s="9">
        <f>VLOOKUP($B397,'[1]Plant data'!$A$1:$AB$315,6,0)</f>
        <v>19.07</v>
      </c>
      <c r="N397" s="9">
        <f>VLOOKUP($B397,'[1]Plant data'!$A$1:$AB$315,7,0)</f>
        <v>24.386666666666667</v>
      </c>
      <c r="O397" s="8">
        <f>VLOOKUP($B397,'[1]Plant data'!$A$1:$AB$315,10,0)</f>
        <v>4.9989999999999997</v>
      </c>
      <c r="P397" s="8">
        <f>VLOOKUP($B397,'[1]Plant data'!$A$1:$AB$315,11,0)</f>
        <v>4.109</v>
      </c>
      <c r="Q397" s="8" t="str">
        <f>VLOOKUP($B397,'[1]Plant data'!$A$1:$AB$315,12,0)</f>
        <v>NA</v>
      </c>
      <c r="R397" s="8">
        <f>VLOOKUP($B397,'[1]Plant data'!$A$1:$AB$315,13,0)</f>
        <v>0.43099999999999999</v>
      </c>
      <c r="S397" s="8" t="str">
        <f>VLOOKUP($B397,'[1]Plant data'!$A$1:$AB$315,14,0)</f>
        <v>NA</v>
      </c>
      <c r="T397" s="11">
        <f>VLOOKUP($B397,'[1]Plant data'!$A$1:$AB$315,15,0)</f>
        <v>1.23</v>
      </c>
      <c r="U397" s="9">
        <f>VLOOKUP($B397,'[1]Plant data'!$A$1:$AB$315,19,0)</f>
        <v>0.85799999999999998</v>
      </c>
      <c r="V397" s="8">
        <f>VLOOKUP($B397,'[1]Plant data'!$A$1:$AB$315,20,0)</f>
        <v>2.8000000000000001E-2</v>
      </c>
      <c r="W397" s="8">
        <f>VLOOKUP($B397,'[1]Plant data'!$A$1:$AB$315,21,0)</f>
        <v>5.6000000000000001E-2</v>
      </c>
      <c r="X397" s="8" t="str">
        <f>VLOOKUP($B397,'[1]Plant data'!$A$1:$AB$315,22,0)</f>
        <v>NA</v>
      </c>
      <c r="Y397" s="8" t="str">
        <f>VLOOKUP($B397,'[1]Plant data'!$A$1:$AB$315,23,0)</f>
        <v>NA</v>
      </c>
      <c r="Z397" s="8">
        <f>VLOOKUP($B397,'[1]Plant data'!$A$1:$AB$315,24,0)</f>
        <v>0.88</v>
      </c>
      <c r="AA397" s="8" t="str">
        <f>VLOOKUP($B397,'[1]Plant data'!$A$1:$AB$315,25,0)</f>
        <v>NA</v>
      </c>
      <c r="AB397" s="8" t="s">
        <v>19</v>
      </c>
    </row>
    <row r="398" spans="1:28">
      <c r="A398" s="21" t="s">
        <v>74</v>
      </c>
      <c r="B398" s="31" t="s">
        <v>138</v>
      </c>
      <c r="C398" s="55" t="s">
        <v>19</v>
      </c>
      <c r="D398" s="17" t="s">
        <v>19</v>
      </c>
      <c r="E398" s="23">
        <v>0.04</v>
      </c>
      <c r="F398" s="55" t="s">
        <v>19</v>
      </c>
      <c r="G398" s="19">
        <v>6.5</v>
      </c>
      <c r="H398" s="23">
        <f t="shared" si="28"/>
        <v>0.26</v>
      </c>
      <c r="I398" s="16" t="s">
        <v>75</v>
      </c>
      <c r="J398" s="17">
        <v>200</v>
      </c>
      <c r="K398" s="17">
        <v>23.614285710000001</v>
      </c>
      <c r="L398" t="str">
        <f>VLOOKUP(B398,'[1]Plant data'!$A$1:$AB$315,2,0)</f>
        <v>Myrtaceae</v>
      </c>
      <c r="M398" s="9">
        <f>VLOOKUP($B398,'[1]Plant data'!$A$1:$AB$315,6,0)</f>
        <v>12.12</v>
      </c>
      <c r="N398" s="9">
        <f>VLOOKUP($B398,'[1]Plant data'!$A$1:$AB$315,7,0)</f>
        <v>14.95</v>
      </c>
      <c r="O398" s="8">
        <f>VLOOKUP($B398,'[1]Plant data'!$A$1:$AB$315,10,0)</f>
        <v>1.38</v>
      </c>
      <c r="P398" s="8">
        <f>VLOOKUP($B398,'[1]Plant data'!$A$1:$AB$315,11,0)</f>
        <v>0.78</v>
      </c>
      <c r="Q398" s="8">
        <f>VLOOKUP($B398,'[1]Plant data'!$A$1:$AB$315,12,0)</f>
        <v>0.6</v>
      </c>
      <c r="R398" s="8">
        <f>VLOOKUP($B398,'[1]Plant data'!$A$1:$AB$315,13,0)</f>
        <v>0.26</v>
      </c>
      <c r="S398" s="8" t="str">
        <f>VLOOKUP($B398,'[1]Plant data'!$A$1:$AB$315,14,0)</f>
        <v>NA</v>
      </c>
      <c r="T398" s="11">
        <f>VLOOKUP($B398,'[1]Plant data'!$A$1:$AB$315,15,0)</f>
        <v>1.1599999999999999</v>
      </c>
      <c r="U398" s="9">
        <f>VLOOKUP($B398,'[1]Plant data'!$A$1:$AB$315,19,0)</f>
        <v>0.52854999999999996</v>
      </c>
      <c r="V398" s="8">
        <f>VLOOKUP($B398,'[1]Plant data'!$A$1:$AB$315,20,0)</f>
        <v>3.8650000000000004E-2</v>
      </c>
      <c r="W398" s="8">
        <f>VLOOKUP($B398,'[1]Plant data'!$A$1:$AB$315,21,0)</f>
        <v>3.5799999999999998E-2</v>
      </c>
      <c r="X398" s="8">
        <f>VLOOKUP($B398,'[1]Plant data'!$A$1:$AB$315,22,0)</f>
        <v>7.6350000000000001E-2</v>
      </c>
      <c r="Y398" s="8" t="str">
        <f>VLOOKUP($B398,'[1]Plant data'!$A$1:$AB$315,23,0)</f>
        <v>NA</v>
      </c>
      <c r="Z398" s="8" t="str">
        <f>VLOOKUP($B398,'[1]Plant data'!$A$1:$AB$315,24,0)</f>
        <v>NA</v>
      </c>
      <c r="AA398" s="8" t="str">
        <f>VLOOKUP($B398,'[1]Plant data'!$A$1:$AB$315,25,0)</f>
        <v>NA</v>
      </c>
      <c r="AB398" s="8">
        <f>SUMIF(X398:Y398,"&gt;0.00001")</f>
        <v>7.6350000000000001E-2</v>
      </c>
    </row>
    <row r="399" spans="1:28">
      <c r="A399" s="21" t="s">
        <v>41</v>
      </c>
      <c r="B399" s="31" t="s">
        <v>138</v>
      </c>
      <c r="C399" s="55" t="s">
        <v>19</v>
      </c>
      <c r="D399" s="17" t="s">
        <v>19</v>
      </c>
      <c r="E399" s="23">
        <v>0.05</v>
      </c>
      <c r="F399" s="55" t="s">
        <v>19</v>
      </c>
      <c r="G399" s="19">
        <v>3.3</v>
      </c>
      <c r="H399" s="23">
        <f t="shared" si="28"/>
        <v>0.16500000000000001</v>
      </c>
      <c r="I399" s="16" t="s">
        <v>30</v>
      </c>
      <c r="J399" s="17">
        <v>39</v>
      </c>
      <c r="K399" s="17">
        <v>8.2839869279999991</v>
      </c>
      <c r="L399" t="str">
        <f>VLOOKUP(B399,'[1]Plant data'!$A$1:$AB$315,2,0)</f>
        <v>Myrtaceae</v>
      </c>
      <c r="M399" s="9">
        <f>VLOOKUP($B399,'[1]Plant data'!$A$1:$AB$315,6,0)</f>
        <v>12.12</v>
      </c>
      <c r="N399" s="9">
        <f>VLOOKUP($B399,'[1]Plant data'!$A$1:$AB$315,7,0)</f>
        <v>14.95</v>
      </c>
      <c r="O399" s="8">
        <f>VLOOKUP($B399,'[1]Plant data'!$A$1:$AB$315,10,0)</f>
        <v>1.38</v>
      </c>
      <c r="P399" s="8">
        <f>VLOOKUP($B399,'[1]Plant data'!$A$1:$AB$315,11,0)</f>
        <v>0.78</v>
      </c>
      <c r="Q399" s="8">
        <f>VLOOKUP($B399,'[1]Plant data'!$A$1:$AB$315,12,0)</f>
        <v>0.6</v>
      </c>
      <c r="R399" s="8">
        <f>VLOOKUP($B399,'[1]Plant data'!$A$1:$AB$315,13,0)</f>
        <v>0.26</v>
      </c>
      <c r="S399" s="8" t="str">
        <f>VLOOKUP($B399,'[1]Plant data'!$A$1:$AB$315,14,0)</f>
        <v>NA</v>
      </c>
      <c r="T399" s="11">
        <f>VLOOKUP($B399,'[1]Plant data'!$A$1:$AB$315,15,0)</f>
        <v>1.1599999999999999</v>
      </c>
      <c r="U399" s="9">
        <f>VLOOKUP($B399,'[1]Plant data'!$A$1:$AB$315,19,0)</f>
        <v>0.52854999999999996</v>
      </c>
      <c r="V399" s="8">
        <f>VLOOKUP($B399,'[1]Plant data'!$A$1:$AB$315,20,0)</f>
        <v>3.8650000000000004E-2</v>
      </c>
      <c r="W399" s="8">
        <f>VLOOKUP($B399,'[1]Plant data'!$A$1:$AB$315,21,0)</f>
        <v>3.5799999999999998E-2</v>
      </c>
      <c r="X399" s="8">
        <f>VLOOKUP($B399,'[1]Plant data'!$A$1:$AB$315,22,0)</f>
        <v>7.6350000000000001E-2</v>
      </c>
      <c r="Y399" s="8" t="str">
        <f>VLOOKUP($B399,'[1]Plant data'!$A$1:$AB$315,23,0)</f>
        <v>NA</v>
      </c>
      <c r="Z399" s="8" t="str">
        <f>VLOOKUP($B399,'[1]Plant data'!$A$1:$AB$315,24,0)</f>
        <v>NA</v>
      </c>
      <c r="AA399" s="8" t="str">
        <f>VLOOKUP($B399,'[1]Plant data'!$A$1:$AB$315,25,0)</f>
        <v>NA</v>
      </c>
      <c r="AB399" s="8">
        <f>SUMIF(X399:Y399,"&gt;0.00001")</f>
        <v>7.6350000000000001E-2</v>
      </c>
    </row>
    <row r="400" spans="1:28">
      <c r="A400" s="5" t="s">
        <v>43</v>
      </c>
      <c r="B400" s="32" t="s">
        <v>138</v>
      </c>
      <c r="C400" s="55" t="s">
        <v>19</v>
      </c>
      <c r="D400" s="17" t="s">
        <v>19</v>
      </c>
      <c r="E400" s="8">
        <v>0.65</v>
      </c>
      <c r="F400" s="55" t="s">
        <v>19</v>
      </c>
      <c r="G400" s="9">
        <v>4</v>
      </c>
      <c r="H400" s="23">
        <f t="shared" si="28"/>
        <v>2.6</v>
      </c>
      <c r="I400" t="s">
        <v>30</v>
      </c>
      <c r="J400" s="11">
        <v>32.5</v>
      </c>
      <c r="K400" s="11">
        <v>8.9205555560000001</v>
      </c>
      <c r="L400" t="str">
        <f>VLOOKUP(B400,'[1]Plant data'!$A$1:$AB$315,2,0)</f>
        <v>Myrtaceae</v>
      </c>
      <c r="M400" s="9">
        <f>VLOOKUP($B400,'[1]Plant data'!$A$1:$AB$315,6,0)</f>
        <v>12.12</v>
      </c>
      <c r="N400" s="9">
        <f>VLOOKUP($B400,'[1]Plant data'!$A$1:$AB$315,7,0)</f>
        <v>14.95</v>
      </c>
      <c r="O400" s="8">
        <f>VLOOKUP($B400,'[1]Plant data'!$A$1:$AB$315,10,0)</f>
        <v>1.38</v>
      </c>
      <c r="P400" s="8">
        <f>VLOOKUP($B400,'[1]Plant data'!$A$1:$AB$315,11,0)</f>
        <v>0.78</v>
      </c>
      <c r="Q400" s="8">
        <f>VLOOKUP($B400,'[1]Plant data'!$A$1:$AB$315,12,0)</f>
        <v>0.6</v>
      </c>
      <c r="R400" s="8">
        <f>VLOOKUP($B400,'[1]Plant data'!$A$1:$AB$315,13,0)</f>
        <v>0.26</v>
      </c>
      <c r="S400" s="8" t="str">
        <f>VLOOKUP($B400,'[1]Plant data'!$A$1:$AB$315,14,0)</f>
        <v>NA</v>
      </c>
      <c r="T400" s="11">
        <f>VLOOKUP($B400,'[1]Plant data'!$A$1:$AB$315,15,0)</f>
        <v>1.1599999999999999</v>
      </c>
      <c r="U400" s="9">
        <f>VLOOKUP($B400,'[1]Plant data'!$A$1:$AB$315,19,0)</f>
        <v>0.52854999999999996</v>
      </c>
      <c r="V400" s="8">
        <f>VLOOKUP($B400,'[1]Plant data'!$A$1:$AB$315,20,0)</f>
        <v>3.8650000000000004E-2</v>
      </c>
      <c r="W400" s="8">
        <f>VLOOKUP($B400,'[1]Plant data'!$A$1:$AB$315,21,0)</f>
        <v>3.5799999999999998E-2</v>
      </c>
      <c r="X400" s="8">
        <f>VLOOKUP($B400,'[1]Plant data'!$A$1:$AB$315,22,0)</f>
        <v>7.6350000000000001E-2</v>
      </c>
      <c r="Y400" s="8" t="str">
        <f>VLOOKUP($B400,'[1]Plant data'!$A$1:$AB$315,23,0)</f>
        <v>NA</v>
      </c>
      <c r="Z400" s="8" t="str">
        <f>VLOOKUP($B400,'[1]Plant data'!$A$1:$AB$315,24,0)</f>
        <v>NA</v>
      </c>
      <c r="AA400" s="8" t="str">
        <f>VLOOKUP($B400,'[1]Plant data'!$A$1:$AB$315,25,0)</f>
        <v>NA</v>
      </c>
      <c r="AB400" s="8">
        <f>SUMIF(X400:Y400,"&gt;0.00001")</f>
        <v>7.6350000000000001E-2</v>
      </c>
    </row>
    <row r="401" spans="1:28">
      <c r="A401" s="21" t="s">
        <v>46</v>
      </c>
      <c r="B401" s="31" t="s">
        <v>138</v>
      </c>
      <c r="C401" s="55" t="s">
        <v>19</v>
      </c>
      <c r="D401" s="17" t="s">
        <v>19</v>
      </c>
      <c r="E401" s="23">
        <v>0.13</v>
      </c>
      <c r="F401" s="55" t="s">
        <v>19</v>
      </c>
      <c r="G401" s="19">
        <v>4</v>
      </c>
      <c r="H401" s="23">
        <f t="shared" si="28"/>
        <v>0.52</v>
      </c>
      <c r="I401" s="16" t="s">
        <v>47</v>
      </c>
      <c r="J401" s="17">
        <v>54</v>
      </c>
      <c r="K401" s="17">
        <v>11.14875</v>
      </c>
      <c r="L401" t="str">
        <f>VLOOKUP(B401,'[1]Plant data'!$A$1:$AB$315,2,0)</f>
        <v>Myrtaceae</v>
      </c>
      <c r="M401" s="9">
        <f>VLOOKUP($B401,'[1]Plant data'!$A$1:$AB$315,6,0)</f>
        <v>12.12</v>
      </c>
      <c r="N401" s="9">
        <f>VLOOKUP($B401,'[1]Plant data'!$A$1:$AB$315,7,0)</f>
        <v>14.95</v>
      </c>
      <c r="O401" s="8">
        <f>VLOOKUP($B401,'[1]Plant data'!$A$1:$AB$315,10,0)</f>
        <v>1.38</v>
      </c>
      <c r="P401" s="8">
        <f>VLOOKUP($B401,'[1]Plant data'!$A$1:$AB$315,11,0)</f>
        <v>0.78</v>
      </c>
      <c r="Q401" s="8">
        <f>VLOOKUP($B401,'[1]Plant data'!$A$1:$AB$315,12,0)</f>
        <v>0.6</v>
      </c>
      <c r="R401" s="8">
        <f>VLOOKUP($B401,'[1]Plant data'!$A$1:$AB$315,13,0)</f>
        <v>0.26</v>
      </c>
      <c r="S401" s="8" t="str">
        <f>VLOOKUP($B401,'[1]Plant data'!$A$1:$AB$315,14,0)</f>
        <v>NA</v>
      </c>
      <c r="T401" s="11">
        <f>VLOOKUP($B401,'[1]Plant data'!$A$1:$AB$315,15,0)</f>
        <v>1.1599999999999999</v>
      </c>
      <c r="U401" s="9">
        <f>VLOOKUP($B401,'[1]Plant data'!$A$1:$AB$315,19,0)</f>
        <v>0.52854999999999996</v>
      </c>
      <c r="V401" s="8">
        <f>VLOOKUP($B401,'[1]Plant data'!$A$1:$AB$315,20,0)</f>
        <v>3.8650000000000004E-2</v>
      </c>
      <c r="W401" s="8">
        <f>VLOOKUP($B401,'[1]Plant data'!$A$1:$AB$315,21,0)</f>
        <v>3.5799999999999998E-2</v>
      </c>
      <c r="X401" s="8">
        <f>VLOOKUP($B401,'[1]Plant data'!$A$1:$AB$315,22,0)</f>
        <v>7.6350000000000001E-2</v>
      </c>
      <c r="Y401" s="8" t="str">
        <f>VLOOKUP($B401,'[1]Plant data'!$A$1:$AB$315,23,0)</f>
        <v>NA</v>
      </c>
      <c r="Z401" s="8" t="str">
        <f>VLOOKUP($B401,'[1]Plant data'!$A$1:$AB$315,24,0)</f>
        <v>NA</v>
      </c>
      <c r="AA401" s="8" t="str">
        <f>VLOOKUP($B401,'[1]Plant data'!$A$1:$AB$315,25,0)</f>
        <v>NA</v>
      </c>
      <c r="AB401" s="8">
        <f>SUMIF(X401:Y401,"&gt;0.00001")</f>
        <v>7.6350000000000001E-2</v>
      </c>
    </row>
    <row r="402" spans="1:28">
      <c r="A402" s="21" t="s">
        <v>50</v>
      </c>
      <c r="B402" s="31" t="s">
        <v>138</v>
      </c>
      <c r="C402" s="55" t="s">
        <v>19</v>
      </c>
      <c r="D402" s="17" t="s">
        <v>19</v>
      </c>
      <c r="E402" s="23">
        <v>0.27</v>
      </c>
      <c r="F402" s="55" t="s">
        <v>19</v>
      </c>
      <c r="G402" s="19">
        <v>3.1</v>
      </c>
      <c r="H402" s="23">
        <f t="shared" si="28"/>
        <v>0.83700000000000008</v>
      </c>
      <c r="I402" s="16" t="s">
        <v>47</v>
      </c>
      <c r="J402" s="17">
        <v>69.5</v>
      </c>
      <c r="K402" s="17">
        <v>13.253214290000001</v>
      </c>
      <c r="L402" t="str">
        <f>VLOOKUP(B402,'[1]Plant data'!$A$1:$AB$315,2,0)</f>
        <v>Myrtaceae</v>
      </c>
      <c r="M402" s="9">
        <f>VLOOKUP($B402,'[1]Plant data'!$A$1:$AB$315,6,0)</f>
        <v>12.12</v>
      </c>
      <c r="N402" s="9">
        <f>VLOOKUP($B402,'[1]Plant data'!$A$1:$AB$315,7,0)</f>
        <v>14.95</v>
      </c>
      <c r="O402" s="8">
        <f>VLOOKUP($B402,'[1]Plant data'!$A$1:$AB$315,10,0)</f>
        <v>1.38</v>
      </c>
      <c r="P402" s="8">
        <f>VLOOKUP($B402,'[1]Plant data'!$A$1:$AB$315,11,0)</f>
        <v>0.78</v>
      </c>
      <c r="Q402" s="8">
        <f>VLOOKUP($B402,'[1]Plant data'!$A$1:$AB$315,12,0)</f>
        <v>0.6</v>
      </c>
      <c r="R402" s="8">
        <f>VLOOKUP($B402,'[1]Plant data'!$A$1:$AB$315,13,0)</f>
        <v>0.26</v>
      </c>
      <c r="S402" s="8" t="str">
        <f>VLOOKUP($B402,'[1]Plant data'!$A$1:$AB$315,14,0)</f>
        <v>NA</v>
      </c>
      <c r="T402" s="11">
        <f>VLOOKUP($B402,'[1]Plant data'!$A$1:$AB$315,15,0)</f>
        <v>1.1599999999999999</v>
      </c>
      <c r="U402" s="9">
        <f>VLOOKUP($B402,'[1]Plant data'!$A$1:$AB$315,19,0)</f>
        <v>0.52854999999999996</v>
      </c>
      <c r="V402" s="8">
        <f>VLOOKUP($B402,'[1]Plant data'!$A$1:$AB$315,20,0)</f>
        <v>3.8650000000000004E-2</v>
      </c>
      <c r="W402" s="8">
        <f>VLOOKUP($B402,'[1]Plant data'!$A$1:$AB$315,21,0)</f>
        <v>3.5799999999999998E-2</v>
      </c>
      <c r="X402" s="8">
        <f>VLOOKUP($B402,'[1]Plant data'!$A$1:$AB$315,22,0)</f>
        <v>7.6350000000000001E-2</v>
      </c>
      <c r="Y402" s="8" t="str">
        <f>VLOOKUP($B402,'[1]Plant data'!$A$1:$AB$315,23,0)</f>
        <v>NA</v>
      </c>
      <c r="Z402" s="8" t="str">
        <f>VLOOKUP($B402,'[1]Plant data'!$A$1:$AB$315,24,0)</f>
        <v>NA</v>
      </c>
      <c r="AA402" s="8" t="str">
        <f>VLOOKUP($B402,'[1]Plant data'!$A$1:$AB$315,25,0)</f>
        <v>NA</v>
      </c>
      <c r="AB402" s="8">
        <f>SUMIF(X402:Y402,"&gt;0.00001")</f>
        <v>7.6350000000000001E-2</v>
      </c>
    </row>
    <row r="403" spans="1:28">
      <c r="A403" s="5" t="s">
        <v>43</v>
      </c>
      <c r="B403" s="32" t="s">
        <v>188</v>
      </c>
      <c r="C403" s="53">
        <v>2</v>
      </c>
      <c r="D403" s="11">
        <v>1.3</v>
      </c>
      <c r="E403" s="8">
        <f>C403/1.3</f>
        <v>1.5384615384615383</v>
      </c>
      <c r="F403" s="54" t="s">
        <v>19</v>
      </c>
      <c r="G403" s="19" t="s">
        <v>184</v>
      </c>
      <c r="H403" s="23" t="s">
        <v>19</v>
      </c>
      <c r="I403" t="s">
        <v>30</v>
      </c>
      <c r="J403" s="11">
        <v>32.5</v>
      </c>
      <c r="K403" s="11">
        <v>8.9205555560000001</v>
      </c>
      <c r="L403" t="str">
        <f>VLOOKUP(B403,'[1]Plant data'!$A$1:$AB$315,2,0)</f>
        <v>Myrtaceae</v>
      </c>
      <c r="M403" s="9">
        <f>VLOOKUP($B403,'[1]Plant data'!$A$1:$AB$315,6,0)</f>
        <v>11</v>
      </c>
      <c r="N403" s="9">
        <f>VLOOKUP($B403,'[1]Plant data'!$A$1:$AB$315,7,0)</f>
        <v>16</v>
      </c>
      <c r="O403" s="8" t="str">
        <f>VLOOKUP($B403,'[1]Plant data'!$A$1:$AB$315,10,0)</f>
        <v>NA</v>
      </c>
      <c r="P403" s="8" t="str">
        <f>VLOOKUP($B403,'[1]Plant data'!$A$1:$AB$315,11,0)</f>
        <v>NA</v>
      </c>
      <c r="Q403" s="8" t="str">
        <f>VLOOKUP($B403,'[1]Plant data'!$A$1:$AB$315,12,0)</f>
        <v>NA</v>
      </c>
      <c r="R403" s="8" t="str">
        <f>VLOOKUP($B403,'[1]Plant data'!$A$1:$AB$315,13,0)</f>
        <v>NA</v>
      </c>
      <c r="S403" s="8" t="str">
        <f>VLOOKUP($B403,'[1]Plant data'!$A$1:$AB$315,14,0)</f>
        <v>NA</v>
      </c>
      <c r="T403" s="11" t="str">
        <f>VLOOKUP($B403,'[1]Plant data'!$A$1:$AB$315,15,0)</f>
        <v>NA</v>
      </c>
      <c r="U403" s="9" t="str">
        <f>VLOOKUP($B403,'[1]Plant data'!$A$1:$AB$315,19,0)</f>
        <v>NA</v>
      </c>
      <c r="V403" s="8" t="str">
        <f>VLOOKUP($B403,'[1]Plant data'!$A$1:$AB$315,20,0)</f>
        <v>NA</v>
      </c>
      <c r="W403" s="8" t="str">
        <f>VLOOKUP($B403,'[1]Plant data'!$A$1:$AB$315,21,0)</f>
        <v>NA</v>
      </c>
      <c r="X403" s="8" t="str">
        <f>VLOOKUP($B403,'[1]Plant data'!$A$1:$AB$315,22,0)</f>
        <v>NA</v>
      </c>
      <c r="Y403" s="8" t="str">
        <f>VLOOKUP($B403,'[1]Plant data'!$A$1:$AB$315,23,0)</f>
        <v>NA</v>
      </c>
      <c r="Z403" s="8" t="str">
        <f>VLOOKUP($B403,'[1]Plant data'!$A$1:$AB$315,24,0)</f>
        <v>NA</v>
      </c>
      <c r="AA403" s="8" t="str">
        <f>VLOOKUP($B403,'[1]Plant data'!$A$1:$AB$315,25,0)</f>
        <v>NA</v>
      </c>
      <c r="AB403" s="8" t="s">
        <v>19</v>
      </c>
    </row>
    <row r="404" spans="1:28">
      <c r="A404" s="5" t="s">
        <v>50</v>
      </c>
      <c r="B404" s="32" t="s">
        <v>188</v>
      </c>
      <c r="C404" s="53">
        <v>1</v>
      </c>
      <c r="D404" s="11">
        <v>1.3</v>
      </c>
      <c r="E404" s="8">
        <f>C404/1.3</f>
        <v>0.76923076923076916</v>
      </c>
      <c r="F404" s="54" t="s">
        <v>19</v>
      </c>
      <c r="G404" s="9" t="s">
        <v>19</v>
      </c>
      <c r="H404" s="23" t="s">
        <v>19</v>
      </c>
      <c r="I404" t="s">
        <v>47</v>
      </c>
      <c r="J404" s="11">
        <v>69.5</v>
      </c>
      <c r="K404" s="11">
        <v>13.253214290000001</v>
      </c>
      <c r="L404" t="str">
        <f>VLOOKUP(B404,'[1]Plant data'!$A$1:$AB$315,2,0)</f>
        <v>Myrtaceae</v>
      </c>
      <c r="M404" s="9">
        <f>VLOOKUP($B404,'[1]Plant data'!$A$1:$AB$315,6,0)</f>
        <v>11</v>
      </c>
      <c r="N404" s="9">
        <f>VLOOKUP($B404,'[1]Plant data'!$A$1:$AB$315,7,0)</f>
        <v>16</v>
      </c>
      <c r="O404" s="8" t="str">
        <f>VLOOKUP($B404,'[1]Plant data'!$A$1:$AB$315,10,0)</f>
        <v>NA</v>
      </c>
      <c r="P404" s="8" t="str">
        <f>VLOOKUP($B404,'[1]Plant data'!$A$1:$AB$315,11,0)</f>
        <v>NA</v>
      </c>
      <c r="Q404" s="8" t="str">
        <f>VLOOKUP($B404,'[1]Plant data'!$A$1:$AB$315,12,0)</f>
        <v>NA</v>
      </c>
      <c r="R404" s="8" t="str">
        <f>VLOOKUP($B404,'[1]Plant data'!$A$1:$AB$315,13,0)</f>
        <v>NA</v>
      </c>
      <c r="S404" s="8" t="str">
        <f>VLOOKUP($B404,'[1]Plant data'!$A$1:$AB$315,14,0)</f>
        <v>NA</v>
      </c>
      <c r="T404" s="11" t="str">
        <f>VLOOKUP($B404,'[1]Plant data'!$A$1:$AB$315,15,0)</f>
        <v>NA</v>
      </c>
      <c r="U404" s="9" t="str">
        <f>VLOOKUP($B404,'[1]Plant data'!$A$1:$AB$315,19,0)</f>
        <v>NA</v>
      </c>
      <c r="V404" s="8" t="str">
        <f>VLOOKUP($B404,'[1]Plant data'!$A$1:$AB$315,20,0)</f>
        <v>NA</v>
      </c>
      <c r="W404" s="8" t="str">
        <f>VLOOKUP($B404,'[1]Plant data'!$A$1:$AB$315,21,0)</f>
        <v>NA</v>
      </c>
      <c r="X404" s="8" t="str">
        <f>VLOOKUP($B404,'[1]Plant data'!$A$1:$AB$315,22,0)</f>
        <v>NA</v>
      </c>
      <c r="Y404" s="8" t="str">
        <f>VLOOKUP($B404,'[1]Plant data'!$A$1:$AB$315,23,0)</f>
        <v>NA</v>
      </c>
      <c r="Z404" s="8" t="str">
        <f>VLOOKUP($B404,'[1]Plant data'!$A$1:$AB$315,24,0)</f>
        <v>NA</v>
      </c>
      <c r="AA404" s="8" t="str">
        <f>VLOOKUP($B404,'[1]Plant data'!$A$1:$AB$315,25,0)</f>
        <v>NA</v>
      </c>
      <c r="AB404" s="8" t="s">
        <v>19</v>
      </c>
    </row>
    <row r="405" spans="1:28">
      <c r="A405" s="5" t="s">
        <v>28</v>
      </c>
      <c r="B405" s="32" t="s">
        <v>267</v>
      </c>
      <c r="C405" s="53">
        <v>10</v>
      </c>
      <c r="D405" s="59">
        <v>43.7</v>
      </c>
      <c r="E405" s="8">
        <f>C405/D405</f>
        <v>0.22883295194508008</v>
      </c>
      <c r="F405" s="54" t="s">
        <v>19</v>
      </c>
      <c r="G405" s="9" t="s">
        <v>19</v>
      </c>
      <c r="H405" s="23" t="s">
        <v>19</v>
      </c>
      <c r="I405" t="s">
        <v>30</v>
      </c>
      <c r="J405" s="11">
        <v>18</v>
      </c>
      <c r="K405" s="11">
        <v>7.4188405800000004</v>
      </c>
      <c r="L405" t="str">
        <f>VLOOKUP(B405,'[1]Plant data'!$A$1:$AB$315,2,0)</f>
        <v>Erythroxylaceae</v>
      </c>
      <c r="M405" s="9">
        <f>VLOOKUP($B405,'[1]Plant data'!$A$1:$AB$315,6,0)</f>
        <v>4</v>
      </c>
      <c r="N405" s="9">
        <f>VLOOKUP($B405,'[1]Plant data'!$A$1:$AB$315,7,0)</f>
        <v>11</v>
      </c>
      <c r="O405" s="8" t="str">
        <f>VLOOKUP($B405,'[1]Plant data'!$A$1:$AB$315,10,0)</f>
        <v>NA</v>
      </c>
      <c r="P405" s="8" t="str">
        <f>VLOOKUP($B405,'[1]Plant data'!$A$1:$AB$315,11,0)</f>
        <v>NA</v>
      </c>
      <c r="Q405" s="8" t="str">
        <f>VLOOKUP($B405,'[1]Plant data'!$A$1:$AB$315,12,0)</f>
        <v>NA</v>
      </c>
      <c r="R405" s="8" t="str">
        <f>VLOOKUP($B405,'[1]Plant data'!$A$1:$AB$315,13,0)</f>
        <v>NA</v>
      </c>
      <c r="S405" s="8" t="str">
        <f>VLOOKUP($B405,'[1]Plant data'!$A$1:$AB$315,14,0)</f>
        <v>NA</v>
      </c>
      <c r="T405" s="11" t="str">
        <f>VLOOKUP($B405,'[1]Plant data'!$A$1:$AB$315,15,0)</f>
        <v>NA</v>
      </c>
      <c r="U405" s="9" t="str">
        <f>VLOOKUP($B405,'[1]Plant data'!$A$1:$AB$315,19,0)</f>
        <v>NA</v>
      </c>
      <c r="V405" s="8" t="str">
        <f>VLOOKUP($B405,'[1]Plant data'!$A$1:$AB$315,20,0)</f>
        <v>NA</v>
      </c>
      <c r="W405" s="8" t="str">
        <f>VLOOKUP($B405,'[1]Plant data'!$A$1:$AB$315,21,0)</f>
        <v>NA</v>
      </c>
      <c r="X405" s="8" t="str">
        <f>VLOOKUP($B405,'[1]Plant data'!$A$1:$AB$315,22,0)</f>
        <v>NA</v>
      </c>
      <c r="Y405" s="8" t="str">
        <f>VLOOKUP($B405,'[1]Plant data'!$A$1:$AB$315,23,0)</f>
        <v>NA</v>
      </c>
      <c r="Z405" s="8" t="str">
        <f>VLOOKUP($B405,'[1]Plant data'!$A$1:$AB$315,24,0)</f>
        <v>NA</v>
      </c>
      <c r="AA405" s="8" t="str">
        <f>VLOOKUP($B405,'[1]Plant data'!$A$1:$AB$315,25,0)</f>
        <v>NA</v>
      </c>
      <c r="AB405" s="8" t="s">
        <v>19</v>
      </c>
    </row>
    <row r="406" spans="1:28">
      <c r="A406" s="5" t="s">
        <v>43</v>
      </c>
      <c r="B406" s="32" t="s">
        <v>267</v>
      </c>
      <c r="C406" s="53">
        <v>60</v>
      </c>
      <c r="D406" s="59">
        <v>43.7</v>
      </c>
      <c r="E406" s="8">
        <f>C406/43.7</f>
        <v>1.3729977116704806</v>
      </c>
      <c r="F406" s="54">
        <v>460</v>
      </c>
      <c r="G406" s="9">
        <f>F406/C406</f>
        <v>7.666666666666667</v>
      </c>
      <c r="H406" s="23">
        <f>E406*G406</f>
        <v>10.526315789473685</v>
      </c>
      <c r="I406" t="s">
        <v>30</v>
      </c>
      <c r="J406" s="11">
        <v>32.5</v>
      </c>
      <c r="K406" s="11">
        <v>8.9205555560000001</v>
      </c>
      <c r="L406" t="str">
        <f>VLOOKUP(B406,'[1]Plant data'!$A$1:$AB$315,2,0)</f>
        <v>Erythroxylaceae</v>
      </c>
      <c r="M406" s="9">
        <f>VLOOKUP($B406,'[1]Plant data'!$A$1:$AB$315,6,0)</f>
        <v>4</v>
      </c>
      <c r="N406" s="9">
        <f>VLOOKUP($B406,'[1]Plant data'!$A$1:$AB$315,7,0)</f>
        <v>11</v>
      </c>
      <c r="O406" s="8" t="str">
        <f>VLOOKUP($B406,'[1]Plant data'!$A$1:$AB$315,10,0)</f>
        <v>NA</v>
      </c>
      <c r="P406" s="8" t="str">
        <f>VLOOKUP($B406,'[1]Plant data'!$A$1:$AB$315,11,0)</f>
        <v>NA</v>
      </c>
      <c r="Q406" s="8" t="str">
        <f>VLOOKUP($B406,'[1]Plant data'!$A$1:$AB$315,12,0)</f>
        <v>NA</v>
      </c>
      <c r="R406" s="8" t="str">
        <f>VLOOKUP($B406,'[1]Plant data'!$A$1:$AB$315,13,0)</f>
        <v>NA</v>
      </c>
      <c r="S406" s="8" t="str">
        <f>VLOOKUP($B406,'[1]Plant data'!$A$1:$AB$315,14,0)</f>
        <v>NA</v>
      </c>
      <c r="T406" s="11" t="str">
        <f>VLOOKUP($B406,'[1]Plant data'!$A$1:$AB$315,15,0)</f>
        <v>NA</v>
      </c>
      <c r="U406" s="9" t="str">
        <f>VLOOKUP($B406,'[1]Plant data'!$A$1:$AB$315,19,0)</f>
        <v>NA</v>
      </c>
      <c r="V406" s="8" t="str">
        <f>VLOOKUP($B406,'[1]Plant data'!$A$1:$AB$315,20,0)</f>
        <v>NA</v>
      </c>
      <c r="W406" s="8" t="str">
        <f>VLOOKUP($B406,'[1]Plant data'!$A$1:$AB$315,21,0)</f>
        <v>NA</v>
      </c>
      <c r="X406" s="8" t="str">
        <f>VLOOKUP($B406,'[1]Plant data'!$A$1:$AB$315,22,0)</f>
        <v>NA</v>
      </c>
      <c r="Y406" s="8" t="str">
        <f>VLOOKUP($B406,'[1]Plant data'!$A$1:$AB$315,23,0)</f>
        <v>NA</v>
      </c>
      <c r="Z406" s="8" t="str">
        <f>VLOOKUP($B406,'[1]Plant data'!$A$1:$AB$315,24,0)</f>
        <v>NA</v>
      </c>
      <c r="AA406" s="8" t="str">
        <f>VLOOKUP($B406,'[1]Plant data'!$A$1:$AB$315,25,0)</f>
        <v>NA</v>
      </c>
      <c r="AB406" s="8" t="s">
        <v>19</v>
      </c>
    </row>
    <row r="407" spans="1:28">
      <c r="A407" s="5" t="s">
        <v>50</v>
      </c>
      <c r="B407" s="32" t="s">
        <v>267</v>
      </c>
      <c r="C407" s="53">
        <v>26</v>
      </c>
      <c r="D407" s="59">
        <v>43.7</v>
      </c>
      <c r="E407" s="8">
        <f>C407/43.7</f>
        <v>0.59496567505720821</v>
      </c>
      <c r="F407" s="54">
        <v>292</v>
      </c>
      <c r="G407" s="9">
        <f>F407/C407</f>
        <v>11.23076923076923</v>
      </c>
      <c r="H407" s="23">
        <f>E407*G407</f>
        <v>6.6819221967963376</v>
      </c>
      <c r="I407" t="s">
        <v>47</v>
      </c>
      <c r="J407" s="11">
        <v>69.5</v>
      </c>
      <c r="K407" s="11">
        <v>13.253214290000001</v>
      </c>
      <c r="L407" t="str">
        <f>VLOOKUP(B407,'[1]Plant data'!$A$1:$AB$315,2,0)</f>
        <v>Erythroxylaceae</v>
      </c>
      <c r="M407" s="9">
        <f>VLOOKUP($B407,'[1]Plant data'!$A$1:$AB$315,6,0)</f>
        <v>4</v>
      </c>
      <c r="N407" s="9">
        <f>VLOOKUP($B407,'[1]Plant data'!$A$1:$AB$315,7,0)</f>
        <v>11</v>
      </c>
      <c r="O407" s="8" t="str">
        <f>VLOOKUP($B407,'[1]Plant data'!$A$1:$AB$315,10,0)</f>
        <v>NA</v>
      </c>
      <c r="P407" s="8" t="str">
        <f>VLOOKUP($B407,'[1]Plant data'!$A$1:$AB$315,11,0)</f>
        <v>NA</v>
      </c>
      <c r="Q407" s="8" t="str">
        <f>VLOOKUP($B407,'[1]Plant data'!$A$1:$AB$315,12,0)</f>
        <v>NA</v>
      </c>
      <c r="R407" s="8" t="str">
        <f>VLOOKUP($B407,'[1]Plant data'!$A$1:$AB$315,13,0)</f>
        <v>NA</v>
      </c>
      <c r="S407" s="8" t="str">
        <f>VLOOKUP($B407,'[1]Plant data'!$A$1:$AB$315,14,0)</f>
        <v>NA</v>
      </c>
      <c r="T407" s="11" t="str">
        <f>VLOOKUP($B407,'[1]Plant data'!$A$1:$AB$315,15,0)</f>
        <v>NA</v>
      </c>
      <c r="U407" s="9" t="str">
        <f>VLOOKUP($B407,'[1]Plant data'!$A$1:$AB$315,19,0)</f>
        <v>NA</v>
      </c>
      <c r="V407" s="8" t="str">
        <f>VLOOKUP($B407,'[1]Plant data'!$A$1:$AB$315,20,0)</f>
        <v>NA</v>
      </c>
      <c r="W407" s="8" t="str">
        <f>VLOOKUP($B407,'[1]Plant data'!$A$1:$AB$315,21,0)</f>
        <v>NA</v>
      </c>
      <c r="X407" s="8" t="str">
        <f>VLOOKUP($B407,'[1]Plant data'!$A$1:$AB$315,22,0)</f>
        <v>NA</v>
      </c>
      <c r="Y407" s="8" t="str">
        <f>VLOOKUP($B407,'[1]Plant data'!$A$1:$AB$315,23,0)</f>
        <v>NA</v>
      </c>
      <c r="Z407" s="8" t="str">
        <f>VLOOKUP($B407,'[1]Plant data'!$A$1:$AB$315,24,0)</f>
        <v>NA</v>
      </c>
      <c r="AA407" s="8" t="str">
        <f>VLOOKUP($B407,'[1]Plant data'!$A$1:$AB$315,25,0)</f>
        <v>NA</v>
      </c>
      <c r="AB407" s="8" t="s">
        <v>19</v>
      </c>
    </row>
    <row r="408" spans="1:28">
      <c r="A408" s="5" t="s">
        <v>90</v>
      </c>
      <c r="B408" s="33" t="s">
        <v>34</v>
      </c>
      <c r="C408" s="56">
        <v>1</v>
      </c>
      <c r="D408" s="59">
        <v>148.5</v>
      </c>
      <c r="E408" s="26">
        <f t="shared" ref="E408:E413" si="29">C408/D408</f>
        <v>6.7340067340067337E-3</v>
      </c>
      <c r="F408" s="56" t="s">
        <v>19</v>
      </c>
      <c r="G408" s="27">
        <v>8</v>
      </c>
      <c r="H408" s="23">
        <f>E408*G408</f>
        <v>5.387205387205387E-2</v>
      </c>
      <c r="I408" t="s">
        <v>94</v>
      </c>
      <c r="J408" s="11">
        <v>331</v>
      </c>
      <c r="K408" s="11">
        <v>30.7</v>
      </c>
      <c r="L408" t="str">
        <f>VLOOKUP(B408,'[1]Plant data'!$A$1:$AB$315,2,0)</f>
        <v>Erythroxylaceae</v>
      </c>
      <c r="M408" s="9">
        <f>VLOOKUP($B408,'[1]Plant data'!$A$1:$AB$315,6,0)</f>
        <v>5.49</v>
      </c>
      <c r="N408" s="9">
        <f>VLOOKUP($B408,'[1]Plant data'!$A$1:$AB$315,7,0)</f>
        <v>7.51</v>
      </c>
      <c r="O408" s="8">
        <f>VLOOKUP($B408,'[1]Plant data'!$A$1:$AB$315,10,0)</f>
        <v>0.16840000000000002</v>
      </c>
      <c r="P408" s="8" t="str">
        <f>VLOOKUP($B408,'[1]Plant data'!$A$1:$AB$315,11,0)</f>
        <v>NA</v>
      </c>
      <c r="Q408" s="8">
        <f>VLOOKUP($B408,'[1]Plant data'!$A$1:$AB$315,12,0)</f>
        <v>5.1200000000000002E-2</v>
      </c>
      <c r="R408" s="8">
        <f>VLOOKUP($B408,'[1]Plant data'!$A$1:$AB$315,13,0)</f>
        <v>0.13589999999999999</v>
      </c>
      <c r="S408" s="8">
        <f>VLOOKUP($B408,'[1]Plant data'!$A$1:$AB$315,14,0)</f>
        <v>3.2500000000000001E-2</v>
      </c>
      <c r="T408" s="11">
        <f>VLOOKUP($B408,'[1]Plant data'!$A$1:$AB$315,15,0)</f>
        <v>1</v>
      </c>
      <c r="U408" s="9" t="str">
        <f>VLOOKUP($B408,'[1]Plant data'!$A$1:$AB$315,19,0)</f>
        <v>NA</v>
      </c>
      <c r="V408" s="8">
        <f>VLOOKUP($B408,'[1]Plant data'!$A$1:$AB$315,20,0)</f>
        <v>0.88</v>
      </c>
      <c r="W408" s="8">
        <f>VLOOKUP($B408,'[1]Plant data'!$A$1:$AB$315,21,0)</f>
        <v>8.0000000000000002E-3</v>
      </c>
      <c r="X408" s="8" t="str">
        <f>VLOOKUP($B408,'[1]Plant data'!$A$1:$AB$315,22,0)</f>
        <v>NA</v>
      </c>
      <c r="Y408" s="8" t="str">
        <f>VLOOKUP($B408,'[1]Plant data'!$A$1:$AB$315,23,0)</f>
        <v>NA</v>
      </c>
      <c r="Z408" s="8" t="str">
        <f>VLOOKUP($B408,'[1]Plant data'!$A$1:$AB$315,24,0)</f>
        <v>NA</v>
      </c>
      <c r="AA408" s="8">
        <f>VLOOKUP($B408,'[1]Plant data'!$A$1:$AB$315,25,0)</f>
        <v>0.04</v>
      </c>
      <c r="AB408" s="8" t="s">
        <v>19</v>
      </c>
    </row>
    <row r="409" spans="1:28">
      <c r="A409" s="5" t="s">
        <v>32</v>
      </c>
      <c r="B409" s="33" t="s">
        <v>34</v>
      </c>
      <c r="C409" s="53">
        <v>7</v>
      </c>
      <c r="D409" s="58">
        <v>22.2</v>
      </c>
      <c r="E409" s="8">
        <f t="shared" si="29"/>
        <v>0.31531531531531531</v>
      </c>
      <c r="F409" s="54" t="s">
        <v>19</v>
      </c>
      <c r="G409" s="9" t="s">
        <v>19</v>
      </c>
      <c r="H409" s="23" t="s">
        <v>19</v>
      </c>
      <c r="I409" t="s">
        <v>30</v>
      </c>
      <c r="J409" s="11">
        <v>18</v>
      </c>
      <c r="K409" s="11">
        <v>5.1684999999999999</v>
      </c>
      <c r="L409" t="str">
        <f>VLOOKUP(B409,'[1]Plant data'!$A$1:$AB$315,2,0)</f>
        <v>Erythroxylaceae</v>
      </c>
      <c r="M409" s="9">
        <f>VLOOKUP($B409,'[1]Plant data'!$A$1:$AB$315,6,0)</f>
        <v>5.49</v>
      </c>
      <c r="N409" s="9">
        <f>VLOOKUP($B409,'[1]Plant data'!$A$1:$AB$315,7,0)</f>
        <v>7.51</v>
      </c>
      <c r="O409" s="8">
        <f>VLOOKUP($B409,'[1]Plant data'!$A$1:$AB$315,10,0)</f>
        <v>0.16840000000000002</v>
      </c>
      <c r="P409" s="8" t="str">
        <f>VLOOKUP($B409,'[1]Plant data'!$A$1:$AB$315,11,0)</f>
        <v>NA</v>
      </c>
      <c r="Q409" s="8">
        <f>VLOOKUP($B409,'[1]Plant data'!$A$1:$AB$315,12,0)</f>
        <v>5.1200000000000002E-2</v>
      </c>
      <c r="R409" s="8">
        <f>VLOOKUP($B409,'[1]Plant data'!$A$1:$AB$315,13,0)</f>
        <v>0.13589999999999999</v>
      </c>
      <c r="S409" s="8">
        <f>VLOOKUP($B409,'[1]Plant data'!$A$1:$AB$315,14,0)</f>
        <v>3.2500000000000001E-2</v>
      </c>
      <c r="T409" s="11">
        <f>VLOOKUP($B409,'[1]Plant data'!$A$1:$AB$315,15,0)</f>
        <v>1</v>
      </c>
      <c r="U409" s="9" t="str">
        <f>VLOOKUP($B409,'[1]Plant data'!$A$1:$AB$315,19,0)</f>
        <v>NA</v>
      </c>
      <c r="V409" s="8">
        <f>VLOOKUP($B409,'[1]Plant data'!$A$1:$AB$315,20,0)</f>
        <v>0.88</v>
      </c>
      <c r="W409" s="8">
        <f>VLOOKUP($B409,'[1]Plant data'!$A$1:$AB$315,21,0)</f>
        <v>8.0000000000000002E-3</v>
      </c>
      <c r="X409" s="8" t="str">
        <f>VLOOKUP($B409,'[1]Plant data'!$A$1:$AB$315,22,0)</f>
        <v>NA</v>
      </c>
      <c r="Y409" s="8" t="str">
        <f>VLOOKUP($B409,'[1]Plant data'!$A$1:$AB$315,23,0)</f>
        <v>NA</v>
      </c>
      <c r="Z409" s="8" t="str">
        <f>VLOOKUP($B409,'[1]Plant data'!$A$1:$AB$315,24,0)</f>
        <v>NA</v>
      </c>
      <c r="AA409" s="8">
        <f>VLOOKUP($B409,'[1]Plant data'!$A$1:$AB$315,25,0)</f>
        <v>0.04</v>
      </c>
      <c r="AB409" s="8" t="s">
        <v>19</v>
      </c>
    </row>
    <row r="410" spans="1:28">
      <c r="A410" s="5" t="s">
        <v>43</v>
      </c>
      <c r="B410" s="33" t="s">
        <v>34</v>
      </c>
      <c r="C410" s="53">
        <v>3</v>
      </c>
      <c r="D410" s="58">
        <v>22.2</v>
      </c>
      <c r="E410" s="8">
        <f t="shared" si="29"/>
        <v>0.13513513513513514</v>
      </c>
      <c r="F410" s="54" t="s">
        <v>19</v>
      </c>
      <c r="G410" s="41">
        <v>7.67</v>
      </c>
      <c r="H410" s="23">
        <f>E410*G410</f>
        <v>1.0364864864864864</v>
      </c>
      <c r="I410" t="s">
        <v>30</v>
      </c>
      <c r="J410" s="11">
        <v>32.5</v>
      </c>
      <c r="K410" s="11">
        <v>8.9205555560000001</v>
      </c>
      <c r="L410" t="str">
        <f>VLOOKUP(B410,'[1]Plant data'!$A$1:$AB$315,2,0)</f>
        <v>Erythroxylaceae</v>
      </c>
      <c r="M410" s="9">
        <f>VLOOKUP($B410,'[1]Plant data'!$A$1:$AB$315,6,0)</f>
        <v>5.49</v>
      </c>
      <c r="N410" s="9">
        <f>VLOOKUP($B410,'[1]Plant data'!$A$1:$AB$315,7,0)</f>
        <v>7.51</v>
      </c>
      <c r="O410" s="8">
        <f>VLOOKUP($B410,'[1]Plant data'!$A$1:$AB$315,10,0)</f>
        <v>0.16840000000000002</v>
      </c>
      <c r="P410" s="8" t="str">
        <f>VLOOKUP($B410,'[1]Plant data'!$A$1:$AB$315,11,0)</f>
        <v>NA</v>
      </c>
      <c r="Q410" s="8">
        <f>VLOOKUP($B410,'[1]Plant data'!$A$1:$AB$315,12,0)</f>
        <v>5.1200000000000002E-2</v>
      </c>
      <c r="R410" s="8">
        <f>VLOOKUP($B410,'[1]Plant data'!$A$1:$AB$315,13,0)</f>
        <v>0.13589999999999999</v>
      </c>
      <c r="S410" s="8">
        <f>VLOOKUP($B410,'[1]Plant data'!$A$1:$AB$315,14,0)</f>
        <v>3.2500000000000001E-2</v>
      </c>
      <c r="T410" s="11">
        <f>VLOOKUP($B410,'[1]Plant data'!$A$1:$AB$315,15,0)</f>
        <v>1</v>
      </c>
      <c r="U410" s="9" t="str">
        <f>VLOOKUP($B410,'[1]Plant data'!$A$1:$AB$315,19,0)</f>
        <v>NA</v>
      </c>
      <c r="V410" s="8">
        <f>VLOOKUP($B410,'[1]Plant data'!$A$1:$AB$315,20,0)</f>
        <v>0.88</v>
      </c>
      <c r="W410" s="8">
        <f>VLOOKUP($B410,'[1]Plant data'!$A$1:$AB$315,21,0)</f>
        <v>8.0000000000000002E-3</v>
      </c>
      <c r="X410" s="8" t="str">
        <f>VLOOKUP($B410,'[1]Plant data'!$A$1:$AB$315,22,0)</f>
        <v>NA</v>
      </c>
      <c r="Y410" s="8" t="str">
        <f>VLOOKUP($B410,'[1]Plant data'!$A$1:$AB$315,23,0)</f>
        <v>NA</v>
      </c>
      <c r="Z410" s="8" t="str">
        <f>VLOOKUP($B410,'[1]Plant data'!$A$1:$AB$315,24,0)</f>
        <v>NA</v>
      </c>
      <c r="AA410" s="8">
        <f>VLOOKUP($B410,'[1]Plant data'!$A$1:$AB$315,25,0)</f>
        <v>0.04</v>
      </c>
      <c r="AB410" s="8" t="s">
        <v>19</v>
      </c>
    </row>
    <row r="411" spans="1:28">
      <c r="A411" s="5" t="s">
        <v>46</v>
      </c>
      <c r="B411" s="33" t="s">
        <v>34</v>
      </c>
      <c r="C411" s="53">
        <v>10</v>
      </c>
      <c r="D411" s="58">
        <v>22.2</v>
      </c>
      <c r="E411" s="8">
        <f t="shared" si="29"/>
        <v>0.45045045045045046</v>
      </c>
      <c r="F411" s="54" t="s">
        <v>19</v>
      </c>
      <c r="G411" s="41">
        <v>3</v>
      </c>
      <c r="H411" s="23">
        <f>E411*G411</f>
        <v>1.3513513513513513</v>
      </c>
      <c r="I411" t="s">
        <v>47</v>
      </c>
      <c r="J411" s="11">
        <v>54</v>
      </c>
      <c r="K411" s="11">
        <v>11.14875</v>
      </c>
      <c r="L411" t="str">
        <f>VLOOKUP(B411,'[1]Plant data'!$A$1:$AB$315,2,0)</f>
        <v>Erythroxylaceae</v>
      </c>
      <c r="M411" s="9">
        <f>VLOOKUP($B411,'[1]Plant data'!$A$1:$AB$315,6,0)</f>
        <v>5.49</v>
      </c>
      <c r="N411" s="9">
        <f>VLOOKUP($B411,'[1]Plant data'!$A$1:$AB$315,7,0)</f>
        <v>7.51</v>
      </c>
      <c r="O411" s="8">
        <f>VLOOKUP($B411,'[1]Plant data'!$A$1:$AB$315,10,0)</f>
        <v>0.16840000000000002</v>
      </c>
      <c r="P411" s="8" t="str">
        <f>VLOOKUP($B411,'[1]Plant data'!$A$1:$AB$315,11,0)</f>
        <v>NA</v>
      </c>
      <c r="Q411" s="8">
        <f>VLOOKUP($B411,'[1]Plant data'!$A$1:$AB$315,12,0)</f>
        <v>5.1200000000000002E-2</v>
      </c>
      <c r="R411" s="8">
        <f>VLOOKUP($B411,'[1]Plant data'!$A$1:$AB$315,13,0)</f>
        <v>0.13589999999999999</v>
      </c>
      <c r="S411" s="8">
        <f>VLOOKUP($B411,'[1]Plant data'!$A$1:$AB$315,14,0)</f>
        <v>3.2500000000000001E-2</v>
      </c>
      <c r="T411" s="11">
        <f>VLOOKUP($B411,'[1]Plant data'!$A$1:$AB$315,15,0)</f>
        <v>1</v>
      </c>
      <c r="U411" s="9" t="str">
        <f>VLOOKUP($B411,'[1]Plant data'!$A$1:$AB$315,19,0)</f>
        <v>NA</v>
      </c>
      <c r="V411" s="8">
        <f>VLOOKUP($B411,'[1]Plant data'!$A$1:$AB$315,20,0)</f>
        <v>0.88</v>
      </c>
      <c r="W411" s="8">
        <f>VLOOKUP($B411,'[1]Plant data'!$A$1:$AB$315,21,0)</f>
        <v>8.0000000000000002E-3</v>
      </c>
      <c r="X411" s="8" t="str">
        <f>VLOOKUP($B411,'[1]Plant data'!$A$1:$AB$315,22,0)</f>
        <v>NA</v>
      </c>
      <c r="Y411" s="8" t="str">
        <f>VLOOKUP($B411,'[1]Plant data'!$A$1:$AB$315,23,0)</f>
        <v>NA</v>
      </c>
      <c r="Z411" s="8" t="str">
        <f>VLOOKUP($B411,'[1]Plant data'!$A$1:$AB$315,24,0)</f>
        <v>NA</v>
      </c>
      <c r="AA411" s="8">
        <f>VLOOKUP($B411,'[1]Plant data'!$A$1:$AB$315,25,0)</f>
        <v>0.04</v>
      </c>
      <c r="AB411" s="8" t="s">
        <v>19</v>
      </c>
    </row>
    <row r="412" spans="1:28">
      <c r="A412" s="5" t="s">
        <v>46</v>
      </c>
      <c r="B412" s="33" t="s">
        <v>34</v>
      </c>
      <c r="C412" s="53">
        <v>3</v>
      </c>
      <c r="D412" s="59">
        <v>148.5</v>
      </c>
      <c r="E412" s="26">
        <f t="shared" si="29"/>
        <v>2.0202020202020204E-2</v>
      </c>
      <c r="F412" s="54" t="s">
        <v>19</v>
      </c>
      <c r="G412" s="9">
        <v>3</v>
      </c>
      <c r="H412" s="23">
        <f>E412*G412</f>
        <v>6.0606060606060608E-2</v>
      </c>
      <c r="I412" t="s">
        <v>47</v>
      </c>
      <c r="J412" s="11">
        <v>54</v>
      </c>
      <c r="K412" s="11">
        <v>11.14875</v>
      </c>
      <c r="L412" t="str">
        <f>VLOOKUP(B412,'[1]Plant data'!$A$1:$AB$315,2,0)</f>
        <v>Erythroxylaceae</v>
      </c>
      <c r="M412" s="9">
        <f>VLOOKUP($B412,'[1]Plant data'!$A$1:$AB$315,6,0)</f>
        <v>5.49</v>
      </c>
      <c r="N412" s="9">
        <f>VLOOKUP($B412,'[1]Plant data'!$A$1:$AB$315,7,0)</f>
        <v>7.51</v>
      </c>
      <c r="O412" s="8">
        <f>VLOOKUP($B412,'[1]Plant data'!$A$1:$AB$315,10,0)</f>
        <v>0.16840000000000002</v>
      </c>
      <c r="P412" s="8" t="str">
        <f>VLOOKUP($B412,'[1]Plant data'!$A$1:$AB$315,11,0)</f>
        <v>NA</v>
      </c>
      <c r="Q412" s="8">
        <f>VLOOKUP($B412,'[1]Plant data'!$A$1:$AB$315,12,0)</f>
        <v>5.1200000000000002E-2</v>
      </c>
      <c r="R412" s="8">
        <f>VLOOKUP($B412,'[1]Plant data'!$A$1:$AB$315,13,0)</f>
        <v>0.13589999999999999</v>
      </c>
      <c r="S412" s="8">
        <f>VLOOKUP($B412,'[1]Plant data'!$A$1:$AB$315,14,0)</f>
        <v>3.2500000000000001E-2</v>
      </c>
      <c r="T412" s="11">
        <f>VLOOKUP($B412,'[1]Plant data'!$A$1:$AB$315,15,0)</f>
        <v>1</v>
      </c>
      <c r="U412" s="9" t="str">
        <f>VLOOKUP($B412,'[1]Plant data'!$A$1:$AB$315,19,0)</f>
        <v>NA</v>
      </c>
      <c r="V412" s="8">
        <f>VLOOKUP($B412,'[1]Plant data'!$A$1:$AB$315,20,0)</f>
        <v>0.88</v>
      </c>
      <c r="W412" s="8">
        <f>VLOOKUP($B412,'[1]Plant data'!$A$1:$AB$315,21,0)</f>
        <v>8.0000000000000002E-3</v>
      </c>
      <c r="X412" s="8" t="str">
        <f>VLOOKUP($B412,'[1]Plant data'!$A$1:$AB$315,22,0)</f>
        <v>NA</v>
      </c>
      <c r="Y412" s="8" t="str">
        <f>VLOOKUP($B412,'[1]Plant data'!$A$1:$AB$315,23,0)</f>
        <v>NA</v>
      </c>
      <c r="Z412" s="8" t="str">
        <f>VLOOKUP($B412,'[1]Plant data'!$A$1:$AB$315,24,0)</f>
        <v>NA</v>
      </c>
      <c r="AA412" s="8">
        <f>VLOOKUP($B412,'[1]Plant data'!$A$1:$AB$315,25,0)</f>
        <v>0.04</v>
      </c>
      <c r="AB412" s="8" t="s">
        <v>19</v>
      </c>
    </row>
    <row r="413" spans="1:28">
      <c r="A413" s="5" t="s">
        <v>50</v>
      </c>
      <c r="B413" s="32" t="s">
        <v>34</v>
      </c>
      <c r="C413" s="53">
        <v>5</v>
      </c>
      <c r="D413" s="59">
        <v>148.5</v>
      </c>
      <c r="E413" s="26">
        <f t="shared" si="29"/>
        <v>3.3670033670033669E-2</v>
      </c>
      <c r="F413" s="54" t="s">
        <v>19</v>
      </c>
      <c r="G413" s="9">
        <v>5</v>
      </c>
      <c r="H413" s="23">
        <f>E413*G413</f>
        <v>0.16835016835016836</v>
      </c>
      <c r="I413" t="s">
        <v>47</v>
      </c>
      <c r="J413" s="11">
        <v>69.5</v>
      </c>
      <c r="K413" s="11">
        <v>13.253214290000001</v>
      </c>
      <c r="L413" t="str">
        <f>VLOOKUP(B413,'[1]Plant data'!$A$1:$AB$315,2,0)</f>
        <v>Erythroxylaceae</v>
      </c>
      <c r="M413" s="9">
        <f>VLOOKUP($B413,'[1]Plant data'!$A$1:$AB$315,6,0)</f>
        <v>5.49</v>
      </c>
      <c r="N413" s="9">
        <f>VLOOKUP($B413,'[1]Plant data'!$A$1:$AB$315,7,0)</f>
        <v>7.51</v>
      </c>
      <c r="O413" s="8">
        <f>VLOOKUP($B413,'[1]Plant data'!$A$1:$AB$315,10,0)</f>
        <v>0.16840000000000002</v>
      </c>
      <c r="P413" s="8" t="str">
        <f>VLOOKUP($B413,'[1]Plant data'!$A$1:$AB$315,11,0)</f>
        <v>NA</v>
      </c>
      <c r="Q413" s="8">
        <f>VLOOKUP($B413,'[1]Plant data'!$A$1:$AB$315,12,0)</f>
        <v>5.1200000000000002E-2</v>
      </c>
      <c r="R413" s="8">
        <f>VLOOKUP($B413,'[1]Plant data'!$A$1:$AB$315,13,0)</f>
        <v>0.13589999999999999</v>
      </c>
      <c r="S413" s="8">
        <f>VLOOKUP($B413,'[1]Plant data'!$A$1:$AB$315,14,0)</f>
        <v>3.2500000000000001E-2</v>
      </c>
      <c r="T413" s="11">
        <f>VLOOKUP($B413,'[1]Plant data'!$A$1:$AB$315,15,0)</f>
        <v>1</v>
      </c>
      <c r="U413" s="9" t="str">
        <f>VLOOKUP($B413,'[1]Plant data'!$A$1:$AB$315,19,0)</f>
        <v>NA</v>
      </c>
      <c r="V413" s="8">
        <f>VLOOKUP($B413,'[1]Plant data'!$A$1:$AB$315,20,0)</f>
        <v>0.88</v>
      </c>
      <c r="W413" s="8">
        <f>VLOOKUP($B413,'[1]Plant data'!$A$1:$AB$315,21,0)</f>
        <v>8.0000000000000002E-3</v>
      </c>
      <c r="X413" s="8" t="str">
        <f>VLOOKUP($B413,'[1]Plant data'!$A$1:$AB$315,22,0)</f>
        <v>NA</v>
      </c>
      <c r="Y413" s="8" t="str">
        <f>VLOOKUP($B413,'[1]Plant data'!$A$1:$AB$315,23,0)</f>
        <v>NA</v>
      </c>
      <c r="Z413" s="8" t="str">
        <f>VLOOKUP($B413,'[1]Plant data'!$A$1:$AB$315,24,0)</f>
        <v>NA</v>
      </c>
      <c r="AA413" s="8">
        <f>VLOOKUP($B413,'[1]Plant data'!$A$1:$AB$315,25,0)</f>
        <v>0.04</v>
      </c>
      <c r="AB413" s="8" t="s">
        <v>19</v>
      </c>
    </row>
    <row r="414" spans="1:28">
      <c r="A414" s="5" t="s">
        <v>50</v>
      </c>
      <c r="B414" s="32" t="s">
        <v>194</v>
      </c>
      <c r="C414" s="53">
        <v>1</v>
      </c>
      <c r="D414" s="11">
        <v>1</v>
      </c>
      <c r="E414" s="8">
        <f>C414/1</f>
        <v>1</v>
      </c>
      <c r="F414" s="54" t="s">
        <v>19</v>
      </c>
      <c r="G414" s="9" t="s">
        <v>19</v>
      </c>
      <c r="H414" s="23" t="s">
        <v>19</v>
      </c>
      <c r="I414" t="s">
        <v>47</v>
      </c>
      <c r="J414" s="11">
        <v>69.5</v>
      </c>
      <c r="K414" s="11">
        <v>13.253214290000001</v>
      </c>
      <c r="L414" t="str">
        <f>VLOOKUP(B414,'[1]Plant data'!$A$1:$AB$315,2,0)</f>
        <v>Lauraceae</v>
      </c>
      <c r="M414" s="9">
        <f>VLOOKUP($B414,'[1]Plant data'!$A$1:$AB$315,6,0)</f>
        <v>14</v>
      </c>
      <c r="N414" s="9">
        <f>VLOOKUP($B414,'[1]Plant data'!$A$1:$AB$315,7,0)</f>
        <v>20</v>
      </c>
      <c r="O414" s="8" t="str">
        <f>VLOOKUP($B414,'[1]Plant data'!$A$1:$AB$315,10,0)</f>
        <v>NA</v>
      </c>
      <c r="P414" s="8" t="str">
        <f>VLOOKUP($B414,'[1]Plant data'!$A$1:$AB$315,11,0)</f>
        <v>NA</v>
      </c>
      <c r="Q414" s="8" t="str">
        <f>VLOOKUP($B414,'[1]Plant data'!$A$1:$AB$315,12,0)</f>
        <v>NA</v>
      </c>
      <c r="R414" s="8" t="str">
        <f>VLOOKUP($B414,'[1]Plant data'!$A$1:$AB$315,13,0)</f>
        <v>NA</v>
      </c>
      <c r="S414" s="8" t="str">
        <f>VLOOKUP($B414,'[1]Plant data'!$A$1:$AB$315,14,0)</f>
        <v>NA</v>
      </c>
      <c r="T414" s="11">
        <f>VLOOKUP($B414,'[1]Plant data'!$A$1:$AB$315,15,0)</f>
        <v>1</v>
      </c>
      <c r="U414" s="9" t="str">
        <f>VLOOKUP($B414,'[1]Plant data'!$A$1:$AB$315,19,0)</f>
        <v>NA</v>
      </c>
      <c r="V414" s="8" t="str">
        <f>VLOOKUP($B414,'[1]Plant data'!$A$1:$AB$315,20,0)</f>
        <v>NA</v>
      </c>
      <c r="W414" s="8" t="str">
        <f>VLOOKUP($B414,'[1]Plant data'!$A$1:$AB$315,21,0)</f>
        <v>NA</v>
      </c>
      <c r="X414" s="8" t="str">
        <f>VLOOKUP($B414,'[1]Plant data'!$A$1:$AB$315,22,0)</f>
        <v>NA</v>
      </c>
      <c r="Y414" s="8" t="str">
        <f>VLOOKUP($B414,'[1]Plant data'!$A$1:$AB$315,23,0)</f>
        <v>NA</v>
      </c>
      <c r="Z414" s="8" t="str">
        <f>VLOOKUP($B414,'[1]Plant data'!$A$1:$AB$315,24,0)</f>
        <v>NA</v>
      </c>
      <c r="AA414" s="8" t="str">
        <f>VLOOKUP($B414,'[1]Plant data'!$A$1:$AB$315,25,0)</f>
        <v>NA</v>
      </c>
      <c r="AB414" s="8" t="s">
        <v>19</v>
      </c>
    </row>
    <row r="415" spans="1:28">
      <c r="A415" s="5" t="s">
        <v>41</v>
      </c>
      <c r="B415" s="32" t="s">
        <v>63</v>
      </c>
      <c r="C415" s="53">
        <v>3</v>
      </c>
      <c r="D415" s="11">
        <v>254</v>
      </c>
      <c r="E415" s="8">
        <f>C415/D415</f>
        <v>1.1811023622047244E-2</v>
      </c>
      <c r="F415" s="54" t="s">
        <v>19</v>
      </c>
      <c r="G415" s="9" t="s">
        <v>19</v>
      </c>
      <c r="H415" s="23" t="s">
        <v>19</v>
      </c>
      <c r="I415" t="s">
        <v>30</v>
      </c>
      <c r="J415" s="11">
        <v>39</v>
      </c>
      <c r="K415" s="11">
        <v>8.2839869279999991</v>
      </c>
      <c r="L415" t="str">
        <f>VLOOKUP(B415,'[1]Plant data'!$A$1:$AB$315,2,0)</f>
        <v>Dilleniaceae</v>
      </c>
      <c r="M415" s="9">
        <f>VLOOKUP($B415,'[1]Plant data'!$A$1:$AB$315,6,0)</f>
        <v>5.5</v>
      </c>
      <c r="N415" s="9">
        <f>VLOOKUP($B415,'[1]Plant data'!$A$1:$AB$315,7,0)</f>
        <v>7.8</v>
      </c>
      <c r="O415" s="8" t="str">
        <f>VLOOKUP($B415,'[1]Plant data'!$A$1:$AB$315,10,0)</f>
        <v>NA</v>
      </c>
      <c r="P415" s="8" t="str">
        <f>VLOOKUP($B415,'[1]Plant data'!$A$1:$AB$315,11,0)</f>
        <v>NA</v>
      </c>
      <c r="Q415" s="8" t="str">
        <f>VLOOKUP($B415,'[1]Plant data'!$A$1:$AB$315,12,0)</f>
        <v>NA</v>
      </c>
      <c r="R415" s="8" t="str">
        <f>VLOOKUP($B415,'[1]Plant data'!$A$1:$AB$315,13,0)</f>
        <v>NA</v>
      </c>
      <c r="S415" s="8" t="str">
        <f>VLOOKUP($B415,'[1]Plant data'!$A$1:$AB$315,14,0)</f>
        <v>NA</v>
      </c>
      <c r="T415" s="11">
        <f>VLOOKUP($B415,'[1]Plant data'!$A$1:$AB$315,15,0)</f>
        <v>2</v>
      </c>
      <c r="U415" s="9" t="str">
        <f>VLOOKUP($B415,'[1]Plant data'!$A$1:$AB$315,19,0)</f>
        <v>NA</v>
      </c>
      <c r="V415" s="8" t="str">
        <f>VLOOKUP($B415,'[1]Plant data'!$A$1:$AB$315,20,0)</f>
        <v>NA</v>
      </c>
      <c r="W415" s="8" t="str">
        <f>VLOOKUP($B415,'[1]Plant data'!$A$1:$AB$315,21,0)</f>
        <v>NA</v>
      </c>
      <c r="X415" s="8" t="str">
        <f>VLOOKUP($B415,'[1]Plant data'!$A$1:$AB$315,22,0)</f>
        <v>NA</v>
      </c>
      <c r="Y415" s="8" t="str">
        <f>VLOOKUP($B415,'[1]Plant data'!$A$1:$AB$315,23,0)</f>
        <v>NA</v>
      </c>
      <c r="Z415" s="8" t="str">
        <f>VLOOKUP($B415,'[1]Plant data'!$A$1:$AB$315,24,0)</f>
        <v>NA</v>
      </c>
      <c r="AA415" s="8" t="str">
        <f>VLOOKUP($B415,'[1]Plant data'!$A$1:$AB$315,25,0)</f>
        <v>NA</v>
      </c>
      <c r="AB415" s="8" t="s">
        <v>19</v>
      </c>
    </row>
    <row r="416" spans="1:28">
      <c r="A416" s="5" t="s">
        <v>43</v>
      </c>
      <c r="B416" s="34" t="s">
        <v>63</v>
      </c>
      <c r="C416" s="53">
        <v>2</v>
      </c>
      <c r="D416" s="11">
        <v>254</v>
      </c>
      <c r="E416" s="8">
        <f>C416/D416</f>
        <v>7.874015748031496E-3</v>
      </c>
      <c r="F416" s="54" t="s">
        <v>19</v>
      </c>
      <c r="G416" s="9" t="s">
        <v>19</v>
      </c>
      <c r="H416" s="23" t="s">
        <v>19</v>
      </c>
      <c r="I416" t="s">
        <v>30</v>
      </c>
      <c r="J416" s="11">
        <v>32.5</v>
      </c>
      <c r="K416" s="11">
        <v>8.9205555560000001</v>
      </c>
      <c r="L416" t="str">
        <f>VLOOKUP(B416,'[1]Plant data'!$A$1:$AB$315,2,0)</f>
        <v>Dilleniaceae</v>
      </c>
      <c r="M416" s="9">
        <f>VLOOKUP($B416,'[1]Plant data'!$A$1:$AB$315,6,0)</f>
        <v>5.5</v>
      </c>
      <c r="N416" s="9">
        <f>VLOOKUP($B416,'[1]Plant data'!$A$1:$AB$315,7,0)</f>
        <v>7.8</v>
      </c>
      <c r="O416" s="8" t="str">
        <f>VLOOKUP($B416,'[1]Plant data'!$A$1:$AB$315,10,0)</f>
        <v>NA</v>
      </c>
      <c r="P416" s="8" t="str">
        <f>VLOOKUP($B416,'[1]Plant data'!$A$1:$AB$315,11,0)</f>
        <v>NA</v>
      </c>
      <c r="Q416" s="8" t="str">
        <f>VLOOKUP($B416,'[1]Plant data'!$A$1:$AB$315,12,0)</f>
        <v>NA</v>
      </c>
      <c r="R416" s="8" t="str">
        <f>VLOOKUP($B416,'[1]Plant data'!$A$1:$AB$315,13,0)</f>
        <v>NA</v>
      </c>
      <c r="S416" s="8" t="str">
        <f>VLOOKUP($B416,'[1]Plant data'!$A$1:$AB$315,14,0)</f>
        <v>NA</v>
      </c>
      <c r="T416" s="11">
        <f>VLOOKUP($B416,'[1]Plant data'!$A$1:$AB$315,15,0)</f>
        <v>2</v>
      </c>
      <c r="U416" s="9" t="str">
        <f>VLOOKUP($B416,'[1]Plant data'!$A$1:$AB$315,19,0)</f>
        <v>NA</v>
      </c>
      <c r="V416" s="8" t="str">
        <f>VLOOKUP($B416,'[1]Plant data'!$A$1:$AB$315,20,0)</f>
        <v>NA</v>
      </c>
      <c r="W416" s="8" t="str">
        <f>VLOOKUP($B416,'[1]Plant data'!$A$1:$AB$315,21,0)</f>
        <v>NA</v>
      </c>
      <c r="X416" s="8" t="str">
        <f>VLOOKUP($B416,'[1]Plant data'!$A$1:$AB$315,22,0)</f>
        <v>NA</v>
      </c>
      <c r="Y416" s="8" t="str">
        <f>VLOOKUP($B416,'[1]Plant data'!$A$1:$AB$315,23,0)</f>
        <v>NA</v>
      </c>
      <c r="Z416" s="8" t="str">
        <f>VLOOKUP($B416,'[1]Plant data'!$A$1:$AB$315,24,0)</f>
        <v>NA</v>
      </c>
      <c r="AA416" s="8" t="str">
        <f>VLOOKUP($B416,'[1]Plant data'!$A$1:$AB$315,25,0)</f>
        <v>NA</v>
      </c>
      <c r="AB416" s="8" t="s">
        <v>19</v>
      </c>
    </row>
    <row r="417" spans="1:28">
      <c r="A417" s="5" t="s">
        <v>110</v>
      </c>
      <c r="B417" s="32" t="s">
        <v>131</v>
      </c>
      <c r="C417" s="53">
        <v>1</v>
      </c>
      <c r="D417" s="11" t="s">
        <v>19</v>
      </c>
      <c r="E417" s="8" t="s">
        <v>19</v>
      </c>
      <c r="F417" s="54" t="s">
        <v>19</v>
      </c>
      <c r="G417" s="9" t="s">
        <v>19</v>
      </c>
      <c r="H417" s="23" t="s">
        <v>19</v>
      </c>
      <c r="I417" t="s">
        <v>101</v>
      </c>
      <c r="J417" s="11">
        <v>1250</v>
      </c>
      <c r="K417" s="11">
        <v>19.114999999999998</v>
      </c>
      <c r="L417" t="str">
        <f>VLOOKUP(B417,'[1]Plant data'!$A$1:$AB$315,2,0)</f>
        <v>Sapindaceae</v>
      </c>
      <c r="M417" s="9">
        <f>VLOOKUP($B417,'[1]Plant data'!$A$1:$AB$315,6,0)</f>
        <v>15.476666666666667</v>
      </c>
      <c r="N417" s="9">
        <f>VLOOKUP($B417,'[1]Plant data'!$A$1:$AB$315,7,0)</f>
        <v>20.463333333333335</v>
      </c>
      <c r="O417" s="8">
        <f>VLOOKUP($B417,'[1]Plant data'!$A$1:$AB$315,10,0)</f>
        <v>1.4</v>
      </c>
      <c r="P417" s="8" t="str">
        <f>VLOOKUP($B417,'[1]Plant data'!$A$1:$AB$315,11,0)</f>
        <v>NA</v>
      </c>
      <c r="Q417" s="8">
        <f>VLOOKUP($B417,'[1]Plant data'!$A$1:$AB$315,12,0)</f>
        <v>1.1000000000000001</v>
      </c>
      <c r="R417" s="8" t="str">
        <f>VLOOKUP($B417,'[1]Plant data'!$A$1:$AB$315,13,0)</f>
        <v>NA</v>
      </c>
      <c r="S417" s="8" t="str">
        <f>VLOOKUP($B417,'[1]Plant data'!$A$1:$AB$315,14,0)</f>
        <v>NA</v>
      </c>
      <c r="T417" s="11">
        <f>VLOOKUP($B417,'[1]Plant data'!$A$1:$AB$315,15,0)</f>
        <v>3</v>
      </c>
      <c r="U417" s="9">
        <f>VLOOKUP($B417,'[1]Plant data'!$A$1:$AB$315,19,0)</f>
        <v>0.56000000000000005</v>
      </c>
      <c r="V417" s="8">
        <f>VLOOKUP($B417,'[1]Plant data'!$A$1:$AB$315,20,0)</f>
        <v>0.626</v>
      </c>
      <c r="W417" s="8">
        <f>VLOOKUP($B417,'[1]Plant data'!$A$1:$AB$315,21,0)</f>
        <v>0.11</v>
      </c>
      <c r="X417" s="8" t="str">
        <f>VLOOKUP($B417,'[1]Plant data'!$A$1:$AB$315,22,0)</f>
        <v>NA</v>
      </c>
      <c r="Y417" s="8" t="str">
        <f>VLOOKUP($B417,'[1]Plant data'!$A$1:$AB$315,23,0)</f>
        <v>NA</v>
      </c>
      <c r="Z417" s="8" t="str">
        <f>VLOOKUP($B417,'[1]Plant data'!$A$1:$AB$315,24,0)</f>
        <v>NA</v>
      </c>
      <c r="AA417" s="8">
        <f>VLOOKUP($B417,'[1]Plant data'!$A$1:$AB$315,25,0)</f>
        <v>0.246</v>
      </c>
      <c r="AB417" s="8" t="s">
        <v>19</v>
      </c>
    </row>
    <row r="418" spans="1:28">
      <c r="A418" s="20" t="s">
        <v>65</v>
      </c>
      <c r="B418" s="31" t="s">
        <v>131</v>
      </c>
      <c r="C418" s="55">
        <v>1</v>
      </c>
      <c r="D418" s="17">
        <v>15</v>
      </c>
      <c r="E418" s="8">
        <f>C418/60</f>
        <v>1.6666666666666666E-2</v>
      </c>
      <c r="F418" s="55" t="s">
        <v>19</v>
      </c>
      <c r="G418" s="19">
        <v>1</v>
      </c>
      <c r="H418" s="23">
        <f t="shared" ref="H418:H423" si="30">E418*G418</f>
        <v>1.6666666666666666E-2</v>
      </c>
      <c r="I418" t="s">
        <v>23</v>
      </c>
      <c r="J418" s="11">
        <v>11</v>
      </c>
      <c r="K418" s="11">
        <v>6.1466666669999999</v>
      </c>
      <c r="L418" t="str">
        <f>VLOOKUP(B418,'[1]Plant data'!$A$1:$AB$315,2,0)</f>
        <v>Sapindaceae</v>
      </c>
      <c r="M418" s="9">
        <f>VLOOKUP($B418,'[1]Plant data'!$A$1:$AB$315,6,0)</f>
        <v>15.476666666666667</v>
      </c>
      <c r="N418" s="9">
        <f>VLOOKUP($B418,'[1]Plant data'!$A$1:$AB$315,7,0)</f>
        <v>20.463333333333335</v>
      </c>
      <c r="O418" s="8">
        <f>VLOOKUP($B418,'[1]Plant data'!$A$1:$AB$315,10,0)</f>
        <v>1.4</v>
      </c>
      <c r="P418" s="8" t="str">
        <f>VLOOKUP($B418,'[1]Plant data'!$A$1:$AB$315,11,0)</f>
        <v>NA</v>
      </c>
      <c r="Q418" s="8">
        <f>VLOOKUP($B418,'[1]Plant data'!$A$1:$AB$315,12,0)</f>
        <v>1.1000000000000001</v>
      </c>
      <c r="R418" s="8" t="str">
        <f>VLOOKUP($B418,'[1]Plant data'!$A$1:$AB$315,13,0)</f>
        <v>NA</v>
      </c>
      <c r="S418" s="8" t="str">
        <f>VLOOKUP($B418,'[1]Plant data'!$A$1:$AB$315,14,0)</f>
        <v>NA</v>
      </c>
      <c r="T418" s="11">
        <f>VLOOKUP($B418,'[1]Plant data'!$A$1:$AB$315,15,0)</f>
        <v>3</v>
      </c>
      <c r="U418" s="9">
        <f>VLOOKUP($B418,'[1]Plant data'!$A$1:$AB$315,19,0)</f>
        <v>0.56000000000000005</v>
      </c>
      <c r="V418" s="8">
        <f>VLOOKUP($B418,'[1]Plant data'!$A$1:$AB$315,20,0)</f>
        <v>0.626</v>
      </c>
      <c r="W418" s="8">
        <f>VLOOKUP($B418,'[1]Plant data'!$A$1:$AB$315,21,0)</f>
        <v>0.11</v>
      </c>
      <c r="X418" s="8" t="str">
        <f>VLOOKUP($B418,'[1]Plant data'!$A$1:$AB$315,22,0)</f>
        <v>NA</v>
      </c>
      <c r="Y418" s="8" t="str">
        <f>VLOOKUP($B418,'[1]Plant data'!$A$1:$AB$315,23,0)</f>
        <v>NA</v>
      </c>
      <c r="Z418" s="8" t="str">
        <f>VLOOKUP($B418,'[1]Plant data'!$A$1:$AB$315,24,0)</f>
        <v>NA</v>
      </c>
      <c r="AA418" s="8">
        <f>VLOOKUP($B418,'[1]Plant data'!$A$1:$AB$315,25,0)</f>
        <v>0.246</v>
      </c>
      <c r="AB418" s="8" t="s">
        <v>19</v>
      </c>
    </row>
    <row r="419" spans="1:28">
      <c r="A419" s="5" t="s">
        <v>41</v>
      </c>
      <c r="B419" s="32" t="s">
        <v>131</v>
      </c>
      <c r="C419" s="53">
        <v>1</v>
      </c>
      <c r="D419" s="11">
        <v>21</v>
      </c>
      <c r="E419" s="8">
        <f>C419/D419</f>
        <v>4.7619047619047616E-2</v>
      </c>
      <c r="F419" s="54" t="s">
        <v>19</v>
      </c>
      <c r="G419" s="41">
        <v>1.3</v>
      </c>
      <c r="H419" s="23">
        <f t="shared" si="30"/>
        <v>6.1904761904761907E-2</v>
      </c>
      <c r="I419" t="s">
        <v>30</v>
      </c>
      <c r="J419" s="11">
        <v>39</v>
      </c>
      <c r="K419" s="11">
        <v>8.2839869279999991</v>
      </c>
      <c r="L419" t="str">
        <f>VLOOKUP(B419,'[1]Plant data'!$A$1:$AB$315,2,0)</f>
        <v>Sapindaceae</v>
      </c>
      <c r="M419" s="9">
        <f>VLOOKUP($B419,'[1]Plant data'!$A$1:$AB$315,6,0)</f>
        <v>15.476666666666667</v>
      </c>
      <c r="N419" s="9">
        <f>VLOOKUP($B419,'[1]Plant data'!$A$1:$AB$315,7,0)</f>
        <v>20.463333333333335</v>
      </c>
      <c r="O419" s="8">
        <f>VLOOKUP($B419,'[1]Plant data'!$A$1:$AB$315,10,0)</f>
        <v>1.4</v>
      </c>
      <c r="P419" s="8" t="str">
        <f>VLOOKUP($B419,'[1]Plant data'!$A$1:$AB$315,11,0)</f>
        <v>NA</v>
      </c>
      <c r="Q419" s="8">
        <f>VLOOKUP($B419,'[1]Plant data'!$A$1:$AB$315,12,0)</f>
        <v>1.1000000000000001</v>
      </c>
      <c r="R419" s="8" t="str">
        <f>VLOOKUP($B419,'[1]Plant data'!$A$1:$AB$315,13,0)</f>
        <v>NA</v>
      </c>
      <c r="S419" s="8" t="str">
        <f>VLOOKUP($B419,'[1]Plant data'!$A$1:$AB$315,14,0)</f>
        <v>NA</v>
      </c>
      <c r="T419" s="11">
        <f>VLOOKUP($B419,'[1]Plant data'!$A$1:$AB$315,15,0)</f>
        <v>3</v>
      </c>
      <c r="U419" s="9">
        <f>VLOOKUP($B419,'[1]Plant data'!$A$1:$AB$315,19,0)</f>
        <v>0.56000000000000005</v>
      </c>
      <c r="V419" s="8">
        <f>VLOOKUP($B419,'[1]Plant data'!$A$1:$AB$315,20,0)</f>
        <v>0.626</v>
      </c>
      <c r="W419" s="8">
        <f>VLOOKUP($B419,'[1]Plant data'!$A$1:$AB$315,21,0)</f>
        <v>0.11</v>
      </c>
      <c r="X419" s="8" t="str">
        <f>VLOOKUP($B419,'[1]Plant data'!$A$1:$AB$315,22,0)</f>
        <v>NA</v>
      </c>
      <c r="Y419" s="8" t="str">
        <f>VLOOKUP($B419,'[1]Plant data'!$A$1:$AB$315,23,0)</f>
        <v>NA</v>
      </c>
      <c r="Z419" s="8" t="str">
        <f>VLOOKUP($B419,'[1]Plant data'!$A$1:$AB$315,24,0)</f>
        <v>NA</v>
      </c>
      <c r="AA419" s="8">
        <f>VLOOKUP($B419,'[1]Plant data'!$A$1:$AB$315,25,0)</f>
        <v>0.246</v>
      </c>
      <c r="AB419" s="8" t="s">
        <v>19</v>
      </c>
    </row>
    <row r="420" spans="1:28">
      <c r="A420" s="5" t="s">
        <v>43</v>
      </c>
      <c r="B420" s="32" t="s">
        <v>131</v>
      </c>
      <c r="C420" s="53">
        <v>1</v>
      </c>
      <c r="D420" s="11">
        <v>21</v>
      </c>
      <c r="E420" s="8">
        <f>C420/D420</f>
        <v>4.7619047619047616E-2</v>
      </c>
      <c r="F420" s="54" t="s">
        <v>19</v>
      </c>
      <c r="G420" s="41">
        <v>1.3</v>
      </c>
      <c r="H420" s="23">
        <f t="shared" si="30"/>
        <v>6.1904761904761907E-2</v>
      </c>
      <c r="I420" t="s">
        <v>30</v>
      </c>
      <c r="J420" s="11">
        <v>32.5</v>
      </c>
      <c r="K420" s="11">
        <v>8.9205555560000001</v>
      </c>
      <c r="L420" t="str">
        <f>VLOOKUP(B420,'[1]Plant data'!$A$1:$AB$315,2,0)</f>
        <v>Sapindaceae</v>
      </c>
      <c r="M420" s="9">
        <f>VLOOKUP($B420,'[1]Plant data'!$A$1:$AB$315,6,0)</f>
        <v>15.476666666666667</v>
      </c>
      <c r="N420" s="9">
        <f>VLOOKUP($B420,'[1]Plant data'!$A$1:$AB$315,7,0)</f>
        <v>20.463333333333335</v>
      </c>
      <c r="O420" s="8">
        <f>VLOOKUP($B420,'[1]Plant data'!$A$1:$AB$315,10,0)</f>
        <v>1.4</v>
      </c>
      <c r="P420" s="8" t="str">
        <f>VLOOKUP($B420,'[1]Plant data'!$A$1:$AB$315,11,0)</f>
        <v>NA</v>
      </c>
      <c r="Q420" s="8">
        <f>VLOOKUP($B420,'[1]Plant data'!$A$1:$AB$315,12,0)</f>
        <v>1.1000000000000001</v>
      </c>
      <c r="R420" s="8" t="str">
        <f>VLOOKUP($B420,'[1]Plant data'!$A$1:$AB$315,13,0)</f>
        <v>NA</v>
      </c>
      <c r="S420" s="8" t="str">
        <f>VLOOKUP($B420,'[1]Plant data'!$A$1:$AB$315,14,0)</f>
        <v>NA</v>
      </c>
      <c r="T420" s="11">
        <f>VLOOKUP($B420,'[1]Plant data'!$A$1:$AB$315,15,0)</f>
        <v>3</v>
      </c>
      <c r="U420" s="9">
        <f>VLOOKUP($B420,'[1]Plant data'!$A$1:$AB$315,19,0)</f>
        <v>0.56000000000000005</v>
      </c>
      <c r="V420" s="8">
        <f>VLOOKUP($B420,'[1]Plant data'!$A$1:$AB$315,20,0)</f>
        <v>0.626</v>
      </c>
      <c r="W420" s="8">
        <f>VLOOKUP($B420,'[1]Plant data'!$A$1:$AB$315,21,0)</f>
        <v>0.11</v>
      </c>
      <c r="X420" s="8" t="str">
        <f>VLOOKUP($B420,'[1]Plant data'!$A$1:$AB$315,22,0)</f>
        <v>NA</v>
      </c>
      <c r="Y420" s="8" t="str">
        <f>VLOOKUP($B420,'[1]Plant data'!$A$1:$AB$315,23,0)</f>
        <v>NA</v>
      </c>
      <c r="Z420" s="8" t="str">
        <f>VLOOKUP($B420,'[1]Plant data'!$A$1:$AB$315,24,0)</f>
        <v>NA</v>
      </c>
      <c r="AA420" s="8">
        <f>VLOOKUP($B420,'[1]Plant data'!$A$1:$AB$315,25,0)</f>
        <v>0.246</v>
      </c>
      <c r="AB420" s="8" t="s">
        <v>19</v>
      </c>
    </row>
    <row r="421" spans="1:28">
      <c r="A421" s="5" t="s">
        <v>46</v>
      </c>
      <c r="B421" s="33" t="s">
        <v>131</v>
      </c>
      <c r="C421" s="53">
        <v>8</v>
      </c>
      <c r="D421" s="11">
        <v>21</v>
      </c>
      <c r="E421" s="8">
        <f>C421/D421</f>
        <v>0.38095238095238093</v>
      </c>
      <c r="F421" s="54" t="s">
        <v>19</v>
      </c>
      <c r="G421" s="41">
        <v>1.5</v>
      </c>
      <c r="H421" s="23">
        <f t="shared" si="30"/>
        <v>0.5714285714285714</v>
      </c>
      <c r="I421" t="s">
        <v>47</v>
      </c>
      <c r="J421" s="11">
        <v>54</v>
      </c>
      <c r="K421" s="11">
        <v>11.14875</v>
      </c>
      <c r="L421" t="str">
        <f>VLOOKUP(B421,'[1]Plant data'!$A$1:$AB$315,2,0)</f>
        <v>Sapindaceae</v>
      </c>
      <c r="M421" s="9">
        <f>VLOOKUP($B421,'[1]Plant data'!$A$1:$AB$315,6,0)</f>
        <v>15.476666666666667</v>
      </c>
      <c r="N421" s="9">
        <f>VLOOKUP($B421,'[1]Plant data'!$A$1:$AB$315,7,0)</f>
        <v>20.463333333333335</v>
      </c>
      <c r="O421" s="8">
        <f>VLOOKUP($B421,'[1]Plant data'!$A$1:$AB$315,10,0)</f>
        <v>1.4</v>
      </c>
      <c r="P421" s="8" t="str">
        <f>VLOOKUP($B421,'[1]Plant data'!$A$1:$AB$315,11,0)</f>
        <v>NA</v>
      </c>
      <c r="Q421" s="8">
        <f>VLOOKUP($B421,'[1]Plant data'!$A$1:$AB$315,12,0)</f>
        <v>1.1000000000000001</v>
      </c>
      <c r="R421" s="8" t="str">
        <f>VLOOKUP($B421,'[1]Plant data'!$A$1:$AB$315,13,0)</f>
        <v>NA</v>
      </c>
      <c r="S421" s="8" t="str">
        <f>VLOOKUP($B421,'[1]Plant data'!$A$1:$AB$315,14,0)</f>
        <v>NA</v>
      </c>
      <c r="T421" s="11">
        <f>VLOOKUP($B421,'[1]Plant data'!$A$1:$AB$315,15,0)</f>
        <v>3</v>
      </c>
      <c r="U421" s="9">
        <f>VLOOKUP($B421,'[1]Plant data'!$A$1:$AB$315,19,0)</f>
        <v>0.56000000000000005</v>
      </c>
      <c r="V421" s="8">
        <f>VLOOKUP($B421,'[1]Plant data'!$A$1:$AB$315,20,0)</f>
        <v>0.626</v>
      </c>
      <c r="W421" s="8">
        <f>VLOOKUP($B421,'[1]Plant data'!$A$1:$AB$315,21,0)</f>
        <v>0.11</v>
      </c>
      <c r="X421" s="8" t="str">
        <f>VLOOKUP($B421,'[1]Plant data'!$A$1:$AB$315,22,0)</f>
        <v>NA</v>
      </c>
      <c r="Y421" s="8" t="str">
        <f>VLOOKUP($B421,'[1]Plant data'!$A$1:$AB$315,23,0)</f>
        <v>NA</v>
      </c>
      <c r="Z421" s="8" t="str">
        <f>VLOOKUP($B421,'[1]Plant data'!$A$1:$AB$315,24,0)</f>
        <v>NA</v>
      </c>
      <c r="AA421" s="8">
        <f>VLOOKUP($B421,'[1]Plant data'!$A$1:$AB$315,25,0)</f>
        <v>0.246</v>
      </c>
      <c r="AB421" s="8" t="s">
        <v>19</v>
      </c>
    </row>
    <row r="422" spans="1:28">
      <c r="A422" s="5" t="s">
        <v>50</v>
      </c>
      <c r="B422" s="32" t="s">
        <v>131</v>
      </c>
      <c r="C422" s="53">
        <v>117</v>
      </c>
      <c r="D422" s="58">
        <v>21</v>
      </c>
      <c r="E422" s="23">
        <f>C422/D422</f>
        <v>5.5714285714285712</v>
      </c>
      <c r="F422" s="54" t="s">
        <v>19</v>
      </c>
      <c r="G422" s="41">
        <v>1.5</v>
      </c>
      <c r="H422" s="23">
        <f t="shared" si="30"/>
        <v>8.3571428571428577</v>
      </c>
      <c r="I422" t="s">
        <v>47</v>
      </c>
      <c r="J422" s="11">
        <v>69.5</v>
      </c>
      <c r="K422" s="11">
        <v>13.253214290000001</v>
      </c>
      <c r="L422" t="str">
        <f>VLOOKUP(B422,'[1]Plant data'!$A$1:$AB$315,2,0)</f>
        <v>Sapindaceae</v>
      </c>
      <c r="M422" s="9">
        <f>VLOOKUP($B422,'[1]Plant data'!$A$1:$AB$315,6,0)</f>
        <v>15.476666666666667</v>
      </c>
      <c r="N422" s="9">
        <f>VLOOKUP($B422,'[1]Plant data'!$A$1:$AB$315,7,0)</f>
        <v>20.463333333333335</v>
      </c>
      <c r="O422" s="8">
        <f>VLOOKUP($B422,'[1]Plant data'!$A$1:$AB$315,10,0)</f>
        <v>1.4</v>
      </c>
      <c r="P422" s="8" t="str">
        <f>VLOOKUP($B422,'[1]Plant data'!$A$1:$AB$315,11,0)</f>
        <v>NA</v>
      </c>
      <c r="Q422" s="8">
        <f>VLOOKUP($B422,'[1]Plant data'!$A$1:$AB$315,12,0)</f>
        <v>1.1000000000000001</v>
      </c>
      <c r="R422" s="8" t="str">
        <f>VLOOKUP($B422,'[1]Plant data'!$A$1:$AB$315,13,0)</f>
        <v>NA</v>
      </c>
      <c r="S422" s="8" t="str">
        <f>VLOOKUP($B422,'[1]Plant data'!$A$1:$AB$315,14,0)</f>
        <v>NA</v>
      </c>
      <c r="T422" s="11">
        <f>VLOOKUP($B422,'[1]Plant data'!$A$1:$AB$315,15,0)</f>
        <v>3</v>
      </c>
      <c r="U422" s="9">
        <f>VLOOKUP($B422,'[1]Plant data'!$A$1:$AB$315,19,0)</f>
        <v>0.56000000000000005</v>
      </c>
      <c r="V422" s="8">
        <f>VLOOKUP($B422,'[1]Plant data'!$A$1:$AB$315,20,0)</f>
        <v>0.626</v>
      </c>
      <c r="W422" s="8">
        <f>VLOOKUP($B422,'[1]Plant data'!$A$1:$AB$315,21,0)</f>
        <v>0.11</v>
      </c>
      <c r="X422" s="8" t="str">
        <f>VLOOKUP($B422,'[1]Plant data'!$A$1:$AB$315,22,0)</f>
        <v>NA</v>
      </c>
      <c r="Y422" s="8" t="str">
        <f>VLOOKUP($B422,'[1]Plant data'!$A$1:$AB$315,23,0)</f>
        <v>NA</v>
      </c>
      <c r="Z422" s="8" t="str">
        <f>VLOOKUP($B422,'[1]Plant data'!$A$1:$AB$315,24,0)</f>
        <v>NA</v>
      </c>
      <c r="AA422" s="8">
        <f>VLOOKUP($B422,'[1]Plant data'!$A$1:$AB$315,25,0)</f>
        <v>0.246</v>
      </c>
      <c r="AB422" s="8" t="s">
        <v>19</v>
      </c>
    </row>
    <row r="423" spans="1:28">
      <c r="A423" s="5" t="s">
        <v>50</v>
      </c>
      <c r="B423" s="32" t="s">
        <v>131</v>
      </c>
      <c r="C423" s="53">
        <v>4</v>
      </c>
      <c r="D423" s="58">
        <v>15</v>
      </c>
      <c r="E423" s="23">
        <f>(C423/15)*4</f>
        <v>1.0666666666666667</v>
      </c>
      <c r="F423" s="54" t="s">
        <v>19</v>
      </c>
      <c r="G423" s="9">
        <v>1.5</v>
      </c>
      <c r="H423" s="23">
        <f t="shared" si="30"/>
        <v>1.6</v>
      </c>
      <c r="I423" t="s">
        <v>47</v>
      </c>
      <c r="J423" s="11">
        <v>69.5</v>
      </c>
      <c r="K423" s="11">
        <v>13.253214290000001</v>
      </c>
      <c r="L423" t="str">
        <f>VLOOKUP(B423,'[1]Plant data'!$A$1:$AB$315,2,0)</f>
        <v>Sapindaceae</v>
      </c>
      <c r="M423" s="9">
        <f>VLOOKUP($B423,'[1]Plant data'!$A$1:$AB$315,6,0)</f>
        <v>15.476666666666667</v>
      </c>
      <c r="N423" s="9">
        <f>VLOOKUP($B423,'[1]Plant data'!$A$1:$AB$315,7,0)</f>
        <v>20.463333333333335</v>
      </c>
      <c r="O423" s="8">
        <f>VLOOKUP($B423,'[1]Plant data'!$A$1:$AB$315,10,0)</f>
        <v>1.4</v>
      </c>
      <c r="P423" s="8" t="str">
        <f>VLOOKUP($B423,'[1]Plant data'!$A$1:$AB$315,11,0)</f>
        <v>NA</v>
      </c>
      <c r="Q423" s="8">
        <f>VLOOKUP($B423,'[1]Plant data'!$A$1:$AB$315,12,0)</f>
        <v>1.1000000000000001</v>
      </c>
      <c r="R423" s="8" t="str">
        <f>VLOOKUP($B423,'[1]Plant data'!$A$1:$AB$315,13,0)</f>
        <v>NA</v>
      </c>
      <c r="S423" s="8" t="str">
        <f>VLOOKUP($B423,'[1]Plant data'!$A$1:$AB$315,14,0)</f>
        <v>NA</v>
      </c>
      <c r="T423" s="11">
        <f>VLOOKUP($B423,'[1]Plant data'!$A$1:$AB$315,15,0)</f>
        <v>3</v>
      </c>
      <c r="U423" s="9">
        <f>VLOOKUP($B423,'[1]Plant data'!$A$1:$AB$315,19,0)</f>
        <v>0.56000000000000005</v>
      </c>
      <c r="V423" s="8">
        <f>VLOOKUP($B423,'[1]Plant data'!$A$1:$AB$315,20,0)</f>
        <v>0.626</v>
      </c>
      <c r="W423" s="8">
        <f>VLOOKUP($B423,'[1]Plant data'!$A$1:$AB$315,21,0)</f>
        <v>0.11</v>
      </c>
      <c r="X423" s="8" t="str">
        <f>VLOOKUP($B423,'[1]Plant data'!$A$1:$AB$315,22,0)</f>
        <v>NA</v>
      </c>
      <c r="Y423" s="8" t="str">
        <f>VLOOKUP($B423,'[1]Plant data'!$A$1:$AB$315,23,0)</f>
        <v>NA</v>
      </c>
      <c r="Z423" s="8" t="str">
        <f>VLOOKUP($B423,'[1]Plant data'!$A$1:$AB$315,24,0)</f>
        <v>NA</v>
      </c>
      <c r="AA423" s="8">
        <f>VLOOKUP($B423,'[1]Plant data'!$A$1:$AB$315,25,0)</f>
        <v>0.246</v>
      </c>
      <c r="AB423" s="8" t="s">
        <v>19</v>
      </c>
    </row>
    <row r="424" spans="1:28">
      <c r="A424" s="18" t="s">
        <v>28</v>
      </c>
      <c r="B424" s="32" t="s">
        <v>55</v>
      </c>
      <c r="C424" s="53">
        <v>4</v>
      </c>
      <c r="D424" s="11">
        <v>254</v>
      </c>
      <c r="E424" s="8">
        <f>C424/D424</f>
        <v>1.5748031496062992E-2</v>
      </c>
      <c r="F424" s="54" t="s">
        <v>19</v>
      </c>
      <c r="G424" s="9" t="s">
        <v>19</v>
      </c>
      <c r="H424" s="23" t="s">
        <v>19</v>
      </c>
      <c r="I424" t="s">
        <v>30</v>
      </c>
      <c r="J424" s="11">
        <v>18</v>
      </c>
      <c r="K424" s="11">
        <v>7.4188405800000004</v>
      </c>
      <c r="L424" t="str">
        <f>VLOOKUP(B424,'[1]Plant data'!$A$1:$AB$315,2,0)</f>
        <v>Sapindaceae</v>
      </c>
      <c r="M424" s="9">
        <f>VLOOKUP($B424,'[1]Plant data'!$A$1:$AB$315,6,0)</f>
        <v>7.15</v>
      </c>
      <c r="N424" s="9">
        <f>VLOOKUP($B424,'[1]Plant data'!$A$1:$AB$315,7,0)</f>
        <v>10.6</v>
      </c>
      <c r="O424" s="8">
        <f>VLOOKUP($B424,'[1]Plant data'!$A$1:$AB$315,10,0)</f>
        <v>0.44</v>
      </c>
      <c r="P424" s="8" t="str">
        <f>VLOOKUP($B424,'[1]Plant data'!$A$1:$AB$315,11,0)</f>
        <v>NA</v>
      </c>
      <c r="Q424" s="8">
        <f>VLOOKUP($B424,'[1]Plant data'!$A$1:$AB$315,12,0)</f>
        <v>0.32</v>
      </c>
      <c r="R424" s="8" t="str">
        <f>VLOOKUP($B424,'[1]Plant data'!$A$1:$AB$315,13,0)</f>
        <v>NA</v>
      </c>
      <c r="S424" s="8" t="str">
        <f>VLOOKUP($B424,'[1]Plant data'!$A$1:$AB$315,14,0)</f>
        <v>NA</v>
      </c>
      <c r="T424" s="11">
        <f>VLOOKUP($B424,'[1]Plant data'!$A$1:$AB$315,15,0)</f>
        <v>1.2</v>
      </c>
      <c r="U424" s="9" t="str">
        <f>VLOOKUP($B424,'[1]Plant data'!$A$1:$AB$315,19,0)</f>
        <v>NA</v>
      </c>
      <c r="V424" s="8" t="str">
        <f>VLOOKUP($B424,'[1]Plant data'!$A$1:$AB$315,20,0)</f>
        <v>NA</v>
      </c>
      <c r="W424" s="8" t="str">
        <f>VLOOKUP($B424,'[1]Plant data'!$A$1:$AB$315,21,0)</f>
        <v>NA</v>
      </c>
      <c r="X424" s="8" t="str">
        <f>VLOOKUP($B424,'[1]Plant data'!$A$1:$AB$315,22,0)</f>
        <v>NA</v>
      </c>
      <c r="Y424" s="8" t="str">
        <f>VLOOKUP($B424,'[1]Plant data'!$A$1:$AB$315,23,0)</f>
        <v>NA</v>
      </c>
      <c r="Z424" s="8" t="str">
        <f>VLOOKUP($B424,'[1]Plant data'!$A$1:$AB$315,24,0)</f>
        <v>NA</v>
      </c>
      <c r="AA424" s="8" t="str">
        <f>VLOOKUP($B424,'[1]Plant data'!$A$1:$AB$315,25,0)</f>
        <v>NA</v>
      </c>
      <c r="AB424" s="8" t="s">
        <v>19</v>
      </c>
    </row>
    <row r="425" spans="1:28">
      <c r="A425" s="5" t="s">
        <v>41</v>
      </c>
      <c r="B425" s="32" t="s">
        <v>55</v>
      </c>
      <c r="C425" s="53">
        <v>12</v>
      </c>
      <c r="D425" s="11">
        <v>254</v>
      </c>
      <c r="E425" s="8">
        <f>C425/D425</f>
        <v>4.7244094488188976E-2</v>
      </c>
      <c r="F425" s="54" t="s">
        <v>19</v>
      </c>
      <c r="G425" s="9" t="s">
        <v>19</v>
      </c>
      <c r="H425" s="23" t="s">
        <v>19</v>
      </c>
      <c r="I425" t="s">
        <v>30</v>
      </c>
      <c r="J425" s="11">
        <v>39</v>
      </c>
      <c r="K425" s="11">
        <v>8.2839869279999991</v>
      </c>
      <c r="L425" t="str">
        <f>VLOOKUP(B425,'[1]Plant data'!$A$1:$AB$315,2,0)</f>
        <v>Sapindaceae</v>
      </c>
      <c r="M425" s="9">
        <f>VLOOKUP($B425,'[1]Plant data'!$A$1:$AB$315,6,0)</f>
        <v>7.15</v>
      </c>
      <c r="N425" s="9">
        <f>VLOOKUP($B425,'[1]Plant data'!$A$1:$AB$315,7,0)</f>
        <v>10.6</v>
      </c>
      <c r="O425" s="8">
        <f>VLOOKUP($B425,'[1]Plant data'!$A$1:$AB$315,10,0)</f>
        <v>0.44</v>
      </c>
      <c r="P425" s="8" t="str">
        <f>VLOOKUP($B425,'[1]Plant data'!$A$1:$AB$315,11,0)</f>
        <v>NA</v>
      </c>
      <c r="Q425" s="8">
        <f>VLOOKUP($B425,'[1]Plant data'!$A$1:$AB$315,12,0)</f>
        <v>0.32</v>
      </c>
      <c r="R425" s="8" t="str">
        <f>VLOOKUP($B425,'[1]Plant data'!$A$1:$AB$315,13,0)</f>
        <v>NA</v>
      </c>
      <c r="S425" s="8" t="str">
        <f>VLOOKUP($B425,'[1]Plant data'!$A$1:$AB$315,14,0)</f>
        <v>NA</v>
      </c>
      <c r="T425" s="11">
        <f>VLOOKUP($B425,'[1]Plant data'!$A$1:$AB$315,15,0)</f>
        <v>1.2</v>
      </c>
      <c r="U425" s="9" t="str">
        <f>VLOOKUP($B425,'[1]Plant data'!$A$1:$AB$315,19,0)</f>
        <v>NA</v>
      </c>
      <c r="V425" s="8" t="str">
        <f>VLOOKUP($B425,'[1]Plant data'!$A$1:$AB$315,20,0)</f>
        <v>NA</v>
      </c>
      <c r="W425" s="8" t="str">
        <f>VLOOKUP($B425,'[1]Plant data'!$A$1:$AB$315,21,0)</f>
        <v>NA</v>
      </c>
      <c r="X425" s="8" t="str">
        <f>VLOOKUP($B425,'[1]Plant data'!$A$1:$AB$315,22,0)</f>
        <v>NA</v>
      </c>
      <c r="Y425" s="8" t="str">
        <f>VLOOKUP($B425,'[1]Plant data'!$A$1:$AB$315,23,0)</f>
        <v>NA</v>
      </c>
      <c r="Z425" s="8" t="str">
        <f>VLOOKUP($B425,'[1]Plant data'!$A$1:$AB$315,24,0)</f>
        <v>NA</v>
      </c>
      <c r="AA425" s="8" t="str">
        <f>VLOOKUP($B425,'[1]Plant data'!$A$1:$AB$315,25,0)</f>
        <v>NA</v>
      </c>
      <c r="AB425" s="8" t="s">
        <v>19</v>
      </c>
    </row>
    <row r="426" spans="1:28">
      <c r="A426" s="5" t="s">
        <v>43</v>
      </c>
      <c r="B426" s="32" t="s">
        <v>55</v>
      </c>
      <c r="C426" s="53">
        <v>3</v>
      </c>
      <c r="D426" s="11">
        <v>254</v>
      </c>
      <c r="E426" s="8">
        <f>C426/D426</f>
        <v>1.1811023622047244E-2</v>
      </c>
      <c r="F426" s="54" t="s">
        <v>19</v>
      </c>
      <c r="G426" s="9" t="s">
        <v>19</v>
      </c>
      <c r="H426" s="23" t="s">
        <v>19</v>
      </c>
      <c r="I426" t="s">
        <v>30</v>
      </c>
      <c r="J426" s="11">
        <v>32.5</v>
      </c>
      <c r="K426" s="11">
        <v>8.9205555560000001</v>
      </c>
      <c r="L426" t="str">
        <f>VLOOKUP(B426,'[1]Plant data'!$A$1:$AB$315,2,0)</f>
        <v>Sapindaceae</v>
      </c>
      <c r="M426" s="9">
        <f>VLOOKUP($B426,'[1]Plant data'!$A$1:$AB$315,6,0)</f>
        <v>7.15</v>
      </c>
      <c r="N426" s="9">
        <f>VLOOKUP($B426,'[1]Plant data'!$A$1:$AB$315,7,0)</f>
        <v>10.6</v>
      </c>
      <c r="O426" s="8">
        <f>VLOOKUP($B426,'[1]Plant data'!$A$1:$AB$315,10,0)</f>
        <v>0.44</v>
      </c>
      <c r="P426" s="8" t="str">
        <f>VLOOKUP($B426,'[1]Plant data'!$A$1:$AB$315,11,0)</f>
        <v>NA</v>
      </c>
      <c r="Q426" s="8">
        <f>VLOOKUP($B426,'[1]Plant data'!$A$1:$AB$315,12,0)</f>
        <v>0.32</v>
      </c>
      <c r="R426" s="8" t="str">
        <f>VLOOKUP($B426,'[1]Plant data'!$A$1:$AB$315,13,0)</f>
        <v>NA</v>
      </c>
      <c r="S426" s="8" t="str">
        <f>VLOOKUP($B426,'[1]Plant data'!$A$1:$AB$315,14,0)</f>
        <v>NA</v>
      </c>
      <c r="T426" s="11">
        <f>VLOOKUP($B426,'[1]Plant data'!$A$1:$AB$315,15,0)</f>
        <v>1.2</v>
      </c>
      <c r="U426" s="9" t="str">
        <f>VLOOKUP($B426,'[1]Plant data'!$A$1:$AB$315,19,0)</f>
        <v>NA</v>
      </c>
      <c r="V426" s="8" t="str">
        <f>VLOOKUP($B426,'[1]Plant data'!$A$1:$AB$315,20,0)</f>
        <v>NA</v>
      </c>
      <c r="W426" s="8" t="str">
        <f>VLOOKUP($B426,'[1]Plant data'!$A$1:$AB$315,21,0)</f>
        <v>NA</v>
      </c>
      <c r="X426" s="8" t="str">
        <f>VLOOKUP($B426,'[1]Plant data'!$A$1:$AB$315,22,0)</f>
        <v>NA</v>
      </c>
      <c r="Y426" s="8" t="str">
        <f>VLOOKUP($B426,'[1]Plant data'!$A$1:$AB$315,23,0)</f>
        <v>NA</v>
      </c>
      <c r="Z426" s="8" t="str">
        <f>VLOOKUP($B426,'[1]Plant data'!$A$1:$AB$315,24,0)</f>
        <v>NA</v>
      </c>
      <c r="AA426" s="8" t="str">
        <f>VLOOKUP($B426,'[1]Plant data'!$A$1:$AB$315,25,0)</f>
        <v>NA</v>
      </c>
      <c r="AB426" s="8" t="s">
        <v>19</v>
      </c>
    </row>
    <row r="427" spans="1:28">
      <c r="A427" s="5" t="s">
        <v>110</v>
      </c>
      <c r="B427" s="84" t="s">
        <v>160</v>
      </c>
      <c r="C427" s="53">
        <v>2</v>
      </c>
      <c r="D427" s="11" t="s">
        <v>19</v>
      </c>
      <c r="E427" s="8" t="s">
        <v>19</v>
      </c>
      <c r="F427" s="54" t="s">
        <v>19</v>
      </c>
      <c r="G427" s="9" t="s">
        <v>19</v>
      </c>
      <c r="H427" s="23" t="s">
        <v>19</v>
      </c>
      <c r="I427" t="s">
        <v>101</v>
      </c>
      <c r="J427" s="11">
        <v>1250</v>
      </c>
      <c r="K427" s="11">
        <v>19.114999999999998</v>
      </c>
      <c r="L427" t="str">
        <f>VLOOKUP(B427,'[1]Plant data'!$A$1:$AB$315,2,0)</f>
        <v>Lauraceae</v>
      </c>
      <c r="M427" s="9">
        <f>VLOOKUP($B427,'[1]Plant data'!$A$1:$AB$315,6,0)</f>
        <v>17.855</v>
      </c>
      <c r="N427" s="9">
        <f>VLOOKUP($B427,'[1]Plant data'!$A$1:$AB$315,7,0)</f>
        <v>19.95</v>
      </c>
      <c r="O427" s="8">
        <f>VLOOKUP($B427,'[1]Plant data'!$A$1:$AB$315,10,0)</f>
        <v>4.2233749999999999</v>
      </c>
      <c r="P427" s="8">
        <f>VLOOKUP($B427,'[1]Plant data'!$A$1:$AB$315,11,0)</f>
        <v>2.12</v>
      </c>
      <c r="Q427" s="8">
        <f>VLOOKUP($B427,'[1]Plant data'!$A$1:$AB$315,12,0)</f>
        <v>1.7343249999999999</v>
      </c>
      <c r="R427" s="8">
        <f>VLOOKUP($B427,'[1]Plant data'!$A$1:$AB$315,13,0)</f>
        <v>1.8431000000000002</v>
      </c>
      <c r="S427" s="8">
        <f>VLOOKUP($B427,'[1]Plant data'!$A$1:$AB$315,14,0)</f>
        <v>1.6173000000000002</v>
      </c>
      <c r="T427" s="11">
        <f>VLOOKUP($B427,'[1]Plant data'!$A$1:$AB$315,15,0)</f>
        <v>1</v>
      </c>
      <c r="U427" s="9">
        <f>VLOOKUP($B427,'[1]Plant data'!$A$1:$AB$315,19,0)</f>
        <v>0.84205000000000008</v>
      </c>
      <c r="V427" s="8">
        <f>VLOOKUP($B427,'[1]Plant data'!$A$1:$AB$315,20,0)</f>
        <v>0.13662311126987126</v>
      </c>
      <c r="W427" s="8">
        <f>VLOOKUP($B427,'[1]Plant data'!$A$1:$AB$315,21,0)</f>
        <v>9.5786807429846521E-2</v>
      </c>
      <c r="X427" s="8">
        <f>VLOOKUP($B427,'[1]Plant data'!$A$1:$AB$315,22,0)</f>
        <v>0.12784807152891969</v>
      </c>
      <c r="Y427" s="8">
        <f>VLOOKUP($B427,'[1]Plant data'!$A$1:$AB$315,23,0)</f>
        <v>0.13371298514581492</v>
      </c>
      <c r="Z427" s="8" t="str">
        <f>VLOOKUP($B427,'[1]Plant data'!$A$1:$AB$315,24,0)</f>
        <v>NA</v>
      </c>
      <c r="AA427" s="8">
        <f>VLOOKUP($B427,'[1]Plant data'!$A$1:$AB$315,25,0)</f>
        <v>0.84099999999999997</v>
      </c>
      <c r="AB427" s="8">
        <f t="shared" ref="AB427:AB435" si="31">SUMIF(X427:Y427,"&gt;0.00001")</f>
        <v>0.26156105667473462</v>
      </c>
    </row>
    <row r="428" spans="1:28">
      <c r="A428" s="5" t="s">
        <v>17</v>
      </c>
      <c r="B428" s="34" t="s">
        <v>200</v>
      </c>
      <c r="C428" s="53">
        <v>9</v>
      </c>
      <c r="D428" s="58">
        <v>43</v>
      </c>
      <c r="E428" s="8">
        <f>C428/43</f>
        <v>0.20930232558139536</v>
      </c>
      <c r="F428" s="54" t="s">
        <v>19</v>
      </c>
      <c r="G428" s="9" t="s">
        <v>19</v>
      </c>
      <c r="H428" s="23" t="s">
        <v>19</v>
      </c>
      <c r="I428" t="s">
        <v>23</v>
      </c>
      <c r="J428" s="11">
        <v>14.4</v>
      </c>
      <c r="K428" s="11">
        <v>7.69</v>
      </c>
      <c r="L428" t="str">
        <f>VLOOKUP(B428,'[1]Plant data'!$A$1:$AB$315,2,0)</f>
        <v>Urticaceae</v>
      </c>
      <c r="M428" s="9">
        <f>VLOOKUP($B428,'[1]Plant data'!$A$1:$AB$315,6,0)</f>
        <v>12.11</v>
      </c>
      <c r="N428" s="9">
        <f>VLOOKUP($B428,'[1]Plant data'!$A$1:$AB$315,7,0)</f>
        <v>9.956666666666667</v>
      </c>
      <c r="O428" s="8">
        <f>VLOOKUP($B428,'[1]Plant data'!$A$1:$AB$315,10,0)</f>
        <v>0.35944999999999999</v>
      </c>
      <c r="P428" s="8">
        <f>VLOOKUP($B428,'[1]Plant data'!$A$1:$AB$315,11,0)</f>
        <v>0.45800000000000002</v>
      </c>
      <c r="Q428" s="8">
        <f>VLOOKUP($B428,'[1]Plant data'!$A$1:$AB$315,12,0)</f>
        <v>2.0000000000000005E-3</v>
      </c>
      <c r="R428" s="8">
        <f>VLOOKUP($B428,'[1]Plant data'!$A$1:$AB$315,13,0)</f>
        <v>0.1343</v>
      </c>
      <c r="S428" s="8" t="str">
        <f>VLOOKUP($B428,'[1]Plant data'!$A$1:$AB$315,14,0)</f>
        <v>NA</v>
      </c>
      <c r="T428" s="11">
        <f>VLOOKUP($B428,'[1]Plant data'!$A$1:$AB$315,15,0)</f>
        <v>37.299999999999997</v>
      </c>
      <c r="U428" s="9" t="str">
        <f>VLOOKUP($B428,'[1]Plant data'!$A$1:$AB$315,19,0)</f>
        <v>NA</v>
      </c>
      <c r="V428" s="8">
        <f>VLOOKUP($B428,'[1]Plant data'!$A$1:$AB$315,20,0)</f>
        <v>2.2737776134571043E-2</v>
      </c>
      <c r="W428" s="8">
        <f>VLOOKUP($B428,'[1]Plant data'!$A$1:$AB$315,21,0)</f>
        <v>0.12401400000000001</v>
      </c>
      <c r="X428" s="8">
        <f>VLOOKUP($B428,'[1]Plant data'!$A$1:$AB$315,22,0)</f>
        <v>5.3758128792152594E-3</v>
      </c>
      <c r="Y428" s="8">
        <f>VLOOKUP($B428,'[1]Plant data'!$A$1:$AB$315,23,0)</f>
        <v>6.9127712386219925E-2</v>
      </c>
      <c r="Z428" s="8" t="str">
        <f>VLOOKUP($B428,'[1]Plant data'!$A$1:$AB$315,24,0)</f>
        <v>NA</v>
      </c>
      <c r="AA428" s="8" t="str">
        <f>VLOOKUP($B428,'[1]Plant data'!$A$1:$AB$315,25,0)</f>
        <v>NA</v>
      </c>
      <c r="AB428" s="8">
        <f t="shared" si="31"/>
        <v>7.4503525265435189E-2</v>
      </c>
    </row>
    <row r="429" spans="1:28">
      <c r="A429" s="5" t="s">
        <v>90</v>
      </c>
      <c r="B429" s="33" t="s">
        <v>200</v>
      </c>
      <c r="C429" s="56">
        <v>5</v>
      </c>
      <c r="D429" s="59">
        <v>177.8</v>
      </c>
      <c r="E429" s="26">
        <f>C429/177.8</f>
        <v>2.8121484814398197E-2</v>
      </c>
      <c r="F429" s="56" t="s">
        <v>19</v>
      </c>
      <c r="G429" s="27" t="s">
        <v>19</v>
      </c>
      <c r="H429" s="23" t="s">
        <v>19</v>
      </c>
      <c r="I429" t="s">
        <v>94</v>
      </c>
      <c r="J429" s="11">
        <v>331</v>
      </c>
      <c r="K429" s="11">
        <v>30.7</v>
      </c>
      <c r="L429" t="str">
        <f>VLOOKUP(B429,'[1]Plant data'!$A$1:$AB$315,2,0)</f>
        <v>Urticaceae</v>
      </c>
      <c r="M429" s="9">
        <f>VLOOKUP($B429,'[1]Plant data'!$A$1:$AB$315,6,0)</f>
        <v>12.11</v>
      </c>
      <c r="N429" s="9">
        <f>VLOOKUP($B429,'[1]Plant data'!$A$1:$AB$315,7,0)</f>
        <v>9.956666666666667</v>
      </c>
      <c r="O429" s="8">
        <f>VLOOKUP($B429,'[1]Plant data'!$A$1:$AB$315,10,0)</f>
        <v>0.35944999999999999</v>
      </c>
      <c r="P429" s="8">
        <f>VLOOKUP($B429,'[1]Plant data'!$A$1:$AB$315,11,0)</f>
        <v>0.45800000000000002</v>
      </c>
      <c r="Q429" s="8">
        <f>VLOOKUP($B429,'[1]Plant data'!$A$1:$AB$315,12,0)</f>
        <v>2.0000000000000005E-3</v>
      </c>
      <c r="R429" s="8">
        <f>VLOOKUP($B429,'[1]Plant data'!$A$1:$AB$315,13,0)</f>
        <v>0.1343</v>
      </c>
      <c r="S429" s="8" t="str">
        <f>VLOOKUP($B429,'[1]Plant data'!$A$1:$AB$315,14,0)</f>
        <v>NA</v>
      </c>
      <c r="T429" s="11">
        <f>VLOOKUP($B429,'[1]Plant data'!$A$1:$AB$315,15,0)</f>
        <v>37.299999999999997</v>
      </c>
      <c r="U429" s="9" t="str">
        <f>VLOOKUP($B429,'[1]Plant data'!$A$1:$AB$315,19,0)</f>
        <v>NA</v>
      </c>
      <c r="V429" s="8">
        <f>VLOOKUP($B429,'[1]Plant data'!$A$1:$AB$315,20,0)</f>
        <v>2.2737776134571043E-2</v>
      </c>
      <c r="W429" s="8">
        <f>VLOOKUP($B429,'[1]Plant data'!$A$1:$AB$315,21,0)</f>
        <v>0.12401400000000001</v>
      </c>
      <c r="X429" s="8">
        <f>VLOOKUP($B429,'[1]Plant data'!$A$1:$AB$315,22,0)</f>
        <v>5.3758128792152594E-3</v>
      </c>
      <c r="Y429" s="8">
        <f>VLOOKUP($B429,'[1]Plant data'!$A$1:$AB$315,23,0)</f>
        <v>6.9127712386219925E-2</v>
      </c>
      <c r="Z429" s="8" t="str">
        <f>VLOOKUP($B429,'[1]Plant data'!$A$1:$AB$315,24,0)</f>
        <v>NA</v>
      </c>
      <c r="AA429" s="8" t="str">
        <f>VLOOKUP($B429,'[1]Plant data'!$A$1:$AB$315,25,0)</f>
        <v>NA</v>
      </c>
      <c r="AB429" s="8">
        <f t="shared" si="31"/>
        <v>7.4503525265435189E-2</v>
      </c>
    </row>
    <row r="430" spans="1:28">
      <c r="A430" s="5" t="s">
        <v>41</v>
      </c>
      <c r="B430" s="32" t="s">
        <v>200</v>
      </c>
      <c r="C430" s="53">
        <v>9</v>
      </c>
      <c r="D430" s="11">
        <v>43</v>
      </c>
      <c r="E430" s="8">
        <f>C430/43</f>
        <v>0.20930232558139536</v>
      </c>
      <c r="F430" s="54" t="s">
        <v>19</v>
      </c>
      <c r="G430" s="9" t="s">
        <v>19</v>
      </c>
      <c r="H430" s="23" t="s">
        <v>19</v>
      </c>
      <c r="I430" t="s">
        <v>30</v>
      </c>
      <c r="J430" s="11">
        <v>39</v>
      </c>
      <c r="K430" s="11">
        <v>8.2839869279999991</v>
      </c>
      <c r="L430" t="str">
        <f>VLOOKUP(B430,'[1]Plant data'!$A$1:$AB$315,2,0)</f>
        <v>Urticaceae</v>
      </c>
      <c r="M430" s="9">
        <f>VLOOKUP($B430,'[1]Plant data'!$A$1:$AB$315,6,0)</f>
        <v>12.11</v>
      </c>
      <c r="N430" s="9">
        <f>VLOOKUP($B430,'[1]Plant data'!$A$1:$AB$315,7,0)</f>
        <v>9.956666666666667</v>
      </c>
      <c r="O430" s="8">
        <f>VLOOKUP($B430,'[1]Plant data'!$A$1:$AB$315,10,0)</f>
        <v>0.35944999999999999</v>
      </c>
      <c r="P430" s="8">
        <f>VLOOKUP($B430,'[1]Plant data'!$A$1:$AB$315,11,0)</f>
        <v>0.45800000000000002</v>
      </c>
      <c r="Q430" s="8">
        <f>VLOOKUP($B430,'[1]Plant data'!$A$1:$AB$315,12,0)</f>
        <v>2.0000000000000005E-3</v>
      </c>
      <c r="R430" s="8">
        <f>VLOOKUP($B430,'[1]Plant data'!$A$1:$AB$315,13,0)</f>
        <v>0.1343</v>
      </c>
      <c r="S430" s="8" t="str">
        <f>VLOOKUP($B430,'[1]Plant data'!$A$1:$AB$315,14,0)</f>
        <v>NA</v>
      </c>
      <c r="T430" s="11">
        <f>VLOOKUP($B430,'[1]Plant data'!$A$1:$AB$315,15,0)</f>
        <v>37.299999999999997</v>
      </c>
      <c r="U430" s="9" t="str">
        <f>VLOOKUP($B430,'[1]Plant data'!$A$1:$AB$315,19,0)</f>
        <v>NA</v>
      </c>
      <c r="V430" s="8">
        <f>VLOOKUP($B430,'[1]Plant data'!$A$1:$AB$315,20,0)</f>
        <v>2.2737776134571043E-2</v>
      </c>
      <c r="W430" s="8">
        <f>VLOOKUP($B430,'[1]Plant data'!$A$1:$AB$315,21,0)</f>
        <v>0.12401400000000001</v>
      </c>
      <c r="X430" s="8">
        <f>VLOOKUP($B430,'[1]Plant data'!$A$1:$AB$315,22,0)</f>
        <v>5.3758128792152594E-3</v>
      </c>
      <c r="Y430" s="8">
        <f>VLOOKUP($B430,'[1]Plant data'!$A$1:$AB$315,23,0)</f>
        <v>6.9127712386219925E-2</v>
      </c>
      <c r="Z430" s="8" t="str">
        <f>VLOOKUP($B430,'[1]Plant data'!$A$1:$AB$315,24,0)</f>
        <v>NA</v>
      </c>
      <c r="AA430" s="8" t="str">
        <f>VLOOKUP($B430,'[1]Plant data'!$A$1:$AB$315,25,0)</f>
        <v>NA</v>
      </c>
      <c r="AB430" s="8">
        <f t="shared" si="31"/>
        <v>7.4503525265435189E-2</v>
      </c>
    </row>
    <row r="431" spans="1:28">
      <c r="A431" s="5" t="s">
        <v>43</v>
      </c>
      <c r="B431" s="32" t="s">
        <v>200</v>
      </c>
      <c r="C431" s="53">
        <v>9</v>
      </c>
      <c r="D431" s="58">
        <v>43</v>
      </c>
      <c r="E431" s="8">
        <f>C431/43</f>
        <v>0.20930232558139536</v>
      </c>
      <c r="F431" s="54" t="s">
        <v>19</v>
      </c>
      <c r="G431" s="9" t="s">
        <v>19</v>
      </c>
      <c r="H431" s="23" t="s">
        <v>19</v>
      </c>
      <c r="I431" t="s">
        <v>30</v>
      </c>
      <c r="J431" s="11">
        <v>32.5</v>
      </c>
      <c r="K431" s="11">
        <v>8.9205555560000001</v>
      </c>
      <c r="L431" t="str">
        <f>VLOOKUP(B431,'[1]Plant data'!$A$1:$AB$315,2,0)</f>
        <v>Urticaceae</v>
      </c>
      <c r="M431" s="9">
        <f>VLOOKUP($B431,'[1]Plant data'!$A$1:$AB$315,6,0)</f>
        <v>12.11</v>
      </c>
      <c r="N431" s="9">
        <f>VLOOKUP($B431,'[1]Plant data'!$A$1:$AB$315,7,0)</f>
        <v>9.956666666666667</v>
      </c>
      <c r="O431" s="8">
        <f>VLOOKUP($B431,'[1]Plant data'!$A$1:$AB$315,10,0)</f>
        <v>0.35944999999999999</v>
      </c>
      <c r="P431" s="8">
        <f>VLOOKUP($B431,'[1]Plant data'!$A$1:$AB$315,11,0)</f>
        <v>0.45800000000000002</v>
      </c>
      <c r="Q431" s="8">
        <f>VLOOKUP($B431,'[1]Plant data'!$A$1:$AB$315,12,0)</f>
        <v>2.0000000000000005E-3</v>
      </c>
      <c r="R431" s="8">
        <f>VLOOKUP($B431,'[1]Plant data'!$A$1:$AB$315,13,0)</f>
        <v>0.1343</v>
      </c>
      <c r="S431" s="8" t="str">
        <f>VLOOKUP($B431,'[1]Plant data'!$A$1:$AB$315,14,0)</f>
        <v>NA</v>
      </c>
      <c r="T431" s="11">
        <f>VLOOKUP($B431,'[1]Plant data'!$A$1:$AB$315,15,0)</f>
        <v>37.299999999999997</v>
      </c>
      <c r="U431" s="9" t="str">
        <f>VLOOKUP($B431,'[1]Plant data'!$A$1:$AB$315,19,0)</f>
        <v>NA</v>
      </c>
      <c r="V431" s="8">
        <f>VLOOKUP($B431,'[1]Plant data'!$A$1:$AB$315,20,0)</f>
        <v>2.2737776134571043E-2</v>
      </c>
      <c r="W431" s="8">
        <f>VLOOKUP($B431,'[1]Plant data'!$A$1:$AB$315,21,0)</f>
        <v>0.12401400000000001</v>
      </c>
      <c r="X431" s="8">
        <f>VLOOKUP($B431,'[1]Plant data'!$A$1:$AB$315,22,0)</f>
        <v>5.3758128792152594E-3</v>
      </c>
      <c r="Y431" s="8">
        <f>VLOOKUP($B431,'[1]Plant data'!$A$1:$AB$315,23,0)</f>
        <v>6.9127712386219925E-2</v>
      </c>
      <c r="Z431" s="8" t="str">
        <f>VLOOKUP($B431,'[1]Plant data'!$A$1:$AB$315,24,0)</f>
        <v>NA</v>
      </c>
      <c r="AA431" s="8" t="str">
        <f>VLOOKUP($B431,'[1]Plant data'!$A$1:$AB$315,25,0)</f>
        <v>NA</v>
      </c>
      <c r="AB431" s="8">
        <f t="shared" si="31"/>
        <v>7.4503525265435189E-2</v>
      </c>
    </row>
    <row r="432" spans="1:28">
      <c r="A432" s="5" t="s">
        <v>124</v>
      </c>
      <c r="B432" s="33" t="s">
        <v>200</v>
      </c>
      <c r="C432" s="56">
        <v>2</v>
      </c>
      <c r="D432" s="11">
        <v>43</v>
      </c>
      <c r="E432" s="26">
        <f>C432/43</f>
        <v>4.6511627906976744E-2</v>
      </c>
      <c r="F432" s="56" t="s">
        <v>19</v>
      </c>
      <c r="G432" s="27" t="s">
        <v>19</v>
      </c>
      <c r="H432" s="23" t="s">
        <v>19</v>
      </c>
      <c r="I432" t="s">
        <v>109</v>
      </c>
      <c r="J432" s="11">
        <v>73.3</v>
      </c>
      <c r="K432" s="11">
        <v>17.52380952</v>
      </c>
      <c r="L432" t="str">
        <f>VLOOKUP(B432,'[1]Plant data'!$A$1:$AB$315,2,0)</f>
        <v>Urticaceae</v>
      </c>
      <c r="M432" s="9">
        <f>VLOOKUP($B432,'[1]Plant data'!$A$1:$AB$315,6,0)</f>
        <v>12.11</v>
      </c>
      <c r="N432" s="9">
        <f>VLOOKUP($B432,'[1]Plant data'!$A$1:$AB$315,7,0)</f>
        <v>9.956666666666667</v>
      </c>
      <c r="O432" s="8">
        <f>VLOOKUP($B432,'[1]Plant data'!$A$1:$AB$315,10,0)</f>
        <v>0.35944999999999999</v>
      </c>
      <c r="P432" s="8">
        <f>VLOOKUP($B432,'[1]Plant data'!$A$1:$AB$315,11,0)</f>
        <v>0.45800000000000002</v>
      </c>
      <c r="Q432" s="8">
        <f>VLOOKUP($B432,'[1]Plant data'!$A$1:$AB$315,12,0)</f>
        <v>2.0000000000000005E-3</v>
      </c>
      <c r="R432" s="8">
        <f>VLOOKUP($B432,'[1]Plant data'!$A$1:$AB$315,13,0)</f>
        <v>0.1343</v>
      </c>
      <c r="S432" s="8" t="str">
        <f>VLOOKUP($B432,'[1]Plant data'!$A$1:$AB$315,14,0)</f>
        <v>NA</v>
      </c>
      <c r="T432" s="11">
        <f>VLOOKUP($B432,'[1]Plant data'!$A$1:$AB$315,15,0)</f>
        <v>37.299999999999997</v>
      </c>
      <c r="U432" s="9" t="str">
        <f>VLOOKUP($B432,'[1]Plant data'!$A$1:$AB$315,19,0)</f>
        <v>NA</v>
      </c>
      <c r="V432" s="8">
        <f>VLOOKUP($B432,'[1]Plant data'!$A$1:$AB$315,20,0)</f>
        <v>2.2737776134571043E-2</v>
      </c>
      <c r="W432" s="8">
        <f>VLOOKUP($B432,'[1]Plant data'!$A$1:$AB$315,21,0)</f>
        <v>0.12401400000000001</v>
      </c>
      <c r="X432" s="8">
        <f>VLOOKUP($B432,'[1]Plant data'!$A$1:$AB$315,22,0)</f>
        <v>5.3758128792152594E-3</v>
      </c>
      <c r="Y432" s="8">
        <f>VLOOKUP($B432,'[1]Plant data'!$A$1:$AB$315,23,0)</f>
        <v>6.9127712386219925E-2</v>
      </c>
      <c r="Z432" s="8" t="str">
        <f>VLOOKUP($B432,'[1]Plant data'!$A$1:$AB$315,24,0)</f>
        <v>NA</v>
      </c>
      <c r="AA432" s="8" t="str">
        <f>VLOOKUP($B432,'[1]Plant data'!$A$1:$AB$315,25,0)</f>
        <v>NA</v>
      </c>
      <c r="AB432" s="8">
        <f t="shared" si="31"/>
        <v>7.4503525265435189E-2</v>
      </c>
    </row>
    <row r="433" spans="1:28">
      <c r="A433" s="5" t="s">
        <v>46</v>
      </c>
      <c r="B433" s="33" t="s">
        <v>200</v>
      </c>
      <c r="C433" s="53">
        <v>2</v>
      </c>
      <c r="D433" s="58">
        <v>43</v>
      </c>
      <c r="E433" s="8">
        <f>C433/43</f>
        <v>4.6511627906976744E-2</v>
      </c>
      <c r="F433" s="54" t="s">
        <v>19</v>
      </c>
      <c r="G433" s="9" t="s">
        <v>19</v>
      </c>
      <c r="H433" s="23" t="s">
        <v>19</v>
      </c>
      <c r="I433" t="s">
        <v>47</v>
      </c>
      <c r="J433" s="11">
        <v>54</v>
      </c>
      <c r="K433" s="11">
        <v>11.14875</v>
      </c>
      <c r="L433" t="str">
        <f>VLOOKUP(B433,'[1]Plant data'!$A$1:$AB$315,2,0)</f>
        <v>Urticaceae</v>
      </c>
      <c r="M433" s="9">
        <f>VLOOKUP($B433,'[1]Plant data'!$A$1:$AB$315,6,0)</f>
        <v>12.11</v>
      </c>
      <c r="N433" s="9">
        <f>VLOOKUP($B433,'[1]Plant data'!$A$1:$AB$315,7,0)</f>
        <v>9.956666666666667</v>
      </c>
      <c r="O433" s="8">
        <f>VLOOKUP($B433,'[1]Plant data'!$A$1:$AB$315,10,0)</f>
        <v>0.35944999999999999</v>
      </c>
      <c r="P433" s="8">
        <f>VLOOKUP($B433,'[1]Plant data'!$A$1:$AB$315,11,0)</f>
        <v>0.45800000000000002</v>
      </c>
      <c r="Q433" s="8">
        <f>VLOOKUP($B433,'[1]Plant data'!$A$1:$AB$315,12,0)</f>
        <v>2.0000000000000005E-3</v>
      </c>
      <c r="R433" s="8">
        <f>VLOOKUP($B433,'[1]Plant data'!$A$1:$AB$315,13,0)</f>
        <v>0.1343</v>
      </c>
      <c r="S433" s="8" t="str">
        <f>VLOOKUP($B433,'[1]Plant data'!$A$1:$AB$315,14,0)</f>
        <v>NA</v>
      </c>
      <c r="T433" s="11">
        <f>VLOOKUP($B433,'[1]Plant data'!$A$1:$AB$315,15,0)</f>
        <v>37.299999999999997</v>
      </c>
      <c r="U433" s="9" t="str">
        <f>VLOOKUP($B433,'[1]Plant data'!$A$1:$AB$315,19,0)</f>
        <v>NA</v>
      </c>
      <c r="V433" s="8">
        <f>VLOOKUP($B433,'[1]Plant data'!$A$1:$AB$315,20,0)</f>
        <v>2.2737776134571043E-2</v>
      </c>
      <c r="W433" s="8">
        <f>VLOOKUP($B433,'[1]Plant data'!$A$1:$AB$315,21,0)</f>
        <v>0.12401400000000001</v>
      </c>
      <c r="X433" s="8">
        <f>VLOOKUP($B433,'[1]Plant data'!$A$1:$AB$315,22,0)</f>
        <v>5.3758128792152594E-3</v>
      </c>
      <c r="Y433" s="8">
        <f>VLOOKUP($B433,'[1]Plant data'!$A$1:$AB$315,23,0)</f>
        <v>6.9127712386219925E-2</v>
      </c>
      <c r="Z433" s="8" t="str">
        <f>VLOOKUP($B433,'[1]Plant data'!$A$1:$AB$315,24,0)</f>
        <v>NA</v>
      </c>
      <c r="AA433" s="8" t="str">
        <f>VLOOKUP($B433,'[1]Plant data'!$A$1:$AB$315,25,0)</f>
        <v>NA</v>
      </c>
      <c r="AB433" s="8">
        <f t="shared" si="31"/>
        <v>7.4503525265435189E-2</v>
      </c>
    </row>
    <row r="434" spans="1:28">
      <c r="A434" s="5" t="s">
        <v>50</v>
      </c>
      <c r="B434" s="32" t="s">
        <v>200</v>
      </c>
      <c r="C434" s="53">
        <v>11</v>
      </c>
      <c r="D434" s="59">
        <v>177.8</v>
      </c>
      <c r="E434" s="8">
        <f>C434/177.8</f>
        <v>6.1867266591676039E-2</v>
      </c>
      <c r="F434" s="56" t="s">
        <v>19</v>
      </c>
      <c r="G434" s="9" t="s">
        <v>19</v>
      </c>
      <c r="H434" s="23" t="s">
        <v>19</v>
      </c>
      <c r="I434" t="s">
        <v>47</v>
      </c>
      <c r="J434" s="11">
        <v>69.5</v>
      </c>
      <c r="K434" s="11">
        <v>13.253214290000001</v>
      </c>
      <c r="L434" t="str">
        <f>VLOOKUP(B434,'[1]Plant data'!$A$1:$AB$315,2,0)</f>
        <v>Urticaceae</v>
      </c>
      <c r="M434" s="9">
        <f>VLOOKUP($B434,'[1]Plant data'!$A$1:$AB$315,6,0)</f>
        <v>12.11</v>
      </c>
      <c r="N434" s="9">
        <f>VLOOKUP($B434,'[1]Plant data'!$A$1:$AB$315,7,0)</f>
        <v>9.956666666666667</v>
      </c>
      <c r="O434" s="8">
        <f>VLOOKUP($B434,'[1]Plant data'!$A$1:$AB$315,10,0)</f>
        <v>0.35944999999999999</v>
      </c>
      <c r="P434" s="8">
        <f>VLOOKUP($B434,'[1]Plant data'!$A$1:$AB$315,11,0)</f>
        <v>0.45800000000000002</v>
      </c>
      <c r="Q434" s="8">
        <f>VLOOKUP($B434,'[1]Plant data'!$A$1:$AB$315,12,0)</f>
        <v>2.0000000000000005E-3</v>
      </c>
      <c r="R434" s="8">
        <f>VLOOKUP($B434,'[1]Plant data'!$A$1:$AB$315,13,0)</f>
        <v>0.1343</v>
      </c>
      <c r="S434" s="8" t="str">
        <f>VLOOKUP($B434,'[1]Plant data'!$A$1:$AB$315,14,0)</f>
        <v>NA</v>
      </c>
      <c r="T434" s="11">
        <f>VLOOKUP($B434,'[1]Plant data'!$A$1:$AB$315,15,0)</f>
        <v>37.299999999999997</v>
      </c>
      <c r="U434" s="9" t="str">
        <f>VLOOKUP($B434,'[1]Plant data'!$A$1:$AB$315,19,0)</f>
        <v>NA</v>
      </c>
      <c r="V434" s="8">
        <f>VLOOKUP($B434,'[1]Plant data'!$A$1:$AB$315,20,0)</f>
        <v>2.2737776134571043E-2</v>
      </c>
      <c r="W434" s="8">
        <f>VLOOKUP($B434,'[1]Plant data'!$A$1:$AB$315,21,0)</f>
        <v>0.12401400000000001</v>
      </c>
      <c r="X434" s="8">
        <f>VLOOKUP($B434,'[1]Plant data'!$A$1:$AB$315,22,0)</f>
        <v>5.3758128792152594E-3</v>
      </c>
      <c r="Y434" s="8">
        <f>VLOOKUP($B434,'[1]Plant data'!$A$1:$AB$315,23,0)</f>
        <v>6.9127712386219925E-2</v>
      </c>
      <c r="Z434" s="8" t="str">
        <f>VLOOKUP($B434,'[1]Plant data'!$A$1:$AB$315,24,0)</f>
        <v>NA</v>
      </c>
      <c r="AA434" s="8" t="str">
        <f>VLOOKUP($B434,'[1]Plant data'!$A$1:$AB$315,25,0)</f>
        <v>NA</v>
      </c>
      <c r="AB434" s="8">
        <f t="shared" si="31"/>
        <v>7.4503525265435189E-2</v>
      </c>
    </row>
    <row r="435" spans="1:28">
      <c r="A435" s="5" t="s">
        <v>50</v>
      </c>
      <c r="B435" s="32" t="s">
        <v>200</v>
      </c>
      <c r="C435" s="53">
        <v>16</v>
      </c>
      <c r="D435" s="11">
        <v>43</v>
      </c>
      <c r="E435" s="8">
        <f>C435/43</f>
        <v>0.37209302325581395</v>
      </c>
      <c r="F435" s="56" t="s">
        <v>19</v>
      </c>
      <c r="G435" s="9" t="s">
        <v>19</v>
      </c>
      <c r="H435" s="23" t="s">
        <v>19</v>
      </c>
      <c r="I435" t="s">
        <v>47</v>
      </c>
      <c r="J435" s="11">
        <v>69.5</v>
      </c>
      <c r="K435" s="11">
        <v>13.253214290000001</v>
      </c>
      <c r="L435" t="str">
        <f>VLOOKUP(B435,'[1]Plant data'!$A$1:$AB$315,2,0)</f>
        <v>Urticaceae</v>
      </c>
      <c r="M435" s="9">
        <f>VLOOKUP($B435,'[1]Plant data'!$A$1:$AB$315,6,0)</f>
        <v>12.11</v>
      </c>
      <c r="N435" s="9">
        <f>VLOOKUP($B435,'[1]Plant data'!$A$1:$AB$315,7,0)</f>
        <v>9.956666666666667</v>
      </c>
      <c r="O435" s="8">
        <f>VLOOKUP($B435,'[1]Plant data'!$A$1:$AB$315,10,0)</f>
        <v>0.35944999999999999</v>
      </c>
      <c r="P435" s="8">
        <f>VLOOKUP($B435,'[1]Plant data'!$A$1:$AB$315,11,0)</f>
        <v>0.45800000000000002</v>
      </c>
      <c r="Q435" s="8">
        <f>VLOOKUP($B435,'[1]Plant data'!$A$1:$AB$315,12,0)</f>
        <v>2.0000000000000005E-3</v>
      </c>
      <c r="R435" s="8">
        <f>VLOOKUP($B435,'[1]Plant data'!$A$1:$AB$315,13,0)</f>
        <v>0.1343</v>
      </c>
      <c r="S435" s="8" t="str">
        <f>VLOOKUP($B435,'[1]Plant data'!$A$1:$AB$315,14,0)</f>
        <v>NA</v>
      </c>
      <c r="T435" s="11">
        <f>VLOOKUP($B435,'[1]Plant data'!$A$1:$AB$315,15,0)</f>
        <v>37.299999999999997</v>
      </c>
      <c r="U435" s="9" t="str">
        <f>VLOOKUP($B435,'[1]Plant data'!$A$1:$AB$315,19,0)</f>
        <v>NA</v>
      </c>
      <c r="V435" s="8">
        <f>VLOOKUP($B435,'[1]Plant data'!$A$1:$AB$315,20,0)</f>
        <v>2.2737776134571043E-2</v>
      </c>
      <c r="W435" s="8">
        <f>VLOOKUP($B435,'[1]Plant data'!$A$1:$AB$315,21,0)</f>
        <v>0.12401400000000001</v>
      </c>
      <c r="X435" s="8">
        <f>VLOOKUP($B435,'[1]Plant data'!$A$1:$AB$315,22,0)</f>
        <v>5.3758128792152594E-3</v>
      </c>
      <c r="Y435" s="8">
        <f>VLOOKUP($B435,'[1]Plant data'!$A$1:$AB$315,23,0)</f>
        <v>6.9127712386219925E-2</v>
      </c>
      <c r="Z435" s="8" t="str">
        <f>VLOOKUP($B435,'[1]Plant data'!$A$1:$AB$315,24,0)</f>
        <v>NA</v>
      </c>
      <c r="AA435" s="8" t="str">
        <f>VLOOKUP($B435,'[1]Plant data'!$A$1:$AB$315,25,0)</f>
        <v>NA</v>
      </c>
      <c r="AB435" s="8">
        <f t="shared" si="31"/>
        <v>7.4503525265435189E-2</v>
      </c>
    </row>
    <row r="436" spans="1:28">
      <c r="A436" s="5" t="s">
        <v>110</v>
      </c>
      <c r="B436" s="32" t="s">
        <v>159</v>
      </c>
      <c r="C436" s="53">
        <v>3</v>
      </c>
      <c r="D436" s="11" t="s">
        <v>19</v>
      </c>
      <c r="E436" s="8" t="s">
        <v>19</v>
      </c>
      <c r="F436" s="54" t="s">
        <v>19</v>
      </c>
      <c r="G436" s="9" t="s">
        <v>19</v>
      </c>
      <c r="H436" s="23" t="s">
        <v>19</v>
      </c>
      <c r="I436" t="s">
        <v>101</v>
      </c>
      <c r="J436" s="11">
        <v>1250</v>
      </c>
      <c r="K436" s="11">
        <v>19.114999999999998</v>
      </c>
      <c r="L436" t="str">
        <f>VLOOKUP(B436,'[1]Plant data'!$A$1:$AB$315,2,0)</f>
        <v>Boraginaceae</v>
      </c>
      <c r="M436" s="9">
        <f>VLOOKUP($B436,'[1]Plant data'!$A$1:$AB$315,6,0)</f>
        <v>9.1</v>
      </c>
      <c r="N436" s="9">
        <f>VLOOKUP($B436,'[1]Plant data'!$A$1:$AB$315,7,0)</f>
        <v>11</v>
      </c>
      <c r="O436" s="8">
        <f>VLOOKUP($B436,'[1]Plant data'!$A$1:$AB$315,10,0)</f>
        <v>0.6</v>
      </c>
      <c r="P436" s="8" t="str">
        <f>VLOOKUP($B436,'[1]Plant data'!$A$1:$AB$315,11,0)</f>
        <v>NA</v>
      </c>
      <c r="Q436" s="8">
        <f>VLOOKUP($B436,'[1]Plant data'!$A$1:$AB$315,12,0)</f>
        <v>0.1</v>
      </c>
      <c r="R436" s="8" t="str">
        <f>VLOOKUP($B436,'[1]Plant data'!$A$1:$AB$315,13,0)</f>
        <v>NA</v>
      </c>
      <c r="S436" s="8" t="str">
        <f>VLOOKUP($B436,'[1]Plant data'!$A$1:$AB$315,14,0)</f>
        <v>NA</v>
      </c>
      <c r="T436" s="11">
        <f>VLOOKUP($B436,'[1]Plant data'!$A$1:$AB$315,15,0)</f>
        <v>1</v>
      </c>
      <c r="U436" s="9">
        <f>VLOOKUP($B436,'[1]Plant data'!$A$1:$AB$315,19,0)</f>
        <v>0.81</v>
      </c>
      <c r="V436" s="8">
        <f>VLOOKUP($B436,'[1]Plant data'!$A$1:$AB$315,20,0)</f>
        <v>1.6E-2</v>
      </c>
      <c r="W436" s="8">
        <f>VLOOKUP($B436,'[1]Plant data'!$A$1:$AB$315,21,0)</f>
        <v>7.8E-2</v>
      </c>
      <c r="X436" s="8" t="str">
        <f>VLOOKUP($B436,'[1]Plant data'!$A$1:$AB$315,22,0)</f>
        <v>NA</v>
      </c>
      <c r="Y436" s="8" t="str">
        <f>VLOOKUP($B436,'[1]Plant data'!$A$1:$AB$315,23,0)</f>
        <v>NA</v>
      </c>
      <c r="Z436" s="8" t="str">
        <f>VLOOKUP($B436,'[1]Plant data'!$A$1:$AB$315,24,0)</f>
        <v>NA</v>
      </c>
      <c r="AA436" s="8">
        <f>VLOOKUP($B436,'[1]Plant data'!$A$1:$AB$315,25,0)</f>
        <v>0.83899999999999997</v>
      </c>
      <c r="AB436" s="8" t="s">
        <v>19</v>
      </c>
    </row>
    <row r="437" spans="1:28">
      <c r="A437" s="5" t="s">
        <v>50</v>
      </c>
      <c r="B437" s="32" t="s">
        <v>193</v>
      </c>
      <c r="C437" s="53">
        <v>1</v>
      </c>
      <c r="D437" s="11">
        <v>2.2000000000000002</v>
      </c>
      <c r="E437" s="8">
        <f>C437/2.2</f>
        <v>0.45454545454545453</v>
      </c>
      <c r="F437" s="54" t="s">
        <v>19</v>
      </c>
      <c r="G437" s="9" t="s">
        <v>19</v>
      </c>
      <c r="H437" s="23" t="s">
        <v>19</v>
      </c>
      <c r="I437" t="s">
        <v>47</v>
      </c>
      <c r="J437" s="11">
        <v>69.5</v>
      </c>
      <c r="K437" s="11">
        <v>13.253214290000001</v>
      </c>
      <c r="L437" t="str">
        <f>VLOOKUP(B437,'[1]Plant data'!$A$1:$AB$315,2,0)</f>
        <v>Boraginaceae</v>
      </c>
      <c r="M437" s="9">
        <f>VLOOKUP($B437,'[1]Plant data'!$A$1:$AB$315,6,0)</f>
        <v>11.05</v>
      </c>
      <c r="N437" s="9">
        <f>VLOOKUP($B437,'[1]Plant data'!$A$1:$AB$315,7,0)</f>
        <v>11.55</v>
      </c>
      <c r="O437" s="8">
        <f>VLOOKUP($B437,'[1]Plant data'!$A$1:$AB$315,10,0)</f>
        <v>3</v>
      </c>
      <c r="P437" s="8" t="str">
        <f>VLOOKUP($B437,'[1]Plant data'!$A$1:$AB$315,11,0)</f>
        <v>NA</v>
      </c>
      <c r="Q437" s="8">
        <f>VLOOKUP($B437,'[1]Plant data'!$A$1:$AB$315,12,0)</f>
        <v>2</v>
      </c>
      <c r="R437" s="8" t="str">
        <f>VLOOKUP($B437,'[1]Plant data'!$A$1:$AB$315,13,0)</f>
        <v>NA</v>
      </c>
      <c r="S437" s="8" t="str">
        <f>VLOOKUP($B437,'[1]Plant data'!$A$1:$AB$315,14,0)</f>
        <v>NA</v>
      </c>
      <c r="T437" s="11">
        <f>VLOOKUP($B437,'[1]Plant data'!$A$1:$AB$315,15,0)</f>
        <v>1</v>
      </c>
      <c r="U437" s="9" t="str">
        <f>VLOOKUP($B437,'[1]Plant data'!$A$1:$AB$315,19,0)</f>
        <v>NA</v>
      </c>
      <c r="V437" s="8" t="str">
        <f>VLOOKUP($B437,'[1]Plant data'!$A$1:$AB$315,20,0)</f>
        <v>NA</v>
      </c>
      <c r="W437" s="8" t="str">
        <f>VLOOKUP($B437,'[1]Plant data'!$A$1:$AB$315,21,0)</f>
        <v>NA</v>
      </c>
      <c r="X437" s="8" t="str">
        <f>VLOOKUP($B437,'[1]Plant data'!$A$1:$AB$315,22,0)</f>
        <v>NA</v>
      </c>
      <c r="Y437" s="8" t="str">
        <f>VLOOKUP($B437,'[1]Plant data'!$A$1:$AB$315,23,0)</f>
        <v>NA</v>
      </c>
      <c r="Z437" s="8" t="str">
        <f>VLOOKUP($B437,'[1]Plant data'!$A$1:$AB$315,24,0)</f>
        <v>NA</v>
      </c>
      <c r="AA437" s="8" t="str">
        <f>VLOOKUP($B437,'[1]Plant data'!$A$1:$AB$315,25,0)</f>
        <v>NA</v>
      </c>
      <c r="AB437" s="8" t="s">
        <v>19</v>
      </c>
    </row>
    <row r="438" spans="1:28">
      <c r="A438" s="5" t="s">
        <v>70</v>
      </c>
      <c r="B438" s="34" t="s">
        <v>71</v>
      </c>
      <c r="C438" s="53">
        <v>138</v>
      </c>
      <c r="D438" s="58">
        <v>24.2</v>
      </c>
      <c r="E438" s="8">
        <f>C438/24.2</f>
        <v>5.7024793388429753</v>
      </c>
      <c r="F438" s="54" t="s">
        <v>19</v>
      </c>
      <c r="G438" s="9" t="s">
        <v>19</v>
      </c>
      <c r="H438" s="23" t="s">
        <v>19</v>
      </c>
      <c r="I438" t="s">
        <v>23</v>
      </c>
      <c r="J438" s="11">
        <v>15</v>
      </c>
      <c r="K438" s="11">
        <v>6.9235714289999999</v>
      </c>
      <c r="L438" t="str">
        <f>VLOOKUP(B438,'[1]Plant data'!$A$1:$AB$315,2,0)</f>
        <v>Boraginaceae</v>
      </c>
      <c r="M438" s="9">
        <f>VLOOKUP($B438,'[1]Plant data'!$A$1:$AB$315,6,0)</f>
        <v>6.5750000000000002</v>
      </c>
      <c r="N438" s="9">
        <f>VLOOKUP($B438,'[1]Plant data'!$A$1:$AB$315,7,0)</f>
        <v>5.92</v>
      </c>
      <c r="O438" s="8">
        <f>VLOOKUP($B438,'[1]Plant data'!$A$1:$AB$315,10,0)</f>
        <v>0.13450000000000001</v>
      </c>
      <c r="P438" s="8">
        <f>VLOOKUP($B438,'[1]Plant data'!$A$1:$AB$315,11,0)</f>
        <v>0.16</v>
      </c>
      <c r="Q438" s="8" t="str">
        <f>VLOOKUP($B438,'[1]Plant data'!$A$1:$AB$315,12,0)</f>
        <v>NA</v>
      </c>
      <c r="R438" s="8">
        <f>VLOOKUP($B438,'[1]Plant data'!$A$1:$AB$315,13,0)</f>
        <v>0.02</v>
      </c>
      <c r="S438" s="8">
        <f>VLOOKUP($B438,'[1]Plant data'!$A$1:$AB$315,14,0)</f>
        <v>0.02</v>
      </c>
      <c r="T438" s="11">
        <f>VLOOKUP($B438,'[1]Plant data'!$A$1:$AB$315,15,0)</f>
        <v>1</v>
      </c>
      <c r="U438" s="9">
        <f>VLOOKUP($B438,'[1]Plant data'!$A$1:$AB$315,19,0)</f>
        <v>0.875</v>
      </c>
      <c r="V438" s="8">
        <f>VLOOKUP($B438,'[1]Plant data'!$A$1:$AB$315,20,0)</f>
        <v>0.18420000000000003</v>
      </c>
      <c r="W438" s="8">
        <f>VLOOKUP($B438,'[1]Plant data'!$A$1:$AB$315,21,0)</f>
        <v>9.4499999999999987E-2</v>
      </c>
      <c r="X438" s="8">
        <f>VLOOKUP($B438,'[1]Plant data'!$A$1:$AB$315,22,0)</f>
        <v>2.0899999999999998E-2</v>
      </c>
      <c r="Y438" s="8" t="str">
        <f>VLOOKUP($B438,'[1]Plant data'!$A$1:$AB$315,23,0)</f>
        <v>NA</v>
      </c>
      <c r="Z438" s="8" t="str">
        <f>VLOOKUP($B438,'[1]Plant data'!$A$1:$AB$315,24,0)</f>
        <v>NA</v>
      </c>
      <c r="AA438" s="8" t="str">
        <f>VLOOKUP($B438,'[1]Plant data'!$A$1:$AB$315,25,0)</f>
        <v>NA</v>
      </c>
      <c r="AB438" s="8">
        <f>SUMIF(X438:Y438,"&gt;0.00001")</f>
        <v>2.0899999999999998E-2</v>
      </c>
    </row>
    <row r="439" spans="1:28">
      <c r="A439" s="5" t="s">
        <v>41</v>
      </c>
      <c r="B439" s="34" t="s">
        <v>71</v>
      </c>
      <c r="C439" s="53">
        <v>1</v>
      </c>
      <c r="D439" s="58">
        <v>24.2</v>
      </c>
      <c r="E439" s="8">
        <f>C439/24.2</f>
        <v>4.1322314049586778E-2</v>
      </c>
      <c r="F439" s="54" t="s">
        <v>19</v>
      </c>
      <c r="G439" s="9" t="s">
        <v>19</v>
      </c>
      <c r="H439" s="23" t="s">
        <v>19</v>
      </c>
      <c r="I439" t="s">
        <v>30</v>
      </c>
      <c r="J439" s="11">
        <v>39</v>
      </c>
      <c r="K439" s="11">
        <v>8.2839869279999991</v>
      </c>
      <c r="L439" t="str">
        <f>VLOOKUP(B439,'[1]Plant data'!$A$1:$AB$315,2,0)</f>
        <v>Boraginaceae</v>
      </c>
      <c r="M439" s="9">
        <f>VLOOKUP($B439,'[1]Plant data'!$A$1:$AB$315,6,0)</f>
        <v>6.5750000000000002</v>
      </c>
      <c r="N439" s="9">
        <f>VLOOKUP($B439,'[1]Plant data'!$A$1:$AB$315,7,0)</f>
        <v>5.92</v>
      </c>
      <c r="O439" s="8">
        <f>VLOOKUP($B439,'[1]Plant data'!$A$1:$AB$315,10,0)</f>
        <v>0.13450000000000001</v>
      </c>
      <c r="P439" s="8">
        <f>VLOOKUP($B439,'[1]Plant data'!$A$1:$AB$315,11,0)</f>
        <v>0.16</v>
      </c>
      <c r="Q439" s="8" t="str">
        <f>VLOOKUP($B439,'[1]Plant data'!$A$1:$AB$315,12,0)</f>
        <v>NA</v>
      </c>
      <c r="R439" s="8">
        <f>VLOOKUP($B439,'[1]Plant data'!$A$1:$AB$315,13,0)</f>
        <v>0.02</v>
      </c>
      <c r="S439" s="8">
        <f>VLOOKUP($B439,'[1]Plant data'!$A$1:$AB$315,14,0)</f>
        <v>0.02</v>
      </c>
      <c r="T439" s="11">
        <f>VLOOKUP($B439,'[1]Plant data'!$A$1:$AB$315,15,0)</f>
        <v>1</v>
      </c>
      <c r="U439" s="9">
        <f>VLOOKUP($B439,'[1]Plant data'!$A$1:$AB$315,19,0)</f>
        <v>0.875</v>
      </c>
      <c r="V439" s="8">
        <f>VLOOKUP($B439,'[1]Plant data'!$A$1:$AB$315,20,0)</f>
        <v>0.18420000000000003</v>
      </c>
      <c r="W439" s="8">
        <f>VLOOKUP($B439,'[1]Plant data'!$A$1:$AB$315,21,0)</f>
        <v>9.4499999999999987E-2</v>
      </c>
      <c r="X439" s="8">
        <f>VLOOKUP($B439,'[1]Plant data'!$A$1:$AB$315,22,0)</f>
        <v>2.0899999999999998E-2</v>
      </c>
      <c r="Y439" s="8" t="str">
        <f>VLOOKUP($B439,'[1]Plant data'!$A$1:$AB$315,23,0)</f>
        <v>NA</v>
      </c>
      <c r="Z439" s="8" t="str">
        <f>VLOOKUP($B439,'[1]Plant data'!$A$1:$AB$315,24,0)</f>
        <v>NA</v>
      </c>
      <c r="AA439" s="8" t="str">
        <f>VLOOKUP($B439,'[1]Plant data'!$A$1:$AB$315,25,0)</f>
        <v>NA</v>
      </c>
      <c r="AB439" s="8">
        <f>SUMIF(X439:Y439,"&gt;0.00001")</f>
        <v>2.0899999999999998E-2</v>
      </c>
    </row>
    <row r="440" spans="1:28">
      <c r="A440" s="5" t="s">
        <v>43</v>
      </c>
      <c r="B440" s="15" t="s">
        <v>71</v>
      </c>
      <c r="C440" s="53">
        <v>1</v>
      </c>
      <c r="D440" s="58">
        <v>24.2</v>
      </c>
      <c r="E440" s="8">
        <f>C440/24.2</f>
        <v>4.1322314049586778E-2</v>
      </c>
      <c r="F440" s="54" t="s">
        <v>19</v>
      </c>
      <c r="G440" s="9" t="s">
        <v>19</v>
      </c>
      <c r="H440" s="23" t="s">
        <v>19</v>
      </c>
      <c r="I440" t="s">
        <v>30</v>
      </c>
      <c r="J440" s="11">
        <v>32.5</v>
      </c>
      <c r="K440" s="11">
        <v>8.9205555560000001</v>
      </c>
      <c r="L440" t="str">
        <f>VLOOKUP(B440,'[1]Plant data'!$A$1:$AB$315,2,0)</f>
        <v>Boraginaceae</v>
      </c>
      <c r="M440" s="9">
        <f>VLOOKUP($B440,'[1]Plant data'!$A$1:$AB$315,6,0)</f>
        <v>6.5750000000000002</v>
      </c>
      <c r="N440" s="9">
        <f>VLOOKUP($B440,'[1]Plant data'!$A$1:$AB$315,7,0)</f>
        <v>5.92</v>
      </c>
      <c r="O440" s="8">
        <f>VLOOKUP($B440,'[1]Plant data'!$A$1:$AB$315,10,0)</f>
        <v>0.13450000000000001</v>
      </c>
      <c r="P440" s="8">
        <f>VLOOKUP($B440,'[1]Plant data'!$A$1:$AB$315,11,0)</f>
        <v>0.16</v>
      </c>
      <c r="Q440" s="8" t="str">
        <f>VLOOKUP($B440,'[1]Plant data'!$A$1:$AB$315,12,0)</f>
        <v>NA</v>
      </c>
      <c r="R440" s="8">
        <f>VLOOKUP($B440,'[1]Plant data'!$A$1:$AB$315,13,0)</f>
        <v>0.02</v>
      </c>
      <c r="S440" s="8">
        <f>VLOOKUP($B440,'[1]Plant data'!$A$1:$AB$315,14,0)</f>
        <v>0.02</v>
      </c>
      <c r="T440" s="11">
        <f>VLOOKUP($B440,'[1]Plant data'!$A$1:$AB$315,15,0)</f>
        <v>1</v>
      </c>
      <c r="U440" s="9">
        <f>VLOOKUP($B440,'[1]Plant data'!$A$1:$AB$315,19,0)</f>
        <v>0.875</v>
      </c>
      <c r="V440" s="8">
        <f>VLOOKUP($B440,'[1]Plant data'!$A$1:$AB$315,20,0)</f>
        <v>0.18420000000000003</v>
      </c>
      <c r="W440" s="8">
        <f>VLOOKUP($B440,'[1]Plant data'!$A$1:$AB$315,21,0)</f>
        <v>9.4499999999999987E-2</v>
      </c>
      <c r="X440" s="8">
        <f>VLOOKUP($B440,'[1]Plant data'!$A$1:$AB$315,22,0)</f>
        <v>2.0899999999999998E-2</v>
      </c>
      <c r="Y440" s="8" t="str">
        <f>VLOOKUP($B440,'[1]Plant data'!$A$1:$AB$315,23,0)</f>
        <v>NA</v>
      </c>
      <c r="Z440" s="8" t="str">
        <f>VLOOKUP($B440,'[1]Plant data'!$A$1:$AB$315,24,0)</f>
        <v>NA</v>
      </c>
      <c r="AA440" s="8" t="str">
        <f>VLOOKUP($B440,'[1]Plant data'!$A$1:$AB$315,25,0)</f>
        <v>NA</v>
      </c>
      <c r="AB440" s="8">
        <f>SUMIF(X440:Y440,"&gt;0.00001")</f>
        <v>2.0899999999999998E-2</v>
      </c>
    </row>
    <row r="441" spans="1:28">
      <c r="A441" s="5" t="s">
        <v>28</v>
      </c>
      <c r="B441" s="6" t="s">
        <v>213</v>
      </c>
      <c r="C441" s="53">
        <v>16</v>
      </c>
      <c r="D441" s="58">
        <v>36</v>
      </c>
      <c r="E441" s="8">
        <f>C441/D441</f>
        <v>0.44444444444444442</v>
      </c>
      <c r="F441" s="56">
        <v>8</v>
      </c>
      <c r="G441" s="9">
        <f>F441/C441</f>
        <v>0.5</v>
      </c>
      <c r="H441" s="23">
        <f t="shared" ref="H441:H446" si="32">E441*G441</f>
        <v>0.22222222222222221</v>
      </c>
      <c r="I441" t="s">
        <v>30</v>
      </c>
      <c r="J441" s="11">
        <v>18</v>
      </c>
      <c r="K441" s="11">
        <v>7.4188405800000004</v>
      </c>
      <c r="L441" t="str">
        <f>VLOOKUP(B441,'[1]Plant data'!$A$1:$AB$315,2,0)</f>
        <v>Fabaceae</v>
      </c>
      <c r="M441" s="9">
        <f>VLOOKUP($B441,'[1]Plant data'!$A$1:$AB$315,6,0)</f>
        <v>15.360000000000001</v>
      </c>
      <c r="N441" s="9">
        <f>VLOOKUP($B441,'[1]Plant data'!$A$1:$AB$315,7,0)</f>
        <v>21.445</v>
      </c>
      <c r="O441" s="8">
        <f>VLOOKUP($B441,'[1]Plant data'!$A$1:$AB$315,10,0)</f>
        <v>0.98</v>
      </c>
      <c r="P441" s="8" t="str">
        <f>VLOOKUP($B441,'[1]Plant data'!$A$1:$AB$315,11,0)</f>
        <v>NA</v>
      </c>
      <c r="Q441" s="8">
        <f>VLOOKUP($B441,'[1]Plant data'!$A$1:$AB$315,12,0)</f>
        <v>0.70500000000000007</v>
      </c>
      <c r="R441" s="8" t="str">
        <f>VLOOKUP($B441,'[1]Plant data'!$A$1:$AB$315,13,0)</f>
        <v>NA</v>
      </c>
      <c r="S441" s="8" t="str">
        <f>VLOOKUP($B441,'[1]Plant data'!$A$1:$AB$315,14,0)</f>
        <v>NA</v>
      </c>
      <c r="T441" s="11">
        <f>VLOOKUP($B441,'[1]Plant data'!$A$1:$AB$315,15,0)</f>
        <v>1.0433333333333332</v>
      </c>
      <c r="U441" s="9">
        <f>VLOOKUP($B441,'[1]Plant data'!$A$1:$AB$315,19,0)</f>
        <v>0.752</v>
      </c>
      <c r="V441" s="8">
        <f>VLOOKUP($B441,'[1]Plant data'!$A$1:$AB$315,20,0)</f>
        <v>0.155</v>
      </c>
      <c r="W441" s="8">
        <f>VLOOKUP($B441,'[1]Plant data'!$A$1:$AB$315,21,0)</f>
        <v>9.3000000000000013E-2</v>
      </c>
      <c r="X441" s="8" t="str">
        <f>VLOOKUP($B441,'[1]Plant data'!$A$1:$AB$315,22,0)</f>
        <v>NA</v>
      </c>
      <c r="Y441" s="8" t="str">
        <f>VLOOKUP($B441,'[1]Plant data'!$A$1:$AB$315,23,0)</f>
        <v>NA</v>
      </c>
      <c r="Z441" s="8" t="str">
        <f>VLOOKUP($B441,'[1]Plant data'!$A$1:$AB$315,24,0)</f>
        <v>NA</v>
      </c>
      <c r="AA441" s="8">
        <f>VLOOKUP($B441,'[1]Plant data'!$A$1:$AB$315,25,0)</f>
        <v>0.70299999999999996</v>
      </c>
      <c r="AB441" s="8" t="s">
        <v>19</v>
      </c>
    </row>
    <row r="442" spans="1:28">
      <c r="A442" s="5" t="s">
        <v>28</v>
      </c>
      <c r="B442" s="32" t="s">
        <v>213</v>
      </c>
      <c r="C442" s="53">
        <v>7</v>
      </c>
      <c r="D442" s="59">
        <v>40</v>
      </c>
      <c r="E442" s="8">
        <f>C442/D442</f>
        <v>0.17499999999999999</v>
      </c>
      <c r="F442" s="54">
        <v>8</v>
      </c>
      <c r="G442" s="9">
        <f>F442/C442</f>
        <v>1.1428571428571428</v>
      </c>
      <c r="H442" s="23">
        <f t="shared" si="32"/>
        <v>0.19999999999999998</v>
      </c>
      <c r="I442" t="s">
        <v>30</v>
      </c>
      <c r="J442" s="11">
        <v>18</v>
      </c>
      <c r="K442" s="11">
        <v>7.4188405800000004</v>
      </c>
      <c r="L442" t="str">
        <f>VLOOKUP(B442,'[1]Plant data'!$A$1:$AB$315,2,0)</f>
        <v>Fabaceae</v>
      </c>
      <c r="M442" s="9">
        <f>VLOOKUP($B442,'[1]Plant data'!$A$1:$AB$315,6,0)</f>
        <v>15.360000000000001</v>
      </c>
      <c r="N442" s="9">
        <f>VLOOKUP($B442,'[1]Plant data'!$A$1:$AB$315,7,0)</f>
        <v>21.445</v>
      </c>
      <c r="O442" s="8">
        <f>VLOOKUP($B442,'[1]Plant data'!$A$1:$AB$315,10,0)</f>
        <v>0.98</v>
      </c>
      <c r="P442" s="8" t="str">
        <f>VLOOKUP($B442,'[1]Plant data'!$A$1:$AB$315,11,0)</f>
        <v>NA</v>
      </c>
      <c r="Q442" s="8">
        <f>VLOOKUP($B442,'[1]Plant data'!$A$1:$AB$315,12,0)</f>
        <v>0.70500000000000007</v>
      </c>
      <c r="R442" s="8" t="str">
        <f>VLOOKUP($B442,'[1]Plant data'!$A$1:$AB$315,13,0)</f>
        <v>NA</v>
      </c>
      <c r="S442" s="8" t="str">
        <f>VLOOKUP($B442,'[1]Plant data'!$A$1:$AB$315,14,0)</f>
        <v>NA</v>
      </c>
      <c r="T442" s="11">
        <f>VLOOKUP($B442,'[1]Plant data'!$A$1:$AB$315,15,0)</f>
        <v>1.0433333333333332</v>
      </c>
      <c r="U442" s="9">
        <f>VLOOKUP($B442,'[1]Plant data'!$A$1:$AB$315,19,0)</f>
        <v>0.752</v>
      </c>
      <c r="V442" s="8">
        <f>VLOOKUP($B442,'[1]Plant data'!$A$1:$AB$315,20,0)</f>
        <v>0.155</v>
      </c>
      <c r="W442" s="8">
        <f>VLOOKUP($B442,'[1]Plant data'!$A$1:$AB$315,21,0)</f>
        <v>9.3000000000000013E-2</v>
      </c>
      <c r="X442" s="8" t="str">
        <f>VLOOKUP($B442,'[1]Plant data'!$A$1:$AB$315,22,0)</f>
        <v>NA</v>
      </c>
      <c r="Y442" s="8" t="str">
        <f>VLOOKUP($B442,'[1]Plant data'!$A$1:$AB$315,23,0)</f>
        <v>NA</v>
      </c>
      <c r="Z442" s="8" t="str">
        <f>VLOOKUP($B442,'[1]Plant data'!$A$1:$AB$315,24,0)</f>
        <v>NA</v>
      </c>
      <c r="AA442" s="8">
        <f>VLOOKUP($B442,'[1]Plant data'!$A$1:$AB$315,25,0)</f>
        <v>0.70299999999999996</v>
      </c>
      <c r="AB442" s="8" t="s">
        <v>19</v>
      </c>
    </row>
    <row r="443" spans="1:28">
      <c r="A443" s="5" t="s">
        <v>43</v>
      </c>
      <c r="B443" s="32" t="s">
        <v>213</v>
      </c>
      <c r="C443" s="53">
        <v>32</v>
      </c>
      <c r="D443" s="59">
        <v>40</v>
      </c>
      <c r="E443" s="8">
        <f>C443/40</f>
        <v>0.8</v>
      </c>
      <c r="F443" s="54">
        <v>54</v>
      </c>
      <c r="G443" s="9">
        <f>F443/C443</f>
        <v>1.6875</v>
      </c>
      <c r="H443" s="23">
        <f t="shared" si="32"/>
        <v>1.35</v>
      </c>
      <c r="I443" t="s">
        <v>30</v>
      </c>
      <c r="J443" s="11">
        <v>32.5</v>
      </c>
      <c r="K443" s="11">
        <v>8.9205555560000001</v>
      </c>
      <c r="L443" t="str">
        <f>VLOOKUP(B443,'[1]Plant data'!$A$1:$AB$315,2,0)</f>
        <v>Fabaceae</v>
      </c>
      <c r="M443" s="9">
        <f>VLOOKUP($B443,'[1]Plant data'!$A$1:$AB$315,6,0)</f>
        <v>15.360000000000001</v>
      </c>
      <c r="N443" s="9">
        <f>VLOOKUP($B443,'[1]Plant data'!$A$1:$AB$315,7,0)</f>
        <v>21.445</v>
      </c>
      <c r="O443" s="8">
        <f>VLOOKUP($B443,'[1]Plant data'!$A$1:$AB$315,10,0)</f>
        <v>0.98</v>
      </c>
      <c r="P443" s="8" t="str">
        <f>VLOOKUP($B443,'[1]Plant data'!$A$1:$AB$315,11,0)</f>
        <v>NA</v>
      </c>
      <c r="Q443" s="8">
        <f>VLOOKUP($B443,'[1]Plant data'!$A$1:$AB$315,12,0)</f>
        <v>0.70500000000000007</v>
      </c>
      <c r="R443" s="8" t="str">
        <f>VLOOKUP($B443,'[1]Plant data'!$A$1:$AB$315,13,0)</f>
        <v>NA</v>
      </c>
      <c r="S443" s="8" t="str">
        <f>VLOOKUP($B443,'[1]Plant data'!$A$1:$AB$315,14,0)</f>
        <v>NA</v>
      </c>
      <c r="T443" s="11">
        <f>VLOOKUP($B443,'[1]Plant data'!$A$1:$AB$315,15,0)</f>
        <v>1.0433333333333332</v>
      </c>
      <c r="U443" s="9">
        <f>VLOOKUP($B443,'[1]Plant data'!$A$1:$AB$315,19,0)</f>
        <v>0.752</v>
      </c>
      <c r="V443" s="8">
        <f>VLOOKUP($B443,'[1]Plant data'!$A$1:$AB$315,20,0)</f>
        <v>0.155</v>
      </c>
      <c r="W443" s="8">
        <f>VLOOKUP($B443,'[1]Plant data'!$A$1:$AB$315,21,0)</f>
        <v>9.3000000000000013E-2</v>
      </c>
      <c r="X443" s="8" t="str">
        <f>VLOOKUP($B443,'[1]Plant data'!$A$1:$AB$315,22,0)</f>
        <v>NA</v>
      </c>
      <c r="Y443" s="8" t="str">
        <f>VLOOKUP($B443,'[1]Plant data'!$A$1:$AB$315,23,0)</f>
        <v>NA</v>
      </c>
      <c r="Z443" s="8" t="str">
        <f>VLOOKUP($B443,'[1]Plant data'!$A$1:$AB$315,24,0)</f>
        <v>NA</v>
      </c>
      <c r="AA443" s="8">
        <f>VLOOKUP($B443,'[1]Plant data'!$A$1:$AB$315,25,0)</f>
        <v>0.70299999999999996</v>
      </c>
      <c r="AB443" s="8" t="s">
        <v>19</v>
      </c>
    </row>
    <row r="444" spans="1:28">
      <c r="A444" s="5" t="s">
        <v>46</v>
      </c>
      <c r="B444" s="33" t="s">
        <v>213</v>
      </c>
      <c r="C444" s="53">
        <v>4</v>
      </c>
      <c r="D444" s="58">
        <v>36</v>
      </c>
      <c r="E444" s="8">
        <f>C444/36</f>
        <v>0.1111111111111111</v>
      </c>
      <c r="F444" s="54">
        <v>1</v>
      </c>
      <c r="G444" s="9">
        <f>F444/C444</f>
        <v>0.25</v>
      </c>
      <c r="H444" s="23">
        <f t="shared" si="32"/>
        <v>2.7777777777777776E-2</v>
      </c>
      <c r="I444" t="s">
        <v>47</v>
      </c>
      <c r="J444" s="11">
        <v>54</v>
      </c>
      <c r="K444" s="11">
        <v>11.14875</v>
      </c>
      <c r="L444" t="str">
        <f>VLOOKUP(B444,'[1]Plant data'!$A$1:$AB$315,2,0)</f>
        <v>Fabaceae</v>
      </c>
      <c r="M444" s="9">
        <f>VLOOKUP($B444,'[1]Plant data'!$A$1:$AB$315,6,0)</f>
        <v>15.360000000000001</v>
      </c>
      <c r="N444" s="9">
        <f>VLOOKUP($B444,'[1]Plant data'!$A$1:$AB$315,7,0)</f>
        <v>21.445</v>
      </c>
      <c r="O444" s="8">
        <f>VLOOKUP($B444,'[1]Plant data'!$A$1:$AB$315,10,0)</f>
        <v>0.98</v>
      </c>
      <c r="P444" s="8" t="str">
        <f>VLOOKUP($B444,'[1]Plant data'!$A$1:$AB$315,11,0)</f>
        <v>NA</v>
      </c>
      <c r="Q444" s="8">
        <f>VLOOKUP($B444,'[1]Plant data'!$A$1:$AB$315,12,0)</f>
        <v>0.70500000000000007</v>
      </c>
      <c r="R444" s="8" t="str">
        <f>VLOOKUP($B444,'[1]Plant data'!$A$1:$AB$315,13,0)</f>
        <v>NA</v>
      </c>
      <c r="S444" s="8" t="str">
        <f>VLOOKUP($B444,'[1]Plant data'!$A$1:$AB$315,14,0)</f>
        <v>NA</v>
      </c>
      <c r="T444" s="11">
        <f>VLOOKUP($B444,'[1]Plant data'!$A$1:$AB$315,15,0)</f>
        <v>1.0433333333333332</v>
      </c>
      <c r="U444" s="9">
        <f>VLOOKUP($B444,'[1]Plant data'!$A$1:$AB$315,19,0)</f>
        <v>0.752</v>
      </c>
      <c r="V444" s="8">
        <f>VLOOKUP($B444,'[1]Plant data'!$A$1:$AB$315,20,0)</f>
        <v>0.155</v>
      </c>
      <c r="W444" s="8">
        <f>VLOOKUP($B444,'[1]Plant data'!$A$1:$AB$315,21,0)</f>
        <v>9.3000000000000013E-2</v>
      </c>
      <c r="X444" s="8" t="str">
        <f>VLOOKUP($B444,'[1]Plant data'!$A$1:$AB$315,22,0)</f>
        <v>NA</v>
      </c>
      <c r="Y444" s="8" t="str">
        <f>VLOOKUP($B444,'[1]Plant data'!$A$1:$AB$315,23,0)</f>
        <v>NA</v>
      </c>
      <c r="Z444" s="8" t="str">
        <f>VLOOKUP($B444,'[1]Plant data'!$A$1:$AB$315,24,0)</f>
        <v>NA</v>
      </c>
      <c r="AA444" s="8">
        <f>VLOOKUP($B444,'[1]Plant data'!$A$1:$AB$315,25,0)</f>
        <v>0.70299999999999996</v>
      </c>
      <c r="AB444" s="8" t="s">
        <v>19</v>
      </c>
    </row>
    <row r="445" spans="1:28">
      <c r="A445" s="5" t="s">
        <v>50</v>
      </c>
      <c r="B445" s="32" t="s">
        <v>213</v>
      </c>
      <c r="C445" s="53">
        <v>8</v>
      </c>
      <c r="D445" s="59">
        <v>40</v>
      </c>
      <c r="E445" s="8">
        <f>C445/40</f>
        <v>0.2</v>
      </c>
      <c r="F445" s="54">
        <v>16</v>
      </c>
      <c r="G445" s="9">
        <f>F445/C445</f>
        <v>2</v>
      </c>
      <c r="H445" s="23">
        <f t="shared" si="32"/>
        <v>0.4</v>
      </c>
      <c r="I445" t="s">
        <v>47</v>
      </c>
      <c r="J445" s="11">
        <v>69.5</v>
      </c>
      <c r="K445" s="11">
        <v>13.253214290000001</v>
      </c>
      <c r="L445" t="str">
        <f>VLOOKUP(B445,'[1]Plant data'!$A$1:$AB$315,2,0)</f>
        <v>Fabaceae</v>
      </c>
      <c r="M445" s="9">
        <f>VLOOKUP($B445,'[1]Plant data'!$A$1:$AB$315,6,0)</f>
        <v>15.360000000000001</v>
      </c>
      <c r="N445" s="9">
        <f>VLOOKUP($B445,'[1]Plant data'!$A$1:$AB$315,7,0)</f>
        <v>21.445</v>
      </c>
      <c r="O445" s="8">
        <f>VLOOKUP($B445,'[1]Plant data'!$A$1:$AB$315,10,0)</f>
        <v>0.98</v>
      </c>
      <c r="P445" s="8" t="str">
        <f>VLOOKUP($B445,'[1]Plant data'!$A$1:$AB$315,11,0)</f>
        <v>NA</v>
      </c>
      <c r="Q445" s="8">
        <f>VLOOKUP($B445,'[1]Plant data'!$A$1:$AB$315,12,0)</f>
        <v>0.70500000000000007</v>
      </c>
      <c r="R445" s="8" t="str">
        <f>VLOOKUP($B445,'[1]Plant data'!$A$1:$AB$315,13,0)</f>
        <v>NA</v>
      </c>
      <c r="S445" s="8" t="str">
        <f>VLOOKUP($B445,'[1]Plant data'!$A$1:$AB$315,14,0)</f>
        <v>NA</v>
      </c>
      <c r="T445" s="11">
        <f>VLOOKUP($B445,'[1]Plant data'!$A$1:$AB$315,15,0)</f>
        <v>1.0433333333333332</v>
      </c>
      <c r="U445" s="9">
        <f>VLOOKUP($B445,'[1]Plant data'!$A$1:$AB$315,19,0)</f>
        <v>0.752</v>
      </c>
      <c r="V445" s="8">
        <f>VLOOKUP($B445,'[1]Plant data'!$A$1:$AB$315,20,0)</f>
        <v>0.155</v>
      </c>
      <c r="W445" s="8">
        <f>VLOOKUP($B445,'[1]Plant data'!$A$1:$AB$315,21,0)</f>
        <v>9.3000000000000013E-2</v>
      </c>
      <c r="X445" s="8" t="str">
        <f>VLOOKUP($B445,'[1]Plant data'!$A$1:$AB$315,22,0)</f>
        <v>NA</v>
      </c>
      <c r="Y445" s="8" t="str">
        <f>VLOOKUP($B445,'[1]Plant data'!$A$1:$AB$315,23,0)</f>
        <v>NA</v>
      </c>
      <c r="Z445" s="8" t="str">
        <f>VLOOKUP($B445,'[1]Plant data'!$A$1:$AB$315,24,0)</f>
        <v>NA</v>
      </c>
      <c r="AA445" s="8">
        <f>VLOOKUP($B445,'[1]Plant data'!$A$1:$AB$315,25,0)</f>
        <v>0.70299999999999996</v>
      </c>
      <c r="AB445" s="8" t="s">
        <v>19</v>
      </c>
    </row>
    <row r="446" spans="1:28">
      <c r="A446" s="5" t="s">
        <v>50</v>
      </c>
      <c r="B446" s="32" t="s">
        <v>213</v>
      </c>
      <c r="C446">
        <v>1</v>
      </c>
      <c r="D446">
        <v>41.25</v>
      </c>
      <c r="E446" s="8">
        <f>C446/D446</f>
        <v>2.4242424242424242E-2</v>
      </c>
      <c r="F446" s="54" t="s">
        <v>19</v>
      </c>
      <c r="G446" s="9">
        <v>4</v>
      </c>
      <c r="H446" s="23">
        <f t="shared" si="32"/>
        <v>9.696969696969697E-2</v>
      </c>
      <c r="I446" t="s">
        <v>47</v>
      </c>
      <c r="J446" s="11">
        <v>69.5</v>
      </c>
      <c r="K446" s="11">
        <v>13.253214290000001</v>
      </c>
      <c r="L446" t="str">
        <f>VLOOKUP(B446,'[1]Plant data'!$A$1:$AB$315,2,0)</f>
        <v>Fabaceae</v>
      </c>
      <c r="M446" s="9">
        <f>VLOOKUP($B446,'[1]Plant data'!$A$1:$AB$315,6,0)</f>
        <v>15.360000000000001</v>
      </c>
      <c r="N446" s="9">
        <f>VLOOKUP($B446,'[1]Plant data'!$A$1:$AB$315,7,0)</f>
        <v>21.445</v>
      </c>
      <c r="O446" s="8">
        <f>VLOOKUP($B446,'[1]Plant data'!$A$1:$AB$315,10,0)</f>
        <v>0.98</v>
      </c>
      <c r="P446" s="8" t="str">
        <f>VLOOKUP($B446,'[1]Plant data'!$A$1:$AB$315,11,0)</f>
        <v>NA</v>
      </c>
      <c r="Q446" s="8">
        <f>VLOOKUP($B446,'[1]Plant data'!$A$1:$AB$315,12,0)</f>
        <v>0.70500000000000007</v>
      </c>
      <c r="R446" s="8" t="str">
        <f>VLOOKUP($B446,'[1]Plant data'!$A$1:$AB$315,13,0)</f>
        <v>NA</v>
      </c>
      <c r="S446" s="8" t="str">
        <f>VLOOKUP($B446,'[1]Plant data'!$A$1:$AB$315,14,0)</f>
        <v>NA</v>
      </c>
      <c r="T446" s="11">
        <f>VLOOKUP($B446,'[1]Plant data'!$A$1:$AB$315,15,0)</f>
        <v>1.0433333333333332</v>
      </c>
      <c r="U446" s="9">
        <f>VLOOKUP($B446,'[1]Plant data'!$A$1:$AB$315,19,0)</f>
        <v>0.752</v>
      </c>
      <c r="V446" s="8">
        <f>VLOOKUP($B446,'[1]Plant data'!$A$1:$AB$315,20,0)</f>
        <v>0.155</v>
      </c>
      <c r="W446" s="8">
        <f>VLOOKUP($B446,'[1]Plant data'!$A$1:$AB$315,21,0)</f>
        <v>9.3000000000000013E-2</v>
      </c>
      <c r="X446" s="8" t="str">
        <f>VLOOKUP($B446,'[1]Plant data'!$A$1:$AB$315,22,0)</f>
        <v>NA</v>
      </c>
      <c r="Y446" s="8" t="str">
        <f>VLOOKUP($B446,'[1]Plant data'!$A$1:$AB$315,23,0)</f>
        <v>NA</v>
      </c>
      <c r="Z446" s="8" t="str">
        <f>VLOOKUP($B446,'[1]Plant data'!$A$1:$AB$315,24,0)</f>
        <v>NA</v>
      </c>
      <c r="AA446" s="8">
        <f>VLOOKUP($B446,'[1]Plant data'!$A$1:$AB$315,25,0)</f>
        <v>0.70299999999999996</v>
      </c>
      <c r="AB446" s="8" t="s">
        <v>19</v>
      </c>
    </row>
    <row r="447" spans="1:28">
      <c r="A447" s="5" t="s">
        <v>32</v>
      </c>
      <c r="B447" s="33" t="s">
        <v>33</v>
      </c>
      <c r="C447" s="53">
        <v>4</v>
      </c>
      <c r="D447" s="58">
        <v>10.6</v>
      </c>
      <c r="E447" s="8">
        <f>C447/D447</f>
        <v>0.37735849056603776</v>
      </c>
      <c r="F447" s="54" t="s">
        <v>19</v>
      </c>
      <c r="G447" s="9" t="s">
        <v>19</v>
      </c>
      <c r="H447" s="23" t="s">
        <v>19</v>
      </c>
      <c r="I447" t="s">
        <v>30</v>
      </c>
      <c r="J447" s="11">
        <v>18</v>
      </c>
      <c r="K447" s="11">
        <v>5.1684999999999999</v>
      </c>
      <c r="L447" t="str">
        <f>VLOOKUP(B447,'[1]Plant data'!$A$1:$AB$315,2,0)</f>
        <v>Clusiaceae</v>
      </c>
      <c r="M447" s="9">
        <f>VLOOKUP($B447,'[1]Plant data'!$A$1:$AB$315,6,0)</f>
        <v>5.4749999999999996</v>
      </c>
      <c r="N447" s="9">
        <f>VLOOKUP($B447,'[1]Plant data'!$A$1:$AB$315,7,0)</f>
        <v>9.8425000000000011</v>
      </c>
      <c r="O447" s="8">
        <f>VLOOKUP($B447,'[1]Plant data'!$A$1:$AB$315,10,0)</f>
        <v>0.25719999999999998</v>
      </c>
      <c r="P447" s="8">
        <f>VLOOKUP($B447,'[1]Plant data'!$A$1:$AB$315,11,0)</f>
        <v>0.33</v>
      </c>
      <c r="Q447" s="8">
        <f>VLOOKUP($B447,'[1]Plant data'!$A$1:$AB$315,12,0)</f>
        <v>5.1000000000000004E-3</v>
      </c>
      <c r="R447" s="8">
        <f>VLOOKUP($B447,'[1]Plant data'!$A$1:$AB$315,13,0)</f>
        <v>5.1799999999999999E-2</v>
      </c>
      <c r="S447" s="8">
        <f>VLOOKUP($B447,'[1]Plant data'!$A$1:$AB$315,14,0)</f>
        <v>0.14899999999999999</v>
      </c>
      <c r="T447" s="11">
        <f>VLOOKUP($B447,'[1]Plant data'!$A$1:$AB$315,15,0)</f>
        <v>19.933333333333334</v>
      </c>
      <c r="U447" s="9" t="str">
        <f>VLOOKUP($B447,'[1]Plant data'!$A$1:$AB$315,19,0)</f>
        <v>NA</v>
      </c>
      <c r="V447" s="8">
        <f>VLOOKUP($B447,'[1]Plant data'!$A$1:$AB$315,20,0)</f>
        <v>0.74609772374074845</v>
      </c>
      <c r="W447" s="8">
        <f>VLOOKUP($B447,'[1]Plant data'!$A$1:$AB$315,21,0)</f>
        <v>5.5761000000000005E-2</v>
      </c>
      <c r="X447" s="8">
        <f>VLOOKUP($B447,'[1]Plant data'!$A$1:$AB$315,22,0)</f>
        <v>1.7926766066134539E-2</v>
      </c>
      <c r="Y447" s="8">
        <f>VLOOKUP($B447,'[1]Plant data'!$A$1:$AB$315,23,0)</f>
        <v>3.0705513460981874E-2</v>
      </c>
      <c r="Z447" s="8" t="str">
        <f>VLOOKUP($B447,'[1]Plant data'!$A$1:$AB$315,24,0)</f>
        <v>NA</v>
      </c>
      <c r="AA447" s="8">
        <f>VLOOKUP($B447,'[1]Plant data'!$A$1:$AB$315,25,0)</f>
        <v>9.1700000000000004E-2</v>
      </c>
      <c r="AB447" s="8">
        <f>SUMIF(X447:Y447,"&gt;0.00001")</f>
        <v>4.8632279527116413E-2</v>
      </c>
    </row>
    <row r="448" spans="1:28">
      <c r="A448" s="5" t="s">
        <v>62</v>
      </c>
      <c r="B448" s="33" t="s">
        <v>33</v>
      </c>
      <c r="C448" s="53">
        <v>1</v>
      </c>
      <c r="D448" s="59">
        <v>17.329999999999998</v>
      </c>
      <c r="E448" s="8">
        <f>C448/17.33</f>
        <v>5.7703404500865557E-2</v>
      </c>
      <c r="F448" s="54" t="s">
        <v>19</v>
      </c>
      <c r="G448" s="9" t="s">
        <v>19</v>
      </c>
      <c r="H448" s="23" t="s">
        <v>19</v>
      </c>
      <c r="I448" t="s">
        <v>30</v>
      </c>
      <c r="J448" s="11">
        <v>18.7</v>
      </c>
      <c r="K448" s="11">
        <v>6.1185714290000002</v>
      </c>
      <c r="L448" t="str">
        <f>VLOOKUP(B448,'[1]Plant data'!$A$1:$AB$315,2,0)</f>
        <v>Clusiaceae</v>
      </c>
      <c r="M448" s="9">
        <f>VLOOKUP($B448,'[1]Plant data'!$A$1:$AB$315,6,0)</f>
        <v>5.4749999999999996</v>
      </c>
      <c r="N448" s="9">
        <f>VLOOKUP($B448,'[1]Plant data'!$A$1:$AB$315,7,0)</f>
        <v>9.8425000000000011</v>
      </c>
      <c r="O448" s="8">
        <f>VLOOKUP($B448,'[1]Plant data'!$A$1:$AB$315,10,0)</f>
        <v>0.25719999999999998</v>
      </c>
      <c r="P448" s="8">
        <f>VLOOKUP($B448,'[1]Plant data'!$A$1:$AB$315,11,0)</f>
        <v>0.33</v>
      </c>
      <c r="Q448" s="8">
        <f>VLOOKUP($B448,'[1]Plant data'!$A$1:$AB$315,12,0)</f>
        <v>5.1000000000000004E-3</v>
      </c>
      <c r="R448" s="8">
        <f>VLOOKUP($B448,'[1]Plant data'!$A$1:$AB$315,13,0)</f>
        <v>5.1799999999999999E-2</v>
      </c>
      <c r="S448" s="8">
        <f>VLOOKUP($B448,'[1]Plant data'!$A$1:$AB$315,14,0)</f>
        <v>0.14899999999999999</v>
      </c>
      <c r="T448" s="11">
        <f>VLOOKUP($B448,'[1]Plant data'!$A$1:$AB$315,15,0)</f>
        <v>19.933333333333334</v>
      </c>
      <c r="U448" s="9" t="str">
        <f>VLOOKUP($B448,'[1]Plant data'!$A$1:$AB$315,19,0)</f>
        <v>NA</v>
      </c>
      <c r="V448" s="8">
        <f>VLOOKUP($B448,'[1]Plant data'!$A$1:$AB$315,20,0)</f>
        <v>0.74609772374074845</v>
      </c>
      <c r="W448" s="8">
        <f>VLOOKUP($B448,'[1]Plant data'!$A$1:$AB$315,21,0)</f>
        <v>5.5761000000000005E-2</v>
      </c>
      <c r="X448" s="8">
        <f>VLOOKUP($B448,'[1]Plant data'!$A$1:$AB$315,22,0)</f>
        <v>1.7926766066134539E-2</v>
      </c>
      <c r="Y448" s="8">
        <f>VLOOKUP($B448,'[1]Plant data'!$A$1:$AB$315,23,0)</f>
        <v>3.0705513460981874E-2</v>
      </c>
      <c r="Z448" s="8" t="str">
        <f>VLOOKUP($B448,'[1]Plant data'!$A$1:$AB$315,24,0)</f>
        <v>NA</v>
      </c>
      <c r="AA448" s="8">
        <f>VLOOKUP($B448,'[1]Plant data'!$A$1:$AB$315,25,0)</f>
        <v>9.1700000000000004E-2</v>
      </c>
      <c r="AB448" s="8">
        <f>SUMIF(X448:Y448,"&gt;0.00001")</f>
        <v>4.8632279527116413E-2</v>
      </c>
    </row>
    <row r="449" spans="1:28">
      <c r="A449" s="5" t="s">
        <v>110</v>
      </c>
      <c r="B449" s="34" t="s">
        <v>44</v>
      </c>
      <c r="C449" s="53">
        <v>3</v>
      </c>
      <c r="D449" s="11" t="s">
        <v>19</v>
      </c>
      <c r="E449" s="8" t="s">
        <v>19</v>
      </c>
      <c r="F449" s="54" t="s">
        <v>19</v>
      </c>
      <c r="G449" s="9" t="s">
        <v>19</v>
      </c>
      <c r="H449" s="23" t="s">
        <v>19</v>
      </c>
      <c r="I449" t="s">
        <v>101</v>
      </c>
      <c r="J449" s="11">
        <v>1250</v>
      </c>
      <c r="K449" s="11">
        <v>19.114999999999998</v>
      </c>
      <c r="L449" t="str">
        <f>VLOOKUP(B449,'[1]Plant data'!$A$1:$AB$315,2,0)</f>
        <v>Verbenaceae</v>
      </c>
      <c r="M449" s="9">
        <f>VLOOKUP($B449,'[1]Plant data'!$A$1:$AB$315,6,0)</f>
        <v>10.700000000000001</v>
      </c>
      <c r="N449" s="9">
        <f>VLOOKUP($B449,'[1]Plant data'!$A$1:$AB$315,7,0)</f>
        <v>12.3</v>
      </c>
      <c r="O449" s="8">
        <f>VLOOKUP($B449,'[1]Plant data'!$A$1:$AB$315,10,0)</f>
        <v>1.5999999999999999</v>
      </c>
      <c r="P449" s="8">
        <f>VLOOKUP($B449,'[1]Plant data'!$A$1:$AB$315,11,0)</f>
        <v>0.7</v>
      </c>
      <c r="Q449" s="8">
        <f>VLOOKUP($B449,'[1]Plant data'!$A$1:$AB$315,12,0)</f>
        <v>1.05</v>
      </c>
      <c r="R449" s="8" t="str">
        <f>VLOOKUP($B449,'[1]Plant data'!$A$1:$AB$315,13,0)</f>
        <v>NA</v>
      </c>
      <c r="S449" s="8" t="str">
        <f>VLOOKUP($B449,'[1]Plant data'!$A$1:$AB$315,14,0)</f>
        <v>NA</v>
      </c>
      <c r="T449" s="11">
        <f>VLOOKUP($B449,'[1]Plant data'!$A$1:$AB$315,15,0)</f>
        <v>2</v>
      </c>
      <c r="U449" s="9">
        <f>VLOOKUP($B449,'[1]Plant data'!$A$1:$AB$315,19,0)</f>
        <v>0.81400000000000006</v>
      </c>
      <c r="V449" s="8">
        <f>VLOOKUP($B449,'[1]Plant data'!$A$1:$AB$315,20,0)</f>
        <v>6.3E-2</v>
      </c>
      <c r="W449" s="8">
        <f>VLOOKUP($B449,'[1]Plant data'!$A$1:$AB$315,21,0)</f>
        <v>6.8000000000000005E-2</v>
      </c>
      <c r="X449" s="8" t="str">
        <f>VLOOKUP($B449,'[1]Plant data'!$A$1:$AB$315,22,0)</f>
        <v>NA</v>
      </c>
      <c r="Y449" s="8" t="str">
        <f>VLOOKUP($B449,'[1]Plant data'!$A$1:$AB$315,23,0)</f>
        <v>NA</v>
      </c>
      <c r="Z449" s="8" t="str">
        <f>VLOOKUP($B449,'[1]Plant data'!$A$1:$AB$315,24,0)</f>
        <v>NA</v>
      </c>
      <c r="AA449" s="8">
        <f>VLOOKUP($B449,'[1]Plant data'!$A$1:$AB$315,25,0)</f>
        <v>0.82700000000000007</v>
      </c>
      <c r="AB449" s="8" t="s">
        <v>19</v>
      </c>
    </row>
    <row r="450" spans="1:28">
      <c r="A450" s="5" t="s">
        <v>70</v>
      </c>
      <c r="B450" s="33" t="s">
        <v>44</v>
      </c>
      <c r="C450" s="53">
        <v>1</v>
      </c>
      <c r="D450" s="58">
        <v>15</v>
      </c>
      <c r="E450" s="23">
        <f>(C450/15)*3</f>
        <v>0.2</v>
      </c>
      <c r="F450" s="54" t="s">
        <v>19</v>
      </c>
      <c r="G450" s="9">
        <v>1</v>
      </c>
      <c r="H450" s="23">
        <f t="shared" ref="H450:H456" si="33">E450*G450</f>
        <v>0.2</v>
      </c>
      <c r="I450" t="s">
        <v>23</v>
      </c>
      <c r="J450" s="11">
        <v>15</v>
      </c>
      <c r="K450" s="11">
        <v>6.9235714289999999</v>
      </c>
      <c r="L450" t="str">
        <f>VLOOKUP(B450,'[1]Plant data'!$A$1:$AB$315,2,0)</f>
        <v>Verbenaceae</v>
      </c>
      <c r="M450" s="9">
        <f>VLOOKUP($B450,'[1]Plant data'!$A$1:$AB$315,6,0)</f>
        <v>10.700000000000001</v>
      </c>
      <c r="N450" s="9">
        <f>VLOOKUP($B450,'[1]Plant data'!$A$1:$AB$315,7,0)</f>
        <v>12.3</v>
      </c>
      <c r="O450" s="8">
        <f>VLOOKUP($B450,'[1]Plant data'!$A$1:$AB$315,10,0)</f>
        <v>1.5999999999999999</v>
      </c>
      <c r="P450" s="8">
        <f>VLOOKUP($B450,'[1]Plant data'!$A$1:$AB$315,11,0)</f>
        <v>0.7</v>
      </c>
      <c r="Q450" s="8">
        <f>VLOOKUP($B450,'[1]Plant data'!$A$1:$AB$315,12,0)</f>
        <v>1.05</v>
      </c>
      <c r="R450" s="8" t="str">
        <f>VLOOKUP($B450,'[1]Plant data'!$A$1:$AB$315,13,0)</f>
        <v>NA</v>
      </c>
      <c r="S450" s="8" t="str">
        <f>VLOOKUP($B450,'[1]Plant data'!$A$1:$AB$315,14,0)</f>
        <v>NA</v>
      </c>
      <c r="T450" s="11">
        <f>VLOOKUP($B450,'[1]Plant data'!$A$1:$AB$315,15,0)</f>
        <v>2</v>
      </c>
      <c r="U450" s="9">
        <f>VLOOKUP($B450,'[1]Plant data'!$A$1:$AB$315,19,0)</f>
        <v>0.81400000000000006</v>
      </c>
      <c r="V450" s="8">
        <f>VLOOKUP($B450,'[1]Plant data'!$A$1:$AB$315,20,0)</f>
        <v>6.3E-2</v>
      </c>
      <c r="W450" s="8">
        <f>VLOOKUP($B450,'[1]Plant data'!$A$1:$AB$315,21,0)</f>
        <v>6.8000000000000005E-2</v>
      </c>
      <c r="X450" s="8" t="str">
        <f>VLOOKUP($B450,'[1]Plant data'!$A$1:$AB$315,22,0)</f>
        <v>NA</v>
      </c>
      <c r="Y450" s="8" t="str">
        <f>VLOOKUP($B450,'[1]Plant data'!$A$1:$AB$315,23,0)</f>
        <v>NA</v>
      </c>
      <c r="Z450" s="8" t="str">
        <f>VLOOKUP($B450,'[1]Plant data'!$A$1:$AB$315,24,0)</f>
        <v>NA</v>
      </c>
      <c r="AA450" s="8">
        <f>VLOOKUP($B450,'[1]Plant data'!$A$1:$AB$315,25,0)</f>
        <v>0.82700000000000007</v>
      </c>
      <c r="AB450" s="8" t="s">
        <v>19</v>
      </c>
    </row>
    <row r="451" spans="1:28">
      <c r="A451" s="5" t="s">
        <v>43</v>
      </c>
      <c r="B451" s="32" t="s">
        <v>44</v>
      </c>
      <c r="C451" s="53">
        <v>3</v>
      </c>
      <c r="D451" s="58">
        <v>15</v>
      </c>
      <c r="E451" s="23">
        <f>(C451/15)*5</f>
        <v>1</v>
      </c>
      <c r="F451" s="54" t="s">
        <v>19</v>
      </c>
      <c r="G451" s="9">
        <v>1.5</v>
      </c>
      <c r="H451" s="23">
        <f t="shared" si="33"/>
        <v>1.5</v>
      </c>
      <c r="I451" t="s">
        <v>30</v>
      </c>
      <c r="J451" s="11">
        <v>32.5</v>
      </c>
      <c r="K451" s="11">
        <v>8.9205555560000001</v>
      </c>
      <c r="L451" t="str">
        <f>VLOOKUP(B451,'[1]Plant data'!$A$1:$AB$315,2,0)</f>
        <v>Verbenaceae</v>
      </c>
      <c r="M451" s="9">
        <f>VLOOKUP($B451,'[1]Plant data'!$A$1:$AB$315,6,0)</f>
        <v>10.700000000000001</v>
      </c>
      <c r="N451" s="9">
        <f>VLOOKUP($B451,'[1]Plant data'!$A$1:$AB$315,7,0)</f>
        <v>12.3</v>
      </c>
      <c r="O451" s="8">
        <f>VLOOKUP($B451,'[1]Plant data'!$A$1:$AB$315,10,0)</f>
        <v>1.5999999999999999</v>
      </c>
      <c r="P451" s="8">
        <f>VLOOKUP($B451,'[1]Plant data'!$A$1:$AB$315,11,0)</f>
        <v>0.7</v>
      </c>
      <c r="Q451" s="8">
        <f>VLOOKUP($B451,'[1]Plant data'!$A$1:$AB$315,12,0)</f>
        <v>1.05</v>
      </c>
      <c r="R451" s="8" t="str">
        <f>VLOOKUP($B451,'[1]Plant data'!$A$1:$AB$315,13,0)</f>
        <v>NA</v>
      </c>
      <c r="S451" s="8" t="str">
        <f>VLOOKUP($B451,'[1]Plant data'!$A$1:$AB$315,14,0)</f>
        <v>NA</v>
      </c>
      <c r="T451" s="11">
        <f>VLOOKUP($B451,'[1]Plant data'!$A$1:$AB$315,15,0)</f>
        <v>2</v>
      </c>
      <c r="U451" s="9">
        <f>VLOOKUP($B451,'[1]Plant data'!$A$1:$AB$315,19,0)</f>
        <v>0.81400000000000006</v>
      </c>
      <c r="V451" s="8">
        <f>VLOOKUP($B451,'[1]Plant data'!$A$1:$AB$315,20,0)</f>
        <v>6.3E-2</v>
      </c>
      <c r="W451" s="8">
        <f>VLOOKUP($B451,'[1]Plant data'!$A$1:$AB$315,21,0)</f>
        <v>6.8000000000000005E-2</v>
      </c>
      <c r="X451" s="8" t="str">
        <f>VLOOKUP($B451,'[1]Plant data'!$A$1:$AB$315,22,0)</f>
        <v>NA</v>
      </c>
      <c r="Y451" s="8" t="str">
        <f>VLOOKUP($B451,'[1]Plant data'!$A$1:$AB$315,23,0)</f>
        <v>NA</v>
      </c>
      <c r="Z451" s="8" t="str">
        <f>VLOOKUP($B451,'[1]Plant data'!$A$1:$AB$315,24,0)</f>
        <v>NA</v>
      </c>
      <c r="AA451" s="8">
        <f>VLOOKUP($B451,'[1]Plant data'!$A$1:$AB$315,25,0)</f>
        <v>0.82700000000000007</v>
      </c>
      <c r="AB451" s="8" t="s">
        <v>19</v>
      </c>
    </row>
    <row r="452" spans="1:28">
      <c r="A452" s="5" t="s">
        <v>43</v>
      </c>
      <c r="B452" s="33" t="s">
        <v>44</v>
      </c>
      <c r="C452" s="53">
        <v>11</v>
      </c>
      <c r="D452" s="58">
        <v>18</v>
      </c>
      <c r="E452" s="8">
        <f>C452/D452</f>
        <v>0.61111111111111116</v>
      </c>
      <c r="F452" s="54" t="s">
        <v>19</v>
      </c>
      <c r="G452" s="41">
        <v>1.0357142857142856</v>
      </c>
      <c r="H452" s="23">
        <f t="shared" si="33"/>
        <v>0.63293650793650791</v>
      </c>
      <c r="I452" t="s">
        <v>30</v>
      </c>
      <c r="J452" s="11">
        <v>32.5</v>
      </c>
      <c r="K452" s="11">
        <v>8.9205555560000001</v>
      </c>
      <c r="L452" t="str">
        <f>VLOOKUP(B452,'[1]Plant data'!$A$1:$AB$315,2,0)</f>
        <v>Verbenaceae</v>
      </c>
      <c r="M452" s="9">
        <f>VLOOKUP($B452,'[1]Plant data'!$A$1:$AB$315,6,0)</f>
        <v>10.700000000000001</v>
      </c>
      <c r="N452" s="9">
        <f>VLOOKUP($B452,'[1]Plant data'!$A$1:$AB$315,7,0)</f>
        <v>12.3</v>
      </c>
      <c r="O452" s="8">
        <f>VLOOKUP($B452,'[1]Plant data'!$A$1:$AB$315,10,0)</f>
        <v>1.5999999999999999</v>
      </c>
      <c r="P452" s="8">
        <f>VLOOKUP($B452,'[1]Plant data'!$A$1:$AB$315,11,0)</f>
        <v>0.7</v>
      </c>
      <c r="Q452" s="8">
        <f>VLOOKUP($B452,'[1]Plant data'!$A$1:$AB$315,12,0)</f>
        <v>1.05</v>
      </c>
      <c r="R452" s="8" t="str">
        <f>VLOOKUP($B452,'[1]Plant data'!$A$1:$AB$315,13,0)</f>
        <v>NA</v>
      </c>
      <c r="S452" s="8" t="str">
        <f>VLOOKUP($B452,'[1]Plant data'!$A$1:$AB$315,14,0)</f>
        <v>NA</v>
      </c>
      <c r="T452" s="11">
        <f>VLOOKUP($B452,'[1]Plant data'!$A$1:$AB$315,15,0)</f>
        <v>2</v>
      </c>
      <c r="U452" s="9">
        <f>VLOOKUP($B452,'[1]Plant data'!$A$1:$AB$315,19,0)</f>
        <v>0.81400000000000006</v>
      </c>
      <c r="V452" s="8">
        <f>VLOOKUP($B452,'[1]Plant data'!$A$1:$AB$315,20,0)</f>
        <v>6.3E-2</v>
      </c>
      <c r="W452" s="8">
        <f>VLOOKUP($B452,'[1]Plant data'!$A$1:$AB$315,21,0)</f>
        <v>6.8000000000000005E-2</v>
      </c>
      <c r="X452" s="8" t="str">
        <f>VLOOKUP($B452,'[1]Plant data'!$A$1:$AB$315,22,0)</f>
        <v>NA</v>
      </c>
      <c r="Y452" s="8" t="str">
        <f>VLOOKUP($B452,'[1]Plant data'!$A$1:$AB$315,23,0)</f>
        <v>NA</v>
      </c>
      <c r="Z452" s="8" t="str">
        <f>VLOOKUP($B452,'[1]Plant data'!$A$1:$AB$315,24,0)</f>
        <v>NA</v>
      </c>
      <c r="AA452" s="8">
        <f>VLOOKUP($B452,'[1]Plant data'!$A$1:$AB$315,25,0)</f>
        <v>0.82700000000000007</v>
      </c>
      <c r="AB452" s="8" t="s">
        <v>19</v>
      </c>
    </row>
    <row r="453" spans="1:28">
      <c r="A453" s="5" t="s">
        <v>43</v>
      </c>
      <c r="B453" s="34" t="s">
        <v>44</v>
      </c>
      <c r="C453" s="53">
        <v>14</v>
      </c>
      <c r="D453" s="58">
        <v>42</v>
      </c>
      <c r="E453" s="8">
        <f>C453/42</f>
        <v>0.33333333333333331</v>
      </c>
      <c r="F453" s="54">
        <v>8</v>
      </c>
      <c r="G453" s="9">
        <f>F453/C453</f>
        <v>0.5714285714285714</v>
      </c>
      <c r="H453" s="23">
        <f t="shared" si="33"/>
        <v>0.19047619047619047</v>
      </c>
      <c r="I453" t="s">
        <v>30</v>
      </c>
      <c r="J453" s="11">
        <v>32.5</v>
      </c>
      <c r="K453" s="11">
        <v>8.9205555560000001</v>
      </c>
      <c r="L453" t="str">
        <f>VLOOKUP(B453,'[1]Plant data'!$A$1:$AB$315,2,0)</f>
        <v>Verbenaceae</v>
      </c>
      <c r="M453" s="9">
        <f>VLOOKUP($B453,'[1]Plant data'!$A$1:$AB$315,6,0)</f>
        <v>10.700000000000001</v>
      </c>
      <c r="N453" s="9">
        <f>VLOOKUP($B453,'[1]Plant data'!$A$1:$AB$315,7,0)</f>
        <v>12.3</v>
      </c>
      <c r="O453" s="8">
        <f>VLOOKUP($B453,'[1]Plant data'!$A$1:$AB$315,10,0)</f>
        <v>1.5999999999999999</v>
      </c>
      <c r="P453" s="8">
        <f>VLOOKUP($B453,'[1]Plant data'!$A$1:$AB$315,11,0)</f>
        <v>0.7</v>
      </c>
      <c r="Q453" s="8">
        <f>VLOOKUP($B453,'[1]Plant data'!$A$1:$AB$315,12,0)</f>
        <v>1.05</v>
      </c>
      <c r="R453" s="8" t="str">
        <f>VLOOKUP($B453,'[1]Plant data'!$A$1:$AB$315,13,0)</f>
        <v>NA</v>
      </c>
      <c r="S453" s="8" t="str">
        <f>VLOOKUP($B453,'[1]Plant data'!$A$1:$AB$315,14,0)</f>
        <v>NA</v>
      </c>
      <c r="T453" s="11">
        <f>VLOOKUP($B453,'[1]Plant data'!$A$1:$AB$315,15,0)</f>
        <v>2</v>
      </c>
      <c r="U453" s="9">
        <f>VLOOKUP($B453,'[1]Plant data'!$A$1:$AB$315,19,0)</f>
        <v>0.81400000000000006</v>
      </c>
      <c r="V453" s="8">
        <f>VLOOKUP($B453,'[1]Plant data'!$A$1:$AB$315,20,0)</f>
        <v>6.3E-2</v>
      </c>
      <c r="W453" s="8">
        <f>VLOOKUP($B453,'[1]Plant data'!$A$1:$AB$315,21,0)</f>
        <v>6.8000000000000005E-2</v>
      </c>
      <c r="X453" s="8" t="str">
        <f>VLOOKUP($B453,'[1]Plant data'!$A$1:$AB$315,22,0)</f>
        <v>NA</v>
      </c>
      <c r="Y453" s="8" t="str">
        <f>VLOOKUP($B453,'[1]Plant data'!$A$1:$AB$315,23,0)</f>
        <v>NA</v>
      </c>
      <c r="Z453" s="8" t="str">
        <f>VLOOKUP($B453,'[1]Plant data'!$A$1:$AB$315,24,0)</f>
        <v>NA</v>
      </c>
      <c r="AA453" s="8">
        <f>VLOOKUP($B453,'[1]Plant data'!$A$1:$AB$315,25,0)</f>
        <v>0.82700000000000007</v>
      </c>
      <c r="AB453" s="8" t="s">
        <v>19</v>
      </c>
    </row>
    <row r="454" spans="1:28">
      <c r="A454" s="5" t="s">
        <v>46</v>
      </c>
      <c r="B454" s="33" t="s">
        <v>44</v>
      </c>
      <c r="C454" s="53">
        <v>9</v>
      </c>
      <c r="D454" s="58">
        <v>18</v>
      </c>
      <c r="E454" s="8">
        <f>C454/D454</f>
        <v>0.5</v>
      </c>
      <c r="F454" s="54" t="s">
        <v>19</v>
      </c>
      <c r="G454" s="41">
        <v>1</v>
      </c>
      <c r="H454" s="23">
        <f t="shared" si="33"/>
        <v>0.5</v>
      </c>
      <c r="I454" t="s">
        <v>47</v>
      </c>
      <c r="J454" s="11">
        <v>54</v>
      </c>
      <c r="K454" s="11">
        <v>11.14875</v>
      </c>
      <c r="L454" t="str">
        <f>VLOOKUP(B454,'[1]Plant data'!$A$1:$AB$315,2,0)</f>
        <v>Verbenaceae</v>
      </c>
      <c r="M454" s="9">
        <f>VLOOKUP($B454,'[1]Plant data'!$A$1:$AB$315,6,0)</f>
        <v>10.700000000000001</v>
      </c>
      <c r="N454" s="9">
        <f>VLOOKUP($B454,'[1]Plant data'!$A$1:$AB$315,7,0)</f>
        <v>12.3</v>
      </c>
      <c r="O454" s="8">
        <f>VLOOKUP($B454,'[1]Plant data'!$A$1:$AB$315,10,0)</f>
        <v>1.5999999999999999</v>
      </c>
      <c r="P454" s="8">
        <f>VLOOKUP($B454,'[1]Plant data'!$A$1:$AB$315,11,0)</f>
        <v>0.7</v>
      </c>
      <c r="Q454" s="8">
        <f>VLOOKUP($B454,'[1]Plant data'!$A$1:$AB$315,12,0)</f>
        <v>1.05</v>
      </c>
      <c r="R454" s="8" t="str">
        <f>VLOOKUP($B454,'[1]Plant data'!$A$1:$AB$315,13,0)</f>
        <v>NA</v>
      </c>
      <c r="S454" s="8" t="str">
        <f>VLOOKUP($B454,'[1]Plant data'!$A$1:$AB$315,14,0)</f>
        <v>NA</v>
      </c>
      <c r="T454" s="11">
        <f>VLOOKUP($B454,'[1]Plant data'!$A$1:$AB$315,15,0)</f>
        <v>2</v>
      </c>
      <c r="U454" s="9">
        <f>VLOOKUP($B454,'[1]Plant data'!$A$1:$AB$315,19,0)</f>
        <v>0.81400000000000006</v>
      </c>
      <c r="V454" s="8">
        <f>VLOOKUP($B454,'[1]Plant data'!$A$1:$AB$315,20,0)</f>
        <v>6.3E-2</v>
      </c>
      <c r="W454" s="8">
        <f>VLOOKUP($B454,'[1]Plant data'!$A$1:$AB$315,21,0)</f>
        <v>6.8000000000000005E-2</v>
      </c>
      <c r="X454" s="8" t="str">
        <f>VLOOKUP($B454,'[1]Plant data'!$A$1:$AB$315,22,0)</f>
        <v>NA</v>
      </c>
      <c r="Y454" s="8" t="str">
        <f>VLOOKUP($B454,'[1]Plant data'!$A$1:$AB$315,23,0)</f>
        <v>NA</v>
      </c>
      <c r="Z454" s="8" t="str">
        <f>VLOOKUP($B454,'[1]Plant data'!$A$1:$AB$315,24,0)</f>
        <v>NA</v>
      </c>
      <c r="AA454" s="8">
        <f>VLOOKUP($B454,'[1]Plant data'!$A$1:$AB$315,25,0)</f>
        <v>0.82700000000000007</v>
      </c>
      <c r="AB454" s="8" t="s">
        <v>19</v>
      </c>
    </row>
    <row r="455" spans="1:28">
      <c r="A455" s="5" t="s">
        <v>50</v>
      </c>
      <c r="B455" s="32" t="s">
        <v>44</v>
      </c>
      <c r="C455" s="53">
        <v>29</v>
      </c>
      <c r="D455" s="58">
        <v>30</v>
      </c>
      <c r="E455" s="8">
        <f>C455/30</f>
        <v>0.96666666666666667</v>
      </c>
      <c r="F455" s="54">
        <v>29</v>
      </c>
      <c r="G455" s="9">
        <v>1</v>
      </c>
      <c r="H455" s="23">
        <f t="shared" si="33"/>
        <v>0.96666666666666667</v>
      </c>
      <c r="I455" t="s">
        <v>47</v>
      </c>
      <c r="J455" s="11">
        <v>69.5</v>
      </c>
      <c r="K455" s="11">
        <v>13.253214290000001</v>
      </c>
      <c r="L455" t="str">
        <f>VLOOKUP(B455,'[1]Plant data'!$A$1:$AB$315,2,0)</f>
        <v>Verbenaceae</v>
      </c>
      <c r="M455" s="9">
        <f>VLOOKUP($B455,'[1]Plant data'!$A$1:$AB$315,6,0)</f>
        <v>10.700000000000001</v>
      </c>
      <c r="N455" s="9">
        <f>VLOOKUP($B455,'[1]Plant data'!$A$1:$AB$315,7,0)</f>
        <v>12.3</v>
      </c>
      <c r="O455" s="8">
        <f>VLOOKUP($B455,'[1]Plant data'!$A$1:$AB$315,10,0)</f>
        <v>1.5999999999999999</v>
      </c>
      <c r="P455" s="8">
        <f>VLOOKUP($B455,'[1]Plant data'!$A$1:$AB$315,11,0)</f>
        <v>0.7</v>
      </c>
      <c r="Q455" s="8">
        <f>VLOOKUP($B455,'[1]Plant data'!$A$1:$AB$315,12,0)</f>
        <v>1.05</v>
      </c>
      <c r="R455" s="8" t="str">
        <f>VLOOKUP($B455,'[1]Plant data'!$A$1:$AB$315,13,0)</f>
        <v>NA</v>
      </c>
      <c r="S455" s="8" t="str">
        <f>VLOOKUP($B455,'[1]Plant data'!$A$1:$AB$315,14,0)</f>
        <v>NA</v>
      </c>
      <c r="T455" s="11">
        <f>VLOOKUP($B455,'[1]Plant data'!$A$1:$AB$315,15,0)</f>
        <v>2</v>
      </c>
      <c r="U455" s="9">
        <f>VLOOKUP($B455,'[1]Plant data'!$A$1:$AB$315,19,0)</f>
        <v>0.81400000000000006</v>
      </c>
      <c r="V455" s="8">
        <f>VLOOKUP($B455,'[1]Plant data'!$A$1:$AB$315,20,0)</f>
        <v>6.3E-2</v>
      </c>
      <c r="W455" s="8">
        <f>VLOOKUP($B455,'[1]Plant data'!$A$1:$AB$315,21,0)</f>
        <v>6.8000000000000005E-2</v>
      </c>
      <c r="X455" s="8" t="str">
        <f>VLOOKUP($B455,'[1]Plant data'!$A$1:$AB$315,22,0)</f>
        <v>NA</v>
      </c>
      <c r="Y455" s="8" t="str">
        <f>VLOOKUP($B455,'[1]Plant data'!$A$1:$AB$315,23,0)</f>
        <v>NA</v>
      </c>
      <c r="Z455" s="8" t="str">
        <f>VLOOKUP($B455,'[1]Plant data'!$A$1:$AB$315,24,0)</f>
        <v>NA</v>
      </c>
      <c r="AA455" s="8">
        <f>VLOOKUP($B455,'[1]Plant data'!$A$1:$AB$315,25,0)</f>
        <v>0.82700000000000007</v>
      </c>
      <c r="AB455" s="8" t="s">
        <v>19</v>
      </c>
    </row>
    <row r="456" spans="1:28">
      <c r="A456" s="5" t="s">
        <v>50</v>
      </c>
      <c r="B456" s="32" t="s">
        <v>44</v>
      </c>
      <c r="C456" s="53">
        <v>1</v>
      </c>
      <c r="D456" s="58">
        <v>15</v>
      </c>
      <c r="E456" s="23">
        <f>C456/15</f>
        <v>6.6666666666666666E-2</v>
      </c>
      <c r="F456" s="54" t="s">
        <v>19</v>
      </c>
      <c r="G456" s="9">
        <v>1</v>
      </c>
      <c r="H456" s="23">
        <f t="shared" si="33"/>
        <v>6.6666666666666666E-2</v>
      </c>
      <c r="I456" t="s">
        <v>47</v>
      </c>
      <c r="J456" s="11">
        <v>69.5</v>
      </c>
      <c r="K456" s="11">
        <v>13.253214290000001</v>
      </c>
      <c r="L456" t="str">
        <f>VLOOKUP(B456,'[1]Plant data'!$A$1:$AB$315,2,0)</f>
        <v>Verbenaceae</v>
      </c>
      <c r="M456" s="9">
        <f>VLOOKUP($B456,'[1]Plant data'!$A$1:$AB$315,6,0)</f>
        <v>10.700000000000001</v>
      </c>
      <c r="N456" s="9">
        <f>VLOOKUP($B456,'[1]Plant data'!$A$1:$AB$315,7,0)</f>
        <v>12.3</v>
      </c>
      <c r="O456" s="8">
        <f>VLOOKUP($B456,'[1]Plant data'!$A$1:$AB$315,10,0)</f>
        <v>1.5999999999999999</v>
      </c>
      <c r="P456" s="8">
        <f>VLOOKUP($B456,'[1]Plant data'!$A$1:$AB$315,11,0)</f>
        <v>0.7</v>
      </c>
      <c r="Q456" s="8">
        <f>VLOOKUP($B456,'[1]Plant data'!$A$1:$AB$315,12,0)</f>
        <v>1.05</v>
      </c>
      <c r="R456" s="8" t="str">
        <f>VLOOKUP($B456,'[1]Plant data'!$A$1:$AB$315,13,0)</f>
        <v>NA</v>
      </c>
      <c r="S456" s="8" t="str">
        <f>VLOOKUP($B456,'[1]Plant data'!$A$1:$AB$315,14,0)</f>
        <v>NA</v>
      </c>
      <c r="T456" s="11">
        <f>VLOOKUP($B456,'[1]Plant data'!$A$1:$AB$315,15,0)</f>
        <v>2</v>
      </c>
      <c r="U456" s="9">
        <f>VLOOKUP($B456,'[1]Plant data'!$A$1:$AB$315,19,0)</f>
        <v>0.81400000000000006</v>
      </c>
      <c r="V456" s="8">
        <f>VLOOKUP($B456,'[1]Plant data'!$A$1:$AB$315,20,0)</f>
        <v>6.3E-2</v>
      </c>
      <c r="W456" s="8">
        <f>VLOOKUP($B456,'[1]Plant data'!$A$1:$AB$315,21,0)</f>
        <v>6.8000000000000005E-2</v>
      </c>
      <c r="X456" s="8" t="str">
        <f>VLOOKUP($B456,'[1]Plant data'!$A$1:$AB$315,22,0)</f>
        <v>NA</v>
      </c>
      <c r="Y456" s="8" t="str">
        <f>VLOOKUP($B456,'[1]Plant data'!$A$1:$AB$315,23,0)</f>
        <v>NA</v>
      </c>
      <c r="Z456" s="8" t="str">
        <f>VLOOKUP($B456,'[1]Plant data'!$A$1:$AB$315,24,0)</f>
        <v>NA</v>
      </c>
      <c r="AA456" s="8">
        <f>VLOOKUP($B456,'[1]Plant data'!$A$1:$AB$315,25,0)</f>
        <v>0.82700000000000007</v>
      </c>
      <c r="AB456" s="8" t="s">
        <v>19</v>
      </c>
    </row>
    <row r="457" spans="1:28">
      <c r="A457" s="5" t="s">
        <v>50</v>
      </c>
      <c r="B457" s="32" t="s">
        <v>192</v>
      </c>
      <c r="C457" s="53">
        <v>1</v>
      </c>
      <c r="D457" s="11">
        <v>5.5</v>
      </c>
      <c r="E457" s="8">
        <f>C457/5.5</f>
        <v>0.18181818181818182</v>
      </c>
      <c r="F457" s="54" t="s">
        <v>19</v>
      </c>
      <c r="G457" s="9" t="s">
        <v>19</v>
      </c>
      <c r="H457" s="23" t="s">
        <v>19</v>
      </c>
      <c r="I457" t="s">
        <v>47</v>
      </c>
      <c r="J457" s="11">
        <v>69.5</v>
      </c>
      <c r="K457" s="11">
        <v>13.253214290000001</v>
      </c>
      <c r="L457" t="str">
        <f>VLOOKUP(B457,'[1]Plant data'!$A$1:$AB$315,2,0)</f>
        <v>Vitaceae</v>
      </c>
      <c r="M457" s="9" t="str">
        <f>VLOOKUP($B457,'[1]Plant data'!$A$1:$AB$315,6,0)</f>
        <v>NA</v>
      </c>
      <c r="N457" s="9" t="str">
        <f>VLOOKUP($B457,'[1]Plant data'!$A$1:$AB$315,7,0)</f>
        <v>NA</v>
      </c>
      <c r="O457" s="8" t="str">
        <f>VLOOKUP($B457,'[1]Plant data'!$A$1:$AB$315,10,0)</f>
        <v>NA</v>
      </c>
      <c r="P457" s="8" t="str">
        <f>VLOOKUP($B457,'[1]Plant data'!$A$1:$AB$315,11,0)</f>
        <v>NA</v>
      </c>
      <c r="Q457" s="8" t="str">
        <f>VLOOKUP($B457,'[1]Plant data'!$A$1:$AB$315,12,0)</f>
        <v>NA</v>
      </c>
      <c r="R457" s="8" t="str">
        <f>VLOOKUP($B457,'[1]Plant data'!$A$1:$AB$315,13,0)</f>
        <v>NA</v>
      </c>
      <c r="S457" s="8" t="str">
        <f>VLOOKUP($B457,'[1]Plant data'!$A$1:$AB$315,14,0)</f>
        <v>NA</v>
      </c>
      <c r="T457" s="11" t="str">
        <f>VLOOKUP($B457,'[1]Plant data'!$A$1:$AB$315,15,0)</f>
        <v>NA</v>
      </c>
      <c r="U457" s="9" t="str">
        <f>VLOOKUP($B457,'[1]Plant data'!$A$1:$AB$315,19,0)</f>
        <v>NA</v>
      </c>
      <c r="V457" s="8" t="str">
        <f>VLOOKUP($B457,'[1]Plant data'!$A$1:$AB$315,20,0)</f>
        <v>NA</v>
      </c>
      <c r="W457" s="8" t="str">
        <f>VLOOKUP($B457,'[1]Plant data'!$A$1:$AB$315,21,0)</f>
        <v>NA</v>
      </c>
      <c r="X457" s="8" t="str">
        <f>VLOOKUP($B457,'[1]Plant data'!$A$1:$AB$315,22,0)</f>
        <v>NA</v>
      </c>
      <c r="Y457" s="8" t="str">
        <f>VLOOKUP($B457,'[1]Plant data'!$A$1:$AB$315,23,0)</f>
        <v>NA</v>
      </c>
      <c r="Z457" s="8" t="str">
        <f>VLOOKUP($B457,'[1]Plant data'!$A$1:$AB$315,24,0)</f>
        <v>NA</v>
      </c>
      <c r="AA457" s="8" t="str">
        <f>VLOOKUP($B457,'[1]Plant data'!$A$1:$AB$315,25,0)</f>
        <v>NA</v>
      </c>
      <c r="AB457" s="8" t="s">
        <v>19</v>
      </c>
    </row>
    <row r="458" spans="1:28">
      <c r="A458" s="5" t="s">
        <v>110</v>
      </c>
      <c r="B458" s="32" t="s">
        <v>111</v>
      </c>
      <c r="C458" s="53">
        <v>1</v>
      </c>
      <c r="D458" s="11" t="s">
        <v>19</v>
      </c>
      <c r="E458" s="8" t="s">
        <v>19</v>
      </c>
      <c r="F458" s="54" t="s">
        <v>19</v>
      </c>
      <c r="G458" s="8" t="s">
        <v>19</v>
      </c>
      <c r="H458" s="23" t="s">
        <v>19</v>
      </c>
      <c r="I458" t="s">
        <v>101</v>
      </c>
      <c r="J458" s="11">
        <v>1250</v>
      </c>
      <c r="K458" s="11">
        <v>19.114999999999998</v>
      </c>
      <c r="L458" t="str">
        <f>VLOOKUP(B458,'[1]Plant data'!$A$1:$AB$315,2,0)</f>
        <v>Canellaceae</v>
      </c>
      <c r="M458" s="9">
        <f>VLOOKUP($B458,'[1]Plant data'!$A$1:$AB$315,6,0)</f>
        <v>10.5</v>
      </c>
      <c r="N458" s="9">
        <f>VLOOKUP($B458,'[1]Plant data'!$A$1:$AB$315,7,0)</f>
        <v>14</v>
      </c>
      <c r="O458" s="8">
        <f>VLOOKUP($B458,'[1]Plant data'!$A$1:$AB$315,10,0)</f>
        <v>2.2999999999999998</v>
      </c>
      <c r="P458" s="8" t="str">
        <f>VLOOKUP($B458,'[1]Plant data'!$A$1:$AB$315,11,0)</f>
        <v>NA</v>
      </c>
      <c r="Q458" s="8">
        <f>VLOOKUP($B458,'[1]Plant data'!$A$1:$AB$315,12,0)</f>
        <v>0.5</v>
      </c>
      <c r="R458" s="8" t="str">
        <f>VLOOKUP($B458,'[1]Plant data'!$A$1:$AB$315,13,0)</f>
        <v>NA</v>
      </c>
      <c r="S458" s="8" t="str">
        <f>VLOOKUP($B458,'[1]Plant data'!$A$1:$AB$315,14,0)</f>
        <v>NA</v>
      </c>
      <c r="T458" s="11">
        <f>VLOOKUP($B458,'[1]Plant data'!$A$1:$AB$315,15,0)</f>
        <v>2</v>
      </c>
      <c r="U458" s="9">
        <f>VLOOKUP($B458,'[1]Plant data'!$A$1:$AB$315,19,0)</f>
        <v>0.752</v>
      </c>
      <c r="V458" s="8">
        <f>VLOOKUP($B458,'[1]Plant data'!$A$1:$AB$315,20,0)</f>
        <v>0.155</v>
      </c>
      <c r="W458" s="8">
        <f>VLOOKUP($B458,'[1]Plant data'!$A$1:$AB$315,21,0)</f>
        <v>9.3000000000000013E-2</v>
      </c>
      <c r="X458" s="8" t="str">
        <f>VLOOKUP($B458,'[1]Plant data'!$A$1:$AB$315,22,0)</f>
        <v>NA</v>
      </c>
      <c r="Y458" s="8" t="str">
        <f>VLOOKUP($B458,'[1]Plant data'!$A$1:$AB$315,23,0)</f>
        <v>NA</v>
      </c>
      <c r="Z458" s="8" t="str">
        <f>VLOOKUP($B458,'[1]Plant data'!$A$1:$AB$315,24,0)</f>
        <v>NA</v>
      </c>
      <c r="AA458" s="8">
        <f>VLOOKUP($B458,'[1]Plant data'!$A$1:$AB$315,25,0)</f>
        <v>0.70299999999999996</v>
      </c>
      <c r="AB458" s="8" t="s">
        <v>19</v>
      </c>
    </row>
    <row r="459" spans="1:28">
      <c r="A459" s="5" t="s">
        <v>110</v>
      </c>
      <c r="B459" s="32" t="s">
        <v>111</v>
      </c>
      <c r="C459" s="53">
        <v>1</v>
      </c>
      <c r="D459" s="11" t="s">
        <v>19</v>
      </c>
      <c r="E459" s="8" t="s">
        <v>19</v>
      </c>
      <c r="F459" s="54" t="s">
        <v>19</v>
      </c>
      <c r="G459" s="9" t="s">
        <v>19</v>
      </c>
      <c r="H459" s="23" t="s">
        <v>19</v>
      </c>
      <c r="I459" t="s">
        <v>101</v>
      </c>
      <c r="J459" s="11">
        <v>1250</v>
      </c>
      <c r="K459" s="11">
        <v>19.114999999999998</v>
      </c>
      <c r="L459" t="str">
        <f>VLOOKUP(B459,'[1]Plant data'!$A$1:$AB$315,2,0)</f>
        <v>Canellaceae</v>
      </c>
      <c r="M459" s="9">
        <f>VLOOKUP($B459,'[1]Plant data'!$A$1:$AB$315,6,0)</f>
        <v>10.5</v>
      </c>
      <c r="N459" s="9">
        <f>VLOOKUP($B459,'[1]Plant data'!$A$1:$AB$315,7,0)</f>
        <v>14</v>
      </c>
      <c r="O459" s="8">
        <f>VLOOKUP($B459,'[1]Plant data'!$A$1:$AB$315,10,0)</f>
        <v>2.2999999999999998</v>
      </c>
      <c r="P459" s="8" t="str">
        <f>VLOOKUP($B459,'[1]Plant data'!$A$1:$AB$315,11,0)</f>
        <v>NA</v>
      </c>
      <c r="Q459" s="8">
        <f>VLOOKUP($B459,'[1]Plant data'!$A$1:$AB$315,12,0)</f>
        <v>0.5</v>
      </c>
      <c r="R459" s="8" t="str">
        <f>VLOOKUP($B459,'[1]Plant data'!$A$1:$AB$315,13,0)</f>
        <v>NA</v>
      </c>
      <c r="S459" s="8" t="str">
        <f>VLOOKUP($B459,'[1]Plant data'!$A$1:$AB$315,14,0)</f>
        <v>NA</v>
      </c>
      <c r="T459" s="11">
        <f>VLOOKUP($B459,'[1]Plant data'!$A$1:$AB$315,15,0)</f>
        <v>2</v>
      </c>
      <c r="U459" s="9">
        <f>VLOOKUP($B459,'[1]Plant data'!$A$1:$AB$315,19,0)</f>
        <v>0.752</v>
      </c>
      <c r="V459" s="8">
        <f>VLOOKUP($B459,'[1]Plant data'!$A$1:$AB$315,20,0)</f>
        <v>0.155</v>
      </c>
      <c r="W459" s="8">
        <f>VLOOKUP($B459,'[1]Plant data'!$A$1:$AB$315,21,0)</f>
        <v>9.3000000000000013E-2</v>
      </c>
      <c r="X459" s="8" t="str">
        <f>VLOOKUP($B459,'[1]Plant data'!$A$1:$AB$315,22,0)</f>
        <v>NA</v>
      </c>
      <c r="Y459" s="8" t="str">
        <f>VLOOKUP($B459,'[1]Plant data'!$A$1:$AB$315,23,0)</f>
        <v>NA</v>
      </c>
      <c r="Z459" s="8" t="str">
        <f>VLOOKUP($B459,'[1]Plant data'!$A$1:$AB$315,24,0)</f>
        <v>NA</v>
      </c>
      <c r="AA459" s="8">
        <f>VLOOKUP($B459,'[1]Plant data'!$A$1:$AB$315,25,0)</f>
        <v>0.70299999999999996</v>
      </c>
      <c r="AB459" s="8" t="s">
        <v>19</v>
      </c>
    </row>
    <row r="460" spans="1:28">
      <c r="A460" s="5" t="s">
        <v>110</v>
      </c>
      <c r="B460" s="84" t="s">
        <v>158</v>
      </c>
      <c r="C460" s="53">
        <v>1</v>
      </c>
      <c r="D460" s="11" t="s">
        <v>19</v>
      </c>
      <c r="E460" s="8" t="s">
        <v>19</v>
      </c>
      <c r="F460" s="54" t="s">
        <v>19</v>
      </c>
      <c r="G460" s="9" t="s">
        <v>19</v>
      </c>
      <c r="H460" s="23" t="s">
        <v>19</v>
      </c>
      <c r="I460" t="s">
        <v>101</v>
      </c>
      <c r="J460" s="11">
        <v>1250</v>
      </c>
      <c r="K460" s="11">
        <v>19.114999999999998</v>
      </c>
      <c r="L460" t="str">
        <f>VLOOKUP(B460,'[1]Plant data'!$A$1:$AB$315,2,0)</f>
        <v>Sapotaceae</v>
      </c>
      <c r="M460" s="9">
        <f>VLOOKUP($B460,'[1]Plant data'!$A$1:$AB$315,6,0)</f>
        <v>10</v>
      </c>
      <c r="N460" s="9">
        <f>VLOOKUP($B460,'[1]Plant data'!$A$1:$AB$315,7,0)</f>
        <v>28</v>
      </c>
      <c r="O460" s="8" t="str">
        <f>VLOOKUP($B460,'[1]Plant data'!$A$1:$AB$315,10,0)</f>
        <v>NA</v>
      </c>
      <c r="P460" s="8" t="str">
        <f>VLOOKUP($B460,'[1]Plant data'!$A$1:$AB$315,11,0)</f>
        <v>NA</v>
      </c>
      <c r="Q460" s="8" t="str">
        <f>VLOOKUP($B460,'[1]Plant data'!$A$1:$AB$315,12,0)</f>
        <v>NA</v>
      </c>
      <c r="R460" s="8" t="str">
        <f>VLOOKUP($B460,'[1]Plant data'!$A$1:$AB$315,13,0)</f>
        <v>NA</v>
      </c>
      <c r="S460" s="8" t="str">
        <f>VLOOKUP($B460,'[1]Plant data'!$A$1:$AB$315,14,0)</f>
        <v>NA</v>
      </c>
      <c r="T460" s="11" t="str">
        <f>VLOOKUP($B460,'[1]Plant data'!$A$1:$AB$315,15,0)</f>
        <v>NA</v>
      </c>
      <c r="U460" s="9" t="str">
        <f>VLOOKUP($B460,'[1]Plant data'!$A$1:$AB$315,19,0)</f>
        <v>NA</v>
      </c>
      <c r="V460" s="8" t="str">
        <f>VLOOKUP($B460,'[1]Plant data'!$A$1:$AB$315,20,0)</f>
        <v>NA</v>
      </c>
      <c r="W460" s="8" t="str">
        <f>VLOOKUP($B460,'[1]Plant data'!$A$1:$AB$315,21,0)</f>
        <v>NA</v>
      </c>
      <c r="X460" s="8" t="str">
        <f>VLOOKUP($B460,'[1]Plant data'!$A$1:$AB$315,22,0)</f>
        <v>NA</v>
      </c>
      <c r="Y460" s="8" t="str">
        <f>VLOOKUP($B460,'[1]Plant data'!$A$1:$AB$315,23,0)</f>
        <v>NA</v>
      </c>
      <c r="Z460" s="8" t="str">
        <f>VLOOKUP($B460,'[1]Plant data'!$A$1:$AB$315,24,0)</f>
        <v>NA</v>
      </c>
      <c r="AA460" s="8" t="str">
        <f>VLOOKUP($B460,'[1]Plant data'!$A$1:$AB$315,25,0)</f>
        <v>NA</v>
      </c>
      <c r="AB460" s="8" t="s">
        <v>19</v>
      </c>
    </row>
    <row r="461" spans="1:28">
      <c r="A461" s="18" t="s">
        <v>65</v>
      </c>
      <c r="B461" s="34" t="s">
        <v>210</v>
      </c>
      <c r="C461" s="53">
        <v>4</v>
      </c>
      <c r="D461" s="58">
        <v>36</v>
      </c>
      <c r="E461" s="8">
        <f>C461/D461</f>
        <v>0.1111111111111111</v>
      </c>
      <c r="F461" s="56">
        <v>10</v>
      </c>
      <c r="G461" s="9">
        <f>F461/C461</f>
        <v>2.5</v>
      </c>
      <c r="H461" s="23">
        <f t="shared" ref="H461:H467" si="34">E461*G461</f>
        <v>0.27777777777777779</v>
      </c>
      <c r="I461" t="s">
        <v>23</v>
      </c>
      <c r="J461" s="11">
        <v>11</v>
      </c>
      <c r="K461" s="11">
        <v>6.1466666669999999</v>
      </c>
      <c r="L461" t="str">
        <f>VLOOKUP(B461,'[1]Plant data'!$A$1:$AB$315,2,0)</f>
        <v>Amaranthaceae</v>
      </c>
      <c r="M461" s="9" t="str">
        <f>VLOOKUP($B461,'[1]Plant data'!$A$1:$AB$315,6,0)</f>
        <v>NA</v>
      </c>
      <c r="N461" s="9" t="str">
        <f>VLOOKUP($B461,'[1]Plant data'!$A$1:$AB$315,7,0)</f>
        <v>NA</v>
      </c>
      <c r="O461" s="8" t="str">
        <f>VLOOKUP($B461,'[1]Plant data'!$A$1:$AB$315,10,0)</f>
        <v>NA</v>
      </c>
      <c r="P461" s="8" t="str">
        <f>VLOOKUP($B461,'[1]Plant data'!$A$1:$AB$315,11,0)</f>
        <v>NA</v>
      </c>
      <c r="Q461" s="8" t="str">
        <f>VLOOKUP($B461,'[1]Plant data'!$A$1:$AB$315,12,0)</f>
        <v>NA</v>
      </c>
      <c r="R461" s="8" t="str">
        <f>VLOOKUP($B461,'[1]Plant data'!$A$1:$AB$315,13,0)</f>
        <v>NA</v>
      </c>
      <c r="S461" s="8" t="str">
        <f>VLOOKUP($B461,'[1]Plant data'!$A$1:$AB$315,14,0)</f>
        <v>NA</v>
      </c>
      <c r="T461" s="11" t="str">
        <f>VLOOKUP($B461,'[1]Plant data'!$A$1:$AB$315,15,0)</f>
        <v>NA</v>
      </c>
      <c r="U461" s="9" t="str">
        <f>VLOOKUP($B461,'[1]Plant data'!$A$1:$AB$315,19,0)</f>
        <v>NA</v>
      </c>
      <c r="V461" s="8" t="str">
        <f>VLOOKUP($B461,'[1]Plant data'!$A$1:$AB$315,20,0)</f>
        <v>NA</v>
      </c>
      <c r="W461" s="8" t="str">
        <f>VLOOKUP($B461,'[1]Plant data'!$A$1:$AB$315,21,0)</f>
        <v>NA</v>
      </c>
      <c r="X461" s="8" t="str">
        <f>VLOOKUP($B461,'[1]Plant data'!$A$1:$AB$315,22,0)</f>
        <v>NA</v>
      </c>
      <c r="Y461" s="8" t="str">
        <f>VLOOKUP($B461,'[1]Plant data'!$A$1:$AB$315,23,0)</f>
        <v>NA</v>
      </c>
      <c r="Z461" s="8" t="str">
        <f>VLOOKUP($B461,'[1]Plant data'!$A$1:$AB$315,24,0)</f>
        <v>NA</v>
      </c>
      <c r="AA461" s="8" t="str">
        <f>VLOOKUP($B461,'[1]Plant data'!$A$1:$AB$315,25,0)</f>
        <v>NA</v>
      </c>
      <c r="AB461" s="8" t="s">
        <v>19</v>
      </c>
    </row>
    <row r="462" spans="1:28">
      <c r="A462" s="5" t="s">
        <v>28</v>
      </c>
      <c r="B462" s="34" t="s">
        <v>210</v>
      </c>
      <c r="C462" s="53">
        <v>2</v>
      </c>
      <c r="D462" s="58">
        <v>36</v>
      </c>
      <c r="E462" s="8">
        <f>C462/D462</f>
        <v>5.5555555555555552E-2</v>
      </c>
      <c r="F462" s="56">
        <v>20</v>
      </c>
      <c r="G462" s="9">
        <f>F462/C462</f>
        <v>10</v>
      </c>
      <c r="H462" s="23">
        <f t="shared" si="34"/>
        <v>0.55555555555555558</v>
      </c>
      <c r="I462" t="s">
        <v>30</v>
      </c>
      <c r="J462" s="11">
        <v>18</v>
      </c>
      <c r="K462" s="11">
        <v>7.4188405800000004</v>
      </c>
      <c r="L462" t="str">
        <f>VLOOKUP(B462,'[1]Plant data'!$A$1:$AB$315,2,0)</f>
        <v>Amaranthaceae</v>
      </c>
      <c r="M462" s="9" t="str">
        <f>VLOOKUP($B462,'[1]Plant data'!$A$1:$AB$315,6,0)</f>
        <v>NA</v>
      </c>
      <c r="N462" s="9" t="str">
        <f>VLOOKUP($B462,'[1]Plant data'!$A$1:$AB$315,7,0)</f>
        <v>NA</v>
      </c>
      <c r="O462" s="8" t="str">
        <f>VLOOKUP($B462,'[1]Plant data'!$A$1:$AB$315,10,0)</f>
        <v>NA</v>
      </c>
      <c r="P462" s="8" t="str">
        <f>VLOOKUP($B462,'[1]Plant data'!$A$1:$AB$315,11,0)</f>
        <v>NA</v>
      </c>
      <c r="Q462" s="8" t="str">
        <f>VLOOKUP($B462,'[1]Plant data'!$A$1:$AB$315,12,0)</f>
        <v>NA</v>
      </c>
      <c r="R462" s="8" t="str">
        <f>VLOOKUP($B462,'[1]Plant data'!$A$1:$AB$315,13,0)</f>
        <v>NA</v>
      </c>
      <c r="S462" s="8" t="str">
        <f>VLOOKUP($B462,'[1]Plant data'!$A$1:$AB$315,14,0)</f>
        <v>NA</v>
      </c>
      <c r="T462" s="11" t="str">
        <f>VLOOKUP($B462,'[1]Plant data'!$A$1:$AB$315,15,0)</f>
        <v>NA</v>
      </c>
      <c r="U462" s="9" t="str">
        <f>VLOOKUP($B462,'[1]Plant data'!$A$1:$AB$315,19,0)</f>
        <v>NA</v>
      </c>
      <c r="V462" s="8" t="str">
        <f>VLOOKUP($B462,'[1]Plant data'!$A$1:$AB$315,20,0)</f>
        <v>NA</v>
      </c>
      <c r="W462" s="8" t="str">
        <f>VLOOKUP($B462,'[1]Plant data'!$A$1:$AB$315,21,0)</f>
        <v>NA</v>
      </c>
      <c r="X462" s="8" t="str">
        <f>VLOOKUP($B462,'[1]Plant data'!$A$1:$AB$315,22,0)</f>
        <v>NA</v>
      </c>
      <c r="Y462" s="8" t="str">
        <f>VLOOKUP($B462,'[1]Plant data'!$A$1:$AB$315,23,0)</f>
        <v>NA</v>
      </c>
      <c r="Z462" s="8" t="str">
        <f>VLOOKUP($B462,'[1]Plant data'!$A$1:$AB$315,24,0)</f>
        <v>NA</v>
      </c>
      <c r="AA462" s="8" t="str">
        <f>VLOOKUP($B462,'[1]Plant data'!$A$1:$AB$315,25,0)</f>
        <v>NA</v>
      </c>
      <c r="AB462" s="8" t="s">
        <v>19</v>
      </c>
    </row>
    <row r="463" spans="1:28">
      <c r="A463" s="5" t="s">
        <v>28</v>
      </c>
      <c r="B463" s="34" t="s">
        <v>83</v>
      </c>
      <c r="C463" s="53">
        <v>1</v>
      </c>
      <c r="D463" s="58">
        <v>17</v>
      </c>
      <c r="E463" s="8">
        <f>C463/D463</f>
        <v>5.8823529411764705E-2</v>
      </c>
      <c r="F463" s="54">
        <v>4</v>
      </c>
      <c r="G463" s="27">
        <v>0.19</v>
      </c>
      <c r="H463" s="23">
        <f t="shared" si="34"/>
        <v>1.1176470588235295E-2</v>
      </c>
      <c r="I463" t="s">
        <v>30</v>
      </c>
      <c r="J463" s="11">
        <v>18</v>
      </c>
      <c r="K463" s="11">
        <v>7.4188405800000004</v>
      </c>
      <c r="L463" t="str">
        <f>VLOOKUP(B463,'[1]Plant data'!$A$1:$AB$315,2,0)</f>
        <v>Urticaceae</v>
      </c>
      <c r="M463" s="9">
        <f>VLOOKUP($B463,'[1]Plant data'!$A$1:$AB$315,6,0)</f>
        <v>13.65</v>
      </c>
      <c r="N463" s="9">
        <f>VLOOKUP($B463,'[1]Plant data'!$A$1:$AB$315,7,0)</f>
        <v>159.32</v>
      </c>
      <c r="O463" s="8">
        <f>VLOOKUP($B463,'[1]Plant data'!$A$1:$AB$315,10,0)</f>
        <v>10.4</v>
      </c>
      <c r="P463" s="8" t="str">
        <f>VLOOKUP($B463,'[1]Plant data'!$A$1:$AB$315,11,0)</f>
        <v>NA</v>
      </c>
      <c r="Q463" s="8" t="str">
        <f>VLOOKUP($B463,'[1]Plant data'!$A$1:$AB$315,12,0)</f>
        <v>NA</v>
      </c>
      <c r="R463" s="8">
        <f>VLOOKUP($B463,'[1]Plant data'!$A$1:$AB$315,13,0)</f>
        <v>0.8</v>
      </c>
      <c r="S463" s="8" t="str">
        <f>VLOOKUP($B463,'[1]Plant data'!$A$1:$AB$315,14,0)</f>
        <v>NA</v>
      </c>
      <c r="T463" s="11">
        <f>VLOOKUP($B463,'[1]Plant data'!$A$1:$AB$315,15,0)</f>
        <v>4137</v>
      </c>
      <c r="U463" s="9">
        <f>VLOOKUP($B463,'[1]Plant data'!$A$1:$AB$315,19,0)</f>
        <v>0.63100000000000001</v>
      </c>
      <c r="V463" s="8">
        <f>VLOOKUP($B463,'[1]Plant data'!$A$1:$AB$315,20,0)</f>
        <v>3.9E-2</v>
      </c>
      <c r="W463" s="8">
        <f>VLOOKUP($B463,'[1]Plant data'!$A$1:$AB$315,21,0)</f>
        <v>0.11699999999999999</v>
      </c>
      <c r="X463" s="8" t="str">
        <f>VLOOKUP($B463,'[1]Plant data'!$A$1:$AB$315,22,0)</f>
        <v>NA</v>
      </c>
      <c r="Y463" s="8" t="str">
        <f>VLOOKUP($B463,'[1]Plant data'!$A$1:$AB$315,23,0)</f>
        <v>NA</v>
      </c>
      <c r="Z463" s="8" t="str">
        <f>VLOOKUP($B463,'[1]Plant data'!$A$1:$AB$315,24,0)</f>
        <v>NA</v>
      </c>
      <c r="AA463" s="8">
        <f>VLOOKUP($B463,'[1]Plant data'!$A$1:$AB$315,25,0)</f>
        <v>0.77599999999999991</v>
      </c>
      <c r="AB463" s="8" t="s">
        <v>19</v>
      </c>
    </row>
    <row r="464" spans="1:28">
      <c r="A464" s="21" t="s">
        <v>41</v>
      </c>
      <c r="B464" s="31" t="s">
        <v>83</v>
      </c>
      <c r="C464" s="55">
        <v>21</v>
      </c>
      <c r="D464" s="17">
        <v>32</v>
      </c>
      <c r="E464" s="23">
        <f>C464/32</f>
        <v>0.65625</v>
      </c>
      <c r="F464" s="55">
        <v>1.9</v>
      </c>
      <c r="G464" s="27">
        <v>0.1</v>
      </c>
      <c r="H464" s="23">
        <f t="shared" si="34"/>
        <v>6.5625000000000003E-2</v>
      </c>
      <c r="I464" s="16" t="s">
        <v>30</v>
      </c>
      <c r="J464" s="17">
        <v>39</v>
      </c>
      <c r="K464" s="17">
        <v>8.2839869279999991</v>
      </c>
      <c r="L464" t="str">
        <f>VLOOKUP(B464,'[1]Plant data'!$A$1:$AB$315,2,0)</f>
        <v>Urticaceae</v>
      </c>
      <c r="M464" s="9">
        <f>VLOOKUP($B464,'[1]Plant data'!$A$1:$AB$315,6,0)</f>
        <v>13.65</v>
      </c>
      <c r="N464" s="9">
        <f>VLOOKUP($B464,'[1]Plant data'!$A$1:$AB$315,7,0)</f>
        <v>159.32</v>
      </c>
      <c r="O464" s="8">
        <f>VLOOKUP($B464,'[1]Plant data'!$A$1:$AB$315,10,0)</f>
        <v>10.4</v>
      </c>
      <c r="P464" s="8" t="str">
        <f>VLOOKUP($B464,'[1]Plant data'!$A$1:$AB$315,11,0)</f>
        <v>NA</v>
      </c>
      <c r="Q464" s="8" t="str">
        <f>VLOOKUP($B464,'[1]Plant data'!$A$1:$AB$315,12,0)</f>
        <v>NA</v>
      </c>
      <c r="R464" s="8">
        <f>VLOOKUP($B464,'[1]Plant data'!$A$1:$AB$315,13,0)</f>
        <v>0.8</v>
      </c>
      <c r="S464" s="8" t="str">
        <f>VLOOKUP($B464,'[1]Plant data'!$A$1:$AB$315,14,0)</f>
        <v>NA</v>
      </c>
      <c r="T464" s="11">
        <f>VLOOKUP($B464,'[1]Plant data'!$A$1:$AB$315,15,0)</f>
        <v>4137</v>
      </c>
      <c r="U464" s="9">
        <f>VLOOKUP($B464,'[1]Plant data'!$A$1:$AB$315,19,0)</f>
        <v>0.63100000000000001</v>
      </c>
      <c r="V464" s="8">
        <f>VLOOKUP($B464,'[1]Plant data'!$A$1:$AB$315,20,0)</f>
        <v>3.9E-2</v>
      </c>
      <c r="W464" s="8">
        <f>VLOOKUP($B464,'[1]Plant data'!$A$1:$AB$315,21,0)</f>
        <v>0.11699999999999999</v>
      </c>
      <c r="X464" s="8" t="str">
        <f>VLOOKUP($B464,'[1]Plant data'!$A$1:$AB$315,22,0)</f>
        <v>NA</v>
      </c>
      <c r="Y464" s="8" t="str">
        <f>VLOOKUP($B464,'[1]Plant data'!$A$1:$AB$315,23,0)</f>
        <v>NA</v>
      </c>
      <c r="Z464" s="8" t="str">
        <f>VLOOKUP($B464,'[1]Plant data'!$A$1:$AB$315,24,0)</f>
        <v>NA</v>
      </c>
      <c r="AA464" s="8">
        <f>VLOOKUP($B464,'[1]Plant data'!$A$1:$AB$315,25,0)</f>
        <v>0.77599999999999991</v>
      </c>
      <c r="AB464" s="8" t="s">
        <v>19</v>
      </c>
    </row>
    <row r="465" spans="1:28">
      <c r="A465" s="5" t="s">
        <v>41</v>
      </c>
      <c r="B465" s="34" t="s">
        <v>83</v>
      </c>
      <c r="C465" s="53">
        <v>1</v>
      </c>
      <c r="D465" s="58">
        <v>17</v>
      </c>
      <c r="E465" s="8">
        <f>C465/D465</f>
        <v>5.8823529411764705E-2</v>
      </c>
      <c r="F465" s="54">
        <v>1</v>
      </c>
      <c r="G465" s="27">
        <v>0.05</v>
      </c>
      <c r="H465" s="23">
        <f t="shared" si="34"/>
        <v>2.9411764705882353E-3</v>
      </c>
      <c r="I465" t="s">
        <v>30</v>
      </c>
      <c r="J465" s="11">
        <v>39</v>
      </c>
      <c r="K465" s="11">
        <v>8.2839869279999991</v>
      </c>
      <c r="L465" t="str">
        <f>VLOOKUP(B465,'[1]Plant data'!$A$1:$AB$315,2,0)</f>
        <v>Urticaceae</v>
      </c>
      <c r="M465" s="9">
        <f>VLOOKUP($B465,'[1]Plant data'!$A$1:$AB$315,6,0)</f>
        <v>13.65</v>
      </c>
      <c r="N465" s="9">
        <f>VLOOKUP($B465,'[1]Plant data'!$A$1:$AB$315,7,0)</f>
        <v>159.32</v>
      </c>
      <c r="O465" s="8">
        <f>VLOOKUP($B465,'[1]Plant data'!$A$1:$AB$315,10,0)</f>
        <v>10.4</v>
      </c>
      <c r="P465" s="8" t="str">
        <f>VLOOKUP($B465,'[1]Plant data'!$A$1:$AB$315,11,0)</f>
        <v>NA</v>
      </c>
      <c r="Q465" s="8" t="str">
        <f>VLOOKUP($B465,'[1]Plant data'!$A$1:$AB$315,12,0)</f>
        <v>NA</v>
      </c>
      <c r="R465" s="8">
        <f>VLOOKUP($B465,'[1]Plant data'!$A$1:$AB$315,13,0)</f>
        <v>0.8</v>
      </c>
      <c r="S465" s="8" t="str">
        <f>VLOOKUP($B465,'[1]Plant data'!$A$1:$AB$315,14,0)</f>
        <v>NA</v>
      </c>
      <c r="T465" s="11">
        <f>VLOOKUP($B465,'[1]Plant data'!$A$1:$AB$315,15,0)</f>
        <v>4137</v>
      </c>
      <c r="U465" s="9">
        <f>VLOOKUP($B465,'[1]Plant data'!$A$1:$AB$315,19,0)</f>
        <v>0.63100000000000001</v>
      </c>
      <c r="V465" s="8">
        <f>VLOOKUP($B465,'[1]Plant data'!$A$1:$AB$315,20,0)</f>
        <v>3.9E-2</v>
      </c>
      <c r="W465" s="8">
        <f>VLOOKUP($B465,'[1]Plant data'!$A$1:$AB$315,21,0)</f>
        <v>0.11699999999999999</v>
      </c>
      <c r="X465" s="8" t="str">
        <f>VLOOKUP($B465,'[1]Plant data'!$A$1:$AB$315,22,0)</f>
        <v>NA</v>
      </c>
      <c r="Y465" s="8" t="str">
        <f>VLOOKUP($B465,'[1]Plant data'!$A$1:$AB$315,23,0)</f>
        <v>NA</v>
      </c>
      <c r="Z465" s="8" t="str">
        <f>VLOOKUP($B465,'[1]Plant data'!$A$1:$AB$315,24,0)</f>
        <v>NA</v>
      </c>
      <c r="AA465" s="8">
        <f>VLOOKUP($B465,'[1]Plant data'!$A$1:$AB$315,25,0)</f>
        <v>0.77599999999999991</v>
      </c>
      <c r="AB465" s="8" t="s">
        <v>19</v>
      </c>
    </row>
    <row r="466" spans="1:28">
      <c r="A466" s="5" t="s">
        <v>43</v>
      </c>
      <c r="B466" s="34" t="s">
        <v>83</v>
      </c>
      <c r="C466" s="53">
        <v>4</v>
      </c>
      <c r="D466" s="58">
        <v>17</v>
      </c>
      <c r="E466" s="8">
        <f>C466/D466</f>
        <v>0.23529411764705882</v>
      </c>
      <c r="F466" s="54">
        <v>3</v>
      </c>
      <c r="G466" s="27">
        <v>0.04</v>
      </c>
      <c r="H466" s="23">
        <f t="shared" si="34"/>
        <v>9.4117647058823539E-3</v>
      </c>
      <c r="I466" t="s">
        <v>30</v>
      </c>
      <c r="J466" s="11">
        <v>32.5</v>
      </c>
      <c r="K466" s="11">
        <v>8.9205555560000001</v>
      </c>
      <c r="L466" t="str">
        <f>VLOOKUP(B466,'[1]Plant data'!$A$1:$AB$315,2,0)</f>
        <v>Urticaceae</v>
      </c>
      <c r="M466" s="9">
        <f>VLOOKUP($B466,'[1]Plant data'!$A$1:$AB$315,6,0)</f>
        <v>13.65</v>
      </c>
      <c r="N466" s="9">
        <f>VLOOKUP($B466,'[1]Plant data'!$A$1:$AB$315,7,0)</f>
        <v>159.32</v>
      </c>
      <c r="O466" s="8">
        <f>VLOOKUP($B466,'[1]Plant data'!$A$1:$AB$315,10,0)</f>
        <v>10.4</v>
      </c>
      <c r="P466" s="8" t="str">
        <f>VLOOKUP($B466,'[1]Plant data'!$A$1:$AB$315,11,0)</f>
        <v>NA</v>
      </c>
      <c r="Q466" s="8" t="str">
        <f>VLOOKUP($B466,'[1]Plant data'!$A$1:$AB$315,12,0)</f>
        <v>NA</v>
      </c>
      <c r="R466" s="8">
        <f>VLOOKUP($B466,'[1]Plant data'!$A$1:$AB$315,13,0)</f>
        <v>0.8</v>
      </c>
      <c r="S466" s="8" t="str">
        <f>VLOOKUP($B466,'[1]Plant data'!$A$1:$AB$315,14,0)</f>
        <v>NA</v>
      </c>
      <c r="T466" s="11">
        <f>VLOOKUP($B466,'[1]Plant data'!$A$1:$AB$315,15,0)</f>
        <v>4137</v>
      </c>
      <c r="U466" s="9">
        <f>VLOOKUP($B466,'[1]Plant data'!$A$1:$AB$315,19,0)</f>
        <v>0.63100000000000001</v>
      </c>
      <c r="V466" s="8">
        <f>VLOOKUP($B466,'[1]Plant data'!$A$1:$AB$315,20,0)</f>
        <v>3.9E-2</v>
      </c>
      <c r="W466" s="8">
        <f>VLOOKUP($B466,'[1]Plant data'!$A$1:$AB$315,21,0)</f>
        <v>0.11699999999999999</v>
      </c>
      <c r="X466" s="8" t="str">
        <f>VLOOKUP($B466,'[1]Plant data'!$A$1:$AB$315,22,0)</f>
        <v>NA</v>
      </c>
      <c r="Y466" s="8" t="str">
        <f>VLOOKUP($B466,'[1]Plant data'!$A$1:$AB$315,23,0)</f>
        <v>NA</v>
      </c>
      <c r="Z466" s="8" t="str">
        <f>VLOOKUP($B466,'[1]Plant data'!$A$1:$AB$315,24,0)</f>
        <v>NA</v>
      </c>
      <c r="AA466" s="8">
        <f>VLOOKUP($B466,'[1]Plant data'!$A$1:$AB$315,25,0)</f>
        <v>0.77599999999999991</v>
      </c>
      <c r="AB466" s="8" t="s">
        <v>19</v>
      </c>
    </row>
    <row r="467" spans="1:28">
      <c r="A467" s="21" t="s">
        <v>43</v>
      </c>
      <c r="B467" s="31" t="s">
        <v>83</v>
      </c>
      <c r="C467" s="55">
        <v>17</v>
      </c>
      <c r="D467" s="17">
        <v>32</v>
      </c>
      <c r="E467" s="23">
        <f>C467/32</f>
        <v>0.53125</v>
      </c>
      <c r="F467" s="55">
        <v>1.5</v>
      </c>
      <c r="G467" s="27">
        <v>0.1</v>
      </c>
      <c r="H467" s="23">
        <f t="shared" si="34"/>
        <v>5.3125000000000006E-2</v>
      </c>
      <c r="I467" s="16" t="s">
        <v>30</v>
      </c>
      <c r="J467" s="17">
        <v>32.5</v>
      </c>
      <c r="K467" s="17">
        <v>8.9205555560000001</v>
      </c>
      <c r="L467" t="str">
        <f>VLOOKUP(B467,'[1]Plant data'!$A$1:$AB$315,2,0)</f>
        <v>Urticaceae</v>
      </c>
      <c r="M467" s="9">
        <f>VLOOKUP($B467,'[1]Plant data'!$A$1:$AB$315,6,0)</f>
        <v>13.65</v>
      </c>
      <c r="N467" s="9">
        <f>VLOOKUP($B467,'[1]Plant data'!$A$1:$AB$315,7,0)</f>
        <v>159.32</v>
      </c>
      <c r="O467" s="8">
        <f>VLOOKUP($B467,'[1]Plant data'!$A$1:$AB$315,10,0)</f>
        <v>10.4</v>
      </c>
      <c r="P467" s="8" t="str">
        <f>VLOOKUP($B467,'[1]Plant data'!$A$1:$AB$315,11,0)</f>
        <v>NA</v>
      </c>
      <c r="Q467" s="8" t="str">
        <f>VLOOKUP($B467,'[1]Plant data'!$A$1:$AB$315,12,0)</f>
        <v>NA</v>
      </c>
      <c r="R467" s="8">
        <f>VLOOKUP($B467,'[1]Plant data'!$A$1:$AB$315,13,0)</f>
        <v>0.8</v>
      </c>
      <c r="S467" s="8" t="str">
        <f>VLOOKUP($B467,'[1]Plant data'!$A$1:$AB$315,14,0)</f>
        <v>NA</v>
      </c>
      <c r="T467" s="11">
        <f>VLOOKUP($B467,'[1]Plant data'!$A$1:$AB$315,15,0)</f>
        <v>4137</v>
      </c>
      <c r="U467" s="9">
        <f>VLOOKUP($B467,'[1]Plant data'!$A$1:$AB$315,19,0)</f>
        <v>0.63100000000000001</v>
      </c>
      <c r="V467" s="8">
        <f>VLOOKUP($B467,'[1]Plant data'!$A$1:$AB$315,20,0)</f>
        <v>3.9E-2</v>
      </c>
      <c r="W467" s="8">
        <f>VLOOKUP($B467,'[1]Plant data'!$A$1:$AB$315,21,0)</f>
        <v>0.11699999999999999</v>
      </c>
      <c r="X467" s="8" t="str">
        <f>VLOOKUP($B467,'[1]Plant data'!$A$1:$AB$315,22,0)</f>
        <v>NA</v>
      </c>
      <c r="Y467" s="8" t="str">
        <f>VLOOKUP($B467,'[1]Plant data'!$A$1:$AB$315,23,0)</f>
        <v>NA</v>
      </c>
      <c r="Z467" s="8" t="str">
        <f>VLOOKUP($B467,'[1]Plant data'!$A$1:$AB$315,24,0)</f>
        <v>NA</v>
      </c>
      <c r="AA467" s="8">
        <f>VLOOKUP($B467,'[1]Plant data'!$A$1:$AB$315,25,0)</f>
        <v>0.77599999999999991</v>
      </c>
      <c r="AB467" s="8" t="s">
        <v>19</v>
      </c>
    </row>
    <row r="468" spans="1:28">
      <c r="A468" s="5" t="s">
        <v>110</v>
      </c>
      <c r="B468" s="32" t="s">
        <v>121</v>
      </c>
      <c r="C468" s="53">
        <v>4</v>
      </c>
      <c r="D468" s="11" t="s">
        <v>19</v>
      </c>
      <c r="E468" s="8" t="s">
        <v>19</v>
      </c>
      <c r="F468" s="54" t="s">
        <v>19</v>
      </c>
      <c r="G468" s="41">
        <v>1</v>
      </c>
      <c r="H468" s="23" t="s">
        <v>19</v>
      </c>
      <c r="I468" t="s">
        <v>101</v>
      </c>
      <c r="J468" s="11">
        <v>1250</v>
      </c>
      <c r="K468" s="11">
        <v>19.114999999999998</v>
      </c>
      <c r="L468" t="str">
        <f>VLOOKUP(B468,'[1]Plant data'!$A$1:$AB$315,2,0)</f>
        <v>Urticaceae</v>
      </c>
      <c r="M468" s="9">
        <f>VLOOKUP($B468,'[1]Plant data'!$A$1:$AB$315,6,0)</f>
        <v>11.2</v>
      </c>
      <c r="N468" s="9">
        <f>VLOOKUP($B468,'[1]Plant data'!$A$1:$AB$315,7,0)</f>
        <v>147.6</v>
      </c>
      <c r="O468" s="8">
        <f>VLOOKUP($B468,'[1]Plant data'!$A$1:$AB$315,10,0)</f>
        <v>14.87</v>
      </c>
      <c r="P468" s="8" t="str">
        <f>VLOOKUP($B468,'[1]Plant data'!$A$1:$AB$315,11,0)</f>
        <v>NA</v>
      </c>
      <c r="Q468" s="8">
        <f>VLOOKUP($B468,'[1]Plant data'!$A$1:$AB$315,12,0)</f>
        <v>1.0000000000000002E-3</v>
      </c>
      <c r="R468" s="8" t="str">
        <f>VLOOKUP($B468,'[1]Plant data'!$A$1:$AB$315,13,0)</f>
        <v>NA</v>
      </c>
      <c r="S468" s="8" t="str">
        <f>VLOOKUP($B468,'[1]Plant data'!$A$1:$AB$315,14,0)</f>
        <v>NA</v>
      </c>
      <c r="T468" s="11">
        <f>VLOOKUP($B468,'[1]Plant data'!$A$1:$AB$315,15,0)</f>
        <v>2964</v>
      </c>
      <c r="U468" s="9" t="str">
        <f>VLOOKUP($B468,'[1]Plant data'!$A$1:$AB$315,19,0)</f>
        <v>NA</v>
      </c>
      <c r="V468" s="8">
        <f>VLOOKUP($B468,'[1]Plant data'!$A$1:$AB$315,20,0)</f>
        <v>3.7072243346005632E-2</v>
      </c>
      <c r="W468" s="8">
        <f>VLOOKUP($B468,'[1]Plant data'!$A$1:$AB$315,21,0)</f>
        <v>0.12086333333333334</v>
      </c>
      <c r="X468" s="8">
        <f>VLOOKUP($B468,'[1]Plant data'!$A$1:$AB$315,22,0)</f>
        <v>7.6045627376425846E-3</v>
      </c>
      <c r="Y468" s="8">
        <f>VLOOKUP($B468,'[1]Plant data'!$A$1:$AB$315,23,0)</f>
        <v>7.6846874408169827E-2</v>
      </c>
      <c r="Z468" s="8" t="str">
        <f>VLOOKUP($B468,'[1]Plant data'!$A$1:$AB$315,24,0)</f>
        <v>NA</v>
      </c>
      <c r="AA468" s="8" t="str">
        <f>VLOOKUP($B468,'[1]Plant data'!$A$1:$AB$315,25,0)</f>
        <v>NA</v>
      </c>
      <c r="AB468" s="8">
        <f t="shared" ref="AB468:AB479" si="35">SUMIF(X468:Y468,"&gt;0.00001")</f>
        <v>8.4451437145812408E-2</v>
      </c>
    </row>
    <row r="469" spans="1:28">
      <c r="A469" s="5" t="s">
        <v>110</v>
      </c>
      <c r="B469" s="34" t="s">
        <v>121</v>
      </c>
      <c r="C469" s="53">
        <v>2</v>
      </c>
      <c r="D469" s="58">
        <v>48.16</v>
      </c>
      <c r="E469" s="8">
        <f>C469/D469</f>
        <v>4.1528239202657809E-2</v>
      </c>
      <c r="F469" s="54">
        <v>1</v>
      </c>
      <c r="G469" s="9">
        <f>F469/1</f>
        <v>1</v>
      </c>
      <c r="H469" s="23">
        <f t="shared" ref="H469:H479" si="36">E469*G469</f>
        <v>4.1528239202657809E-2</v>
      </c>
      <c r="I469" t="s">
        <v>101</v>
      </c>
      <c r="J469" s="11">
        <v>1250</v>
      </c>
      <c r="K469" s="11">
        <v>19.114999999999998</v>
      </c>
      <c r="L469" t="str">
        <f>VLOOKUP(B469,'[1]Plant data'!$A$1:$AB$315,2,0)</f>
        <v>Urticaceae</v>
      </c>
      <c r="M469" s="9">
        <f>VLOOKUP($B469,'[1]Plant data'!$A$1:$AB$315,6,0)</f>
        <v>11.2</v>
      </c>
      <c r="N469" s="9">
        <f>VLOOKUP($B469,'[1]Plant data'!$A$1:$AB$315,7,0)</f>
        <v>147.6</v>
      </c>
      <c r="O469" s="8">
        <f>VLOOKUP($B469,'[1]Plant data'!$A$1:$AB$315,10,0)</f>
        <v>14.87</v>
      </c>
      <c r="P469" s="8" t="str">
        <f>VLOOKUP($B469,'[1]Plant data'!$A$1:$AB$315,11,0)</f>
        <v>NA</v>
      </c>
      <c r="Q469" s="8">
        <f>VLOOKUP($B469,'[1]Plant data'!$A$1:$AB$315,12,0)</f>
        <v>1.0000000000000002E-3</v>
      </c>
      <c r="R469" s="8" t="str">
        <f>VLOOKUP($B469,'[1]Plant data'!$A$1:$AB$315,13,0)</f>
        <v>NA</v>
      </c>
      <c r="S469" s="8" t="str">
        <f>VLOOKUP($B469,'[1]Plant data'!$A$1:$AB$315,14,0)</f>
        <v>NA</v>
      </c>
      <c r="T469" s="11">
        <f>VLOOKUP($B469,'[1]Plant data'!$A$1:$AB$315,15,0)</f>
        <v>2964</v>
      </c>
      <c r="U469" s="9" t="str">
        <f>VLOOKUP($B469,'[1]Plant data'!$A$1:$AB$315,19,0)</f>
        <v>NA</v>
      </c>
      <c r="V469" s="8">
        <f>VLOOKUP($B469,'[1]Plant data'!$A$1:$AB$315,20,0)</f>
        <v>3.7072243346005632E-2</v>
      </c>
      <c r="W469" s="8">
        <f>VLOOKUP($B469,'[1]Plant data'!$A$1:$AB$315,21,0)</f>
        <v>0.12086333333333334</v>
      </c>
      <c r="X469" s="8">
        <f>VLOOKUP($B469,'[1]Plant data'!$A$1:$AB$315,22,0)</f>
        <v>7.6045627376425846E-3</v>
      </c>
      <c r="Y469" s="8">
        <f>VLOOKUP($B469,'[1]Plant data'!$A$1:$AB$315,23,0)</f>
        <v>7.6846874408169827E-2</v>
      </c>
      <c r="Z469" s="8" t="str">
        <f>VLOOKUP($B469,'[1]Plant data'!$A$1:$AB$315,24,0)</f>
        <v>NA</v>
      </c>
      <c r="AA469" s="8" t="str">
        <f>VLOOKUP($B469,'[1]Plant data'!$A$1:$AB$315,25,0)</f>
        <v>NA</v>
      </c>
      <c r="AB469" s="8">
        <f t="shared" si="35"/>
        <v>8.4451437145812408E-2</v>
      </c>
    </row>
    <row r="470" spans="1:28">
      <c r="A470" s="5" t="s">
        <v>110</v>
      </c>
      <c r="B470" s="32" t="s">
        <v>121</v>
      </c>
      <c r="C470" s="53">
        <v>1</v>
      </c>
      <c r="D470">
        <v>140</v>
      </c>
      <c r="E470" s="8">
        <f>C470/D470</f>
        <v>7.1428571428571426E-3</v>
      </c>
      <c r="F470" s="54" t="s">
        <v>19</v>
      </c>
      <c r="G470" s="9">
        <v>1</v>
      </c>
      <c r="H470" s="23">
        <f t="shared" si="36"/>
        <v>7.1428571428571426E-3</v>
      </c>
      <c r="I470" t="s">
        <v>101</v>
      </c>
      <c r="J470" s="11">
        <v>1250</v>
      </c>
      <c r="K470" s="11">
        <v>19.114999999999998</v>
      </c>
      <c r="L470" t="str">
        <f>VLOOKUP(B470,'[1]Plant data'!$A$1:$AB$315,2,0)</f>
        <v>Urticaceae</v>
      </c>
      <c r="M470" s="9">
        <f>VLOOKUP($B470,'[1]Plant data'!$A$1:$AB$315,6,0)</f>
        <v>11.2</v>
      </c>
      <c r="N470" s="9">
        <f>VLOOKUP($B470,'[1]Plant data'!$A$1:$AB$315,7,0)</f>
        <v>147.6</v>
      </c>
      <c r="O470" s="8">
        <f>VLOOKUP($B470,'[1]Plant data'!$A$1:$AB$315,10,0)</f>
        <v>14.87</v>
      </c>
      <c r="P470" s="8" t="str">
        <f>VLOOKUP($B470,'[1]Plant data'!$A$1:$AB$315,11,0)</f>
        <v>NA</v>
      </c>
      <c r="Q470" s="8">
        <f>VLOOKUP($B470,'[1]Plant data'!$A$1:$AB$315,12,0)</f>
        <v>1.0000000000000002E-3</v>
      </c>
      <c r="R470" s="8" t="str">
        <f>VLOOKUP($B470,'[1]Plant data'!$A$1:$AB$315,13,0)</f>
        <v>NA</v>
      </c>
      <c r="S470" s="8" t="str">
        <f>VLOOKUP($B470,'[1]Plant data'!$A$1:$AB$315,14,0)</f>
        <v>NA</v>
      </c>
      <c r="T470" s="11">
        <f>VLOOKUP($B470,'[1]Plant data'!$A$1:$AB$315,15,0)</f>
        <v>2964</v>
      </c>
      <c r="U470" s="9" t="str">
        <f>VLOOKUP($B470,'[1]Plant data'!$A$1:$AB$315,19,0)</f>
        <v>NA</v>
      </c>
      <c r="V470" s="8">
        <f>VLOOKUP($B470,'[1]Plant data'!$A$1:$AB$315,20,0)</f>
        <v>3.7072243346005632E-2</v>
      </c>
      <c r="W470" s="8">
        <f>VLOOKUP($B470,'[1]Plant data'!$A$1:$AB$315,21,0)</f>
        <v>0.12086333333333334</v>
      </c>
      <c r="X470" s="8">
        <f>VLOOKUP($B470,'[1]Plant data'!$A$1:$AB$315,22,0)</f>
        <v>7.6045627376425846E-3</v>
      </c>
      <c r="Y470" s="8">
        <f>VLOOKUP($B470,'[1]Plant data'!$A$1:$AB$315,23,0)</f>
        <v>7.6846874408169827E-2</v>
      </c>
      <c r="Z470" s="8" t="str">
        <f>VLOOKUP($B470,'[1]Plant data'!$A$1:$AB$315,24,0)</f>
        <v>NA</v>
      </c>
      <c r="AA470" s="8" t="str">
        <f>VLOOKUP($B470,'[1]Plant data'!$A$1:$AB$315,25,0)</f>
        <v>NA</v>
      </c>
      <c r="AB470" s="8">
        <f t="shared" si="35"/>
        <v>8.4451437145812408E-2</v>
      </c>
    </row>
    <row r="471" spans="1:28">
      <c r="A471" s="5" t="s">
        <v>110</v>
      </c>
      <c r="B471" s="32" t="s">
        <v>121</v>
      </c>
      <c r="C471" s="53">
        <v>2</v>
      </c>
      <c r="D471" s="11">
        <v>750</v>
      </c>
      <c r="E471" s="8">
        <f>C471/750</f>
        <v>2.6666666666666666E-3</v>
      </c>
      <c r="F471" s="56" t="s">
        <v>19</v>
      </c>
      <c r="G471" s="41">
        <v>1</v>
      </c>
      <c r="H471" s="23">
        <f t="shared" si="36"/>
        <v>2.6666666666666666E-3</v>
      </c>
      <c r="I471" t="s">
        <v>101</v>
      </c>
      <c r="J471" s="11">
        <v>1250</v>
      </c>
      <c r="K471" s="11">
        <v>19.114999999999998</v>
      </c>
      <c r="L471" t="str">
        <f>VLOOKUP(B471,'[1]Plant data'!$A$1:$AB$315,2,0)</f>
        <v>Urticaceae</v>
      </c>
      <c r="M471" s="9">
        <f>VLOOKUP($B471,'[1]Plant data'!$A$1:$AB$315,6,0)</f>
        <v>11.2</v>
      </c>
      <c r="N471" s="9">
        <f>VLOOKUP($B471,'[1]Plant data'!$A$1:$AB$315,7,0)</f>
        <v>147.6</v>
      </c>
      <c r="O471" s="8">
        <f>VLOOKUP($B471,'[1]Plant data'!$A$1:$AB$315,10,0)</f>
        <v>14.87</v>
      </c>
      <c r="P471" s="8" t="str">
        <f>VLOOKUP($B471,'[1]Plant data'!$A$1:$AB$315,11,0)</f>
        <v>NA</v>
      </c>
      <c r="Q471" s="8">
        <f>VLOOKUP($B471,'[1]Plant data'!$A$1:$AB$315,12,0)</f>
        <v>1.0000000000000002E-3</v>
      </c>
      <c r="R471" s="8" t="str">
        <f>VLOOKUP($B471,'[1]Plant data'!$A$1:$AB$315,13,0)</f>
        <v>NA</v>
      </c>
      <c r="S471" s="8" t="str">
        <f>VLOOKUP($B471,'[1]Plant data'!$A$1:$AB$315,14,0)</f>
        <v>NA</v>
      </c>
      <c r="T471" s="11">
        <f>VLOOKUP($B471,'[1]Plant data'!$A$1:$AB$315,15,0)</f>
        <v>2964</v>
      </c>
      <c r="U471" s="9" t="str">
        <f>VLOOKUP($B471,'[1]Plant data'!$A$1:$AB$315,19,0)</f>
        <v>NA</v>
      </c>
      <c r="V471" s="8">
        <f>VLOOKUP($B471,'[1]Plant data'!$A$1:$AB$315,20,0)</f>
        <v>3.7072243346005632E-2</v>
      </c>
      <c r="W471" s="8">
        <f>VLOOKUP($B471,'[1]Plant data'!$A$1:$AB$315,21,0)</f>
        <v>0.12086333333333334</v>
      </c>
      <c r="X471" s="8">
        <f>VLOOKUP($B471,'[1]Plant data'!$A$1:$AB$315,22,0)</f>
        <v>7.6045627376425846E-3</v>
      </c>
      <c r="Y471" s="8">
        <f>VLOOKUP($B471,'[1]Plant data'!$A$1:$AB$315,23,0)</f>
        <v>7.6846874408169827E-2</v>
      </c>
      <c r="Z471" s="8" t="str">
        <f>VLOOKUP($B471,'[1]Plant data'!$A$1:$AB$315,24,0)</f>
        <v>NA</v>
      </c>
      <c r="AA471" s="8" t="str">
        <f>VLOOKUP($B471,'[1]Plant data'!$A$1:$AB$315,25,0)</f>
        <v>NA</v>
      </c>
      <c r="AB471" s="8">
        <f t="shared" si="35"/>
        <v>8.4451437145812408E-2</v>
      </c>
    </row>
    <row r="472" spans="1:28">
      <c r="A472" s="5" t="s">
        <v>70</v>
      </c>
      <c r="B472" s="39" t="s">
        <v>121</v>
      </c>
      <c r="C472" s="53">
        <v>1</v>
      </c>
      <c r="D472" s="58">
        <v>48.16</v>
      </c>
      <c r="E472" s="8">
        <f>C472/D472</f>
        <v>2.0764119601328904E-2</v>
      </c>
      <c r="F472" s="54">
        <v>2</v>
      </c>
      <c r="G472" s="27">
        <v>0.09</v>
      </c>
      <c r="H472" s="23">
        <f t="shared" si="36"/>
        <v>1.8687707641196014E-3</v>
      </c>
      <c r="I472" t="s">
        <v>23</v>
      </c>
      <c r="J472" s="11">
        <v>15</v>
      </c>
      <c r="K472" s="11">
        <v>6.9235714289999999</v>
      </c>
      <c r="L472" t="str">
        <f>VLOOKUP(B472,'[1]Plant data'!$A$1:$AB$315,2,0)</f>
        <v>Urticaceae</v>
      </c>
      <c r="M472" s="9">
        <f>VLOOKUP($B472,'[1]Plant data'!$A$1:$AB$315,6,0)</f>
        <v>11.2</v>
      </c>
      <c r="N472" s="9">
        <f>VLOOKUP($B472,'[1]Plant data'!$A$1:$AB$315,7,0)</f>
        <v>147.6</v>
      </c>
      <c r="O472" s="8">
        <f>VLOOKUP($B472,'[1]Plant data'!$A$1:$AB$315,10,0)</f>
        <v>14.87</v>
      </c>
      <c r="P472" s="8" t="str">
        <f>VLOOKUP($B472,'[1]Plant data'!$A$1:$AB$315,11,0)</f>
        <v>NA</v>
      </c>
      <c r="Q472" s="8">
        <f>VLOOKUP($B472,'[1]Plant data'!$A$1:$AB$315,12,0)</f>
        <v>1.0000000000000002E-3</v>
      </c>
      <c r="R472" s="8" t="str">
        <f>VLOOKUP($B472,'[1]Plant data'!$A$1:$AB$315,13,0)</f>
        <v>NA</v>
      </c>
      <c r="S472" s="8" t="str">
        <f>VLOOKUP($B472,'[1]Plant data'!$A$1:$AB$315,14,0)</f>
        <v>NA</v>
      </c>
      <c r="T472" s="11">
        <f>VLOOKUP($B472,'[1]Plant data'!$A$1:$AB$315,15,0)</f>
        <v>2964</v>
      </c>
      <c r="U472" s="9" t="str">
        <f>VLOOKUP($B472,'[1]Plant data'!$A$1:$AB$315,19,0)</f>
        <v>NA</v>
      </c>
      <c r="V472" s="8">
        <f>VLOOKUP($B472,'[1]Plant data'!$A$1:$AB$315,20,0)</f>
        <v>3.7072243346005632E-2</v>
      </c>
      <c r="W472" s="8">
        <f>VLOOKUP($B472,'[1]Plant data'!$A$1:$AB$315,21,0)</f>
        <v>0.12086333333333334</v>
      </c>
      <c r="X472" s="8">
        <f>VLOOKUP($B472,'[1]Plant data'!$A$1:$AB$315,22,0)</f>
        <v>7.6045627376425846E-3</v>
      </c>
      <c r="Y472" s="8">
        <f>VLOOKUP($B472,'[1]Plant data'!$A$1:$AB$315,23,0)</f>
        <v>7.6846874408169827E-2</v>
      </c>
      <c r="Z472" s="8" t="str">
        <f>VLOOKUP($B472,'[1]Plant data'!$A$1:$AB$315,24,0)</f>
        <v>NA</v>
      </c>
      <c r="AA472" s="8" t="str">
        <f>VLOOKUP($B472,'[1]Plant data'!$A$1:$AB$315,25,0)</f>
        <v>NA</v>
      </c>
      <c r="AB472" s="8">
        <f t="shared" si="35"/>
        <v>8.4451437145812408E-2</v>
      </c>
    </row>
    <row r="473" spans="1:28">
      <c r="A473" s="5" t="s">
        <v>70</v>
      </c>
      <c r="B473" s="6" t="s">
        <v>121</v>
      </c>
      <c r="C473" s="53">
        <v>1</v>
      </c>
      <c r="D473">
        <v>140</v>
      </c>
      <c r="E473" s="8">
        <f>C473/D473</f>
        <v>7.1428571428571426E-3</v>
      </c>
      <c r="F473" s="56" t="s">
        <v>19</v>
      </c>
      <c r="G473" s="27">
        <v>0.05</v>
      </c>
      <c r="H473" s="23">
        <f t="shared" si="36"/>
        <v>3.5714285714285714E-4</v>
      </c>
      <c r="I473" t="s">
        <v>23</v>
      </c>
      <c r="J473" s="11">
        <v>15</v>
      </c>
      <c r="K473" s="11">
        <v>6.9235714289999999</v>
      </c>
      <c r="L473" t="str">
        <f>VLOOKUP(B473,'[1]Plant data'!$A$1:$AB$315,2,0)</f>
        <v>Urticaceae</v>
      </c>
      <c r="M473" s="9">
        <f>VLOOKUP($B473,'[1]Plant data'!$A$1:$AB$315,6,0)</f>
        <v>11.2</v>
      </c>
      <c r="N473" s="9">
        <f>VLOOKUP($B473,'[1]Plant data'!$A$1:$AB$315,7,0)</f>
        <v>147.6</v>
      </c>
      <c r="O473" s="8">
        <f>VLOOKUP($B473,'[1]Plant data'!$A$1:$AB$315,10,0)</f>
        <v>14.87</v>
      </c>
      <c r="P473" s="8" t="str">
        <f>VLOOKUP($B473,'[1]Plant data'!$A$1:$AB$315,11,0)</f>
        <v>NA</v>
      </c>
      <c r="Q473" s="8">
        <f>VLOOKUP($B473,'[1]Plant data'!$A$1:$AB$315,12,0)</f>
        <v>1.0000000000000002E-3</v>
      </c>
      <c r="R473" s="8" t="str">
        <f>VLOOKUP($B473,'[1]Plant data'!$A$1:$AB$315,13,0)</f>
        <v>NA</v>
      </c>
      <c r="S473" s="8" t="str">
        <f>VLOOKUP($B473,'[1]Plant data'!$A$1:$AB$315,14,0)</f>
        <v>NA</v>
      </c>
      <c r="T473" s="11">
        <f>VLOOKUP($B473,'[1]Plant data'!$A$1:$AB$315,15,0)</f>
        <v>2964</v>
      </c>
      <c r="U473" s="9" t="str">
        <f>VLOOKUP($B473,'[1]Plant data'!$A$1:$AB$315,19,0)</f>
        <v>NA</v>
      </c>
      <c r="V473" s="8">
        <f>VLOOKUP($B473,'[1]Plant data'!$A$1:$AB$315,20,0)</f>
        <v>3.7072243346005632E-2</v>
      </c>
      <c r="W473" s="8">
        <f>VLOOKUP($B473,'[1]Plant data'!$A$1:$AB$315,21,0)</f>
        <v>0.12086333333333334</v>
      </c>
      <c r="X473" s="8">
        <f>VLOOKUP($B473,'[1]Plant data'!$A$1:$AB$315,22,0)</f>
        <v>7.6045627376425846E-3</v>
      </c>
      <c r="Y473" s="8">
        <f>VLOOKUP($B473,'[1]Plant data'!$A$1:$AB$315,23,0)</f>
        <v>7.6846874408169827E-2</v>
      </c>
      <c r="Z473" s="8" t="str">
        <f>VLOOKUP($B473,'[1]Plant data'!$A$1:$AB$315,24,0)</f>
        <v>NA</v>
      </c>
      <c r="AA473" s="8" t="str">
        <f>VLOOKUP($B473,'[1]Plant data'!$A$1:$AB$315,25,0)</f>
        <v>NA</v>
      </c>
      <c r="AB473" s="8">
        <f t="shared" si="35"/>
        <v>8.4451437145812408E-2</v>
      </c>
    </row>
    <row r="474" spans="1:28">
      <c r="A474" s="5" t="s">
        <v>65</v>
      </c>
      <c r="B474" s="6" t="s">
        <v>121</v>
      </c>
      <c r="C474" s="53">
        <v>1</v>
      </c>
      <c r="D474" s="58">
        <v>140</v>
      </c>
      <c r="E474" s="8">
        <f>C474/D474</f>
        <v>7.1428571428571426E-3</v>
      </c>
      <c r="F474" s="56">
        <v>2</v>
      </c>
      <c r="G474" s="27">
        <v>8.3000000000000004E-2</v>
      </c>
      <c r="H474" s="23">
        <f>G474*E474</f>
        <v>5.9285714285714291E-4</v>
      </c>
      <c r="I474" t="s">
        <v>23</v>
      </c>
      <c r="J474" s="11">
        <v>11</v>
      </c>
      <c r="K474" s="11">
        <v>6.1</v>
      </c>
      <c r="L474" t="str">
        <f>VLOOKUP(B474,'[1]Plant data'!$A$1:$AB$315,2,0)</f>
        <v>Urticaceae</v>
      </c>
      <c r="M474" s="9">
        <f>VLOOKUP($B474,'[1]Plant data'!$A$1:$AB$315,6,0)</f>
        <v>11.2</v>
      </c>
      <c r="N474" s="9">
        <f>VLOOKUP($B474,'[1]Plant data'!$A$1:$AB$315,7,0)</f>
        <v>147.6</v>
      </c>
      <c r="O474" s="8">
        <f>VLOOKUP($B474,'[1]Plant data'!$A$1:$AB$315,10,0)</f>
        <v>14.87</v>
      </c>
      <c r="P474" s="8" t="str">
        <f>VLOOKUP($B474,'[1]Plant data'!$A$1:$AB$315,11,0)</f>
        <v>NA</v>
      </c>
      <c r="Q474" s="8">
        <f>VLOOKUP($B474,'[1]Plant data'!$A$1:$AB$315,12,0)</f>
        <v>1.0000000000000002E-3</v>
      </c>
      <c r="R474" s="8" t="str">
        <f>VLOOKUP($B474,'[1]Plant data'!$A$1:$AB$315,13,0)</f>
        <v>NA</v>
      </c>
      <c r="S474" s="8" t="str">
        <f>VLOOKUP($B474,'[1]Plant data'!$A$1:$AB$315,14,0)</f>
        <v>NA</v>
      </c>
      <c r="T474" s="11">
        <f>VLOOKUP($B474,'[1]Plant data'!$A$1:$AB$315,15,0)</f>
        <v>2964</v>
      </c>
      <c r="U474" s="9" t="str">
        <f>VLOOKUP($B474,'[1]Plant data'!$A$1:$AB$315,19,0)</f>
        <v>NA</v>
      </c>
      <c r="V474" s="8">
        <f>VLOOKUP($B474,'[1]Plant data'!$A$1:$AB$315,20,0)</f>
        <v>3.7072243346005632E-2</v>
      </c>
      <c r="W474" s="8">
        <f>VLOOKUP($B474,'[1]Plant data'!$A$1:$AB$315,21,0)</f>
        <v>0.12086333333333334</v>
      </c>
      <c r="X474" s="8">
        <f>VLOOKUP($B474,'[1]Plant data'!$A$1:$AB$315,22,0)</f>
        <v>7.6045627376425846E-3</v>
      </c>
      <c r="Y474" s="8">
        <f>VLOOKUP($B474,'[1]Plant data'!$A$1:$AB$315,23,0)</f>
        <v>7.6846874408169827E-2</v>
      </c>
      <c r="Z474" s="8" t="str">
        <f>VLOOKUP($B474,'[1]Plant data'!$A$1:$AB$315,24,0)</f>
        <v>NA</v>
      </c>
      <c r="AA474" s="8" t="str">
        <f>VLOOKUP($B474,'[1]Plant data'!$A$1:$AB$315,25,0)</f>
        <v>NA</v>
      </c>
      <c r="AB474" s="8">
        <f t="shared" ref="AB474" si="37">SUMIF(X474:Y474,"&gt;0.00001")</f>
        <v>8.4451437145812408E-2</v>
      </c>
    </row>
    <row r="475" spans="1:28">
      <c r="A475" s="5" t="s">
        <v>90</v>
      </c>
      <c r="B475" s="34" t="s">
        <v>121</v>
      </c>
      <c r="C475" s="53">
        <v>6</v>
      </c>
      <c r="D475" s="58">
        <v>48.16</v>
      </c>
      <c r="E475" s="8">
        <f>C475/D475</f>
        <v>0.12458471760797343</v>
      </c>
      <c r="F475" s="54">
        <v>10</v>
      </c>
      <c r="G475" s="27">
        <v>0.35</v>
      </c>
      <c r="H475" s="23">
        <f t="shared" si="36"/>
        <v>4.3604651162790699E-2</v>
      </c>
      <c r="I475" t="s">
        <v>94</v>
      </c>
      <c r="J475" s="11">
        <v>331</v>
      </c>
      <c r="K475" s="11">
        <v>30.7</v>
      </c>
      <c r="L475" t="str">
        <f>VLOOKUP(B475,'[1]Plant data'!$A$1:$AB$315,2,0)</f>
        <v>Urticaceae</v>
      </c>
      <c r="M475" s="9">
        <f>VLOOKUP($B475,'[1]Plant data'!$A$1:$AB$315,6,0)</f>
        <v>11.2</v>
      </c>
      <c r="N475" s="9">
        <f>VLOOKUP($B475,'[1]Plant data'!$A$1:$AB$315,7,0)</f>
        <v>147.6</v>
      </c>
      <c r="O475" s="8">
        <f>VLOOKUP($B475,'[1]Plant data'!$A$1:$AB$315,10,0)</f>
        <v>14.87</v>
      </c>
      <c r="P475" s="8" t="str">
        <f>VLOOKUP($B475,'[1]Plant data'!$A$1:$AB$315,11,0)</f>
        <v>NA</v>
      </c>
      <c r="Q475" s="8">
        <f>VLOOKUP($B475,'[1]Plant data'!$A$1:$AB$315,12,0)</f>
        <v>1.0000000000000002E-3</v>
      </c>
      <c r="R475" s="8" t="str">
        <f>VLOOKUP($B475,'[1]Plant data'!$A$1:$AB$315,13,0)</f>
        <v>NA</v>
      </c>
      <c r="S475" s="8" t="str">
        <f>VLOOKUP($B475,'[1]Plant data'!$A$1:$AB$315,14,0)</f>
        <v>NA</v>
      </c>
      <c r="T475" s="11">
        <f>VLOOKUP($B475,'[1]Plant data'!$A$1:$AB$315,15,0)</f>
        <v>2964</v>
      </c>
      <c r="U475" s="9" t="str">
        <f>VLOOKUP($B475,'[1]Plant data'!$A$1:$AB$315,19,0)</f>
        <v>NA</v>
      </c>
      <c r="V475" s="8">
        <f>VLOOKUP($B475,'[1]Plant data'!$A$1:$AB$315,20,0)</f>
        <v>3.7072243346005632E-2</v>
      </c>
      <c r="W475" s="8">
        <f>VLOOKUP($B475,'[1]Plant data'!$A$1:$AB$315,21,0)</f>
        <v>0.12086333333333334</v>
      </c>
      <c r="X475" s="8">
        <f>VLOOKUP($B475,'[1]Plant data'!$A$1:$AB$315,22,0)</f>
        <v>7.6045627376425846E-3</v>
      </c>
      <c r="Y475" s="8">
        <f>VLOOKUP($B475,'[1]Plant data'!$A$1:$AB$315,23,0)</f>
        <v>7.6846874408169827E-2</v>
      </c>
      <c r="Z475" s="8" t="str">
        <f>VLOOKUP($B475,'[1]Plant data'!$A$1:$AB$315,24,0)</f>
        <v>NA</v>
      </c>
      <c r="AA475" s="8" t="str">
        <f>VLOOKUP($B475,'[1]Plant data'!$A$1:$AB$315,25,0)</f>
        <v>NA</v>
      </c>
      <c r="AB475" s="8">
        <f t="shared" si="35"/>
        <v>8.4451437145812408E-2</v>
      </c>
    </row>
    <row r="476" spans="1:28">
      <c r="A476" s="5" t="s">
        <v>90</v>
      </c>
      <c r="B476" s="33" t="s">
        <v>121</v>
      </c>
      <c r="C476" s="56">
        <v>1</v>
      </c>
      <c r="D476" s="59">
        <v>750</v>
      </c>
      <c r="E476" s="26">
        <f>1/750</f>
        <v>1.3333333333333333E-3</v>
      </c>
      <c r="F476" s="56" t="s">
        <v>19</v>
      </c>
      <c r="G476" s="41">
        <v>0.35</v>
      </c>
      <c r="H476" s="23">
        <f t="shared" si="36"/>
        <v>4.6666666666666661E-4</v>
      </c>
      <c r="I476" t="s">
        <v>94</v>
      </c>
      <c r="J476" s="11">
        <v>331</v>
      </c>
      <c r="K476" s="11">
        <v>30.7</v>
      </c>
      <c r="L476" t="str">
        <f>VLOOKUP(B476,'[1]Plant data'!$A$1:$AB$315,2,0)</f>
        <v>Urticaceae</v>
      </c>
      <c r="M476" s="9">
        <f>VLOOKUP($B476,'[1]Plant data'!$A$1:$AB$315,6,0)</f>
        <v>11.2</v>
      </c>
      <c r="N476" s="9">
        <f>VLOOKUP($B476,'[1]Plant data'!$A$1:$AB$315,7,0)</f>
        <v>147.6</v>
      </c>
      <c r="O476" s="8">
        <f>VLOOKUP($B476,'[1]Plant data'!$A$1:$AB$315,10,0)</f>
        <v>14.87</v>
      </c>
      <c r="P476" s="8" t="str">
        <f>VLOOKUP($B476,'[1]Plant data'!$A$1:$AB$315,11,0)</f>
        <v>NA</v>
      </c>
      <c r="Q476" s="8">
        <f>VLOOKUP($B476,'[1]Plant data'!$A$1:$AB$315,12,0)</f>
        <v>1.0000000000000002E-3</v>
      </c>
      <c r="R476" s="8" t="str">
        <f>VLOOKUP($B476,'[1]Plant data'!$A$1:$AB$315,13,0)</f>
        <v>NA</v>
      </c>
      <c r="S476" s="8" t="str">
        <f>VLOOKUP($B476,'[1]Plant data'!$A$1:$AB$315,14,0)</f>
        <v>NA</v>
      </c>
      <c r="T476" s="11">
        <f>VLOOKUP($B476,'[1]Plant data'!$A$1:$AB$315,15,0)</f>
        <v>2964</v>
      </c>
      <c r="U476" s="9" t="str">
        <f>VLOOKUP($B476,'[1]Plant data'!$A$1:$AB$315,19,0)</f>
        <v>NA</v>
      </c>
      <c r="V476" s="8">
        <f>VLOOKUP($B476,'[1]Plant data'!$A$1:$AB$315,20,0)</f>
        <v>3.7072243346005632E-2</v>
      </c>
      <c r="W476" s="8">
        <f>VLOOKUP($B476,'[1]Plant data'!$A$1:$AB$315,21,0)</f>
        <v>0.12086333333333334</v>
      </c>
      <c r="X476" s="8">
        <f>VLOOKUP($B476,'[1]Plant data'!$A$1:$AB$315,22,0)</f>
        <v>7.6045627376425846E-3</v>
      </c>
      <c r="Y476" s="8">
        <f>VLOOKUP($B476,'[1]Plant data'!$A$1:$AB$315,23,0)</f>
        <v>7.6846874408169827E-2</v>
      </c>
      <c r="Z476" s="8" t="str">
        <f>VLOOKUP($B476,'[1]Plant data'!$A$1:$AB$315,24,0)</f>
        <v>NA</v>
      </c>
      <c r="AA476" s="8" t="str">
        <f>VLOOKUP($B476,'[1]Plant data'!$A$1:$AB$315,25,0)</f>
        <v>NA</v>
      </c>
      <c r="AB476" s="8">
        <f t="shared" si="35"/>
        <v>8.4451437145812408E-2</v>
      </c>
    </row>
    <row r="477" spans="1:28">
      <c r="A477" s="5" t="s">
        <v>105</v>
      </c>
      <c r="B477" s="34" t="s">
        <v>121</v>
      </c>
      <c r="C477" s="53">
        <v>3</v>
      </c>
      <c r="D477" s="58">
        <v>48.16</v>
      </c>
      <c r="E477" s="8">
        <f>C477/D477</f>
        <v>6.2292358803986717E-2</v>
      </c>
      <c r="F477" s="54">
        <v>22.5</v>
      </c>
      <c r="G477" s="27">
        <v>1.27</v>
      </c>
      <c r="H477" s="23">
        <f t="shared" si="36"/>
        <v>7.9111295681063135E-2</v>
      </c>
      <c r="I477" t="s">
        <v>94</v>
      </c>
      <c r="J477" s="11">
        <v>164</v>
      </c>
      <c r="K477" s="11">
        <v>25.039000000000001</v>
      </c>
      <c r="L477" t="str">
        <f>VLOOKUP(B477,'[1]Plant data'!$A$1:$AB$315,2,0)</f>
        <v>Urticaceae</v>
      </c>
      <c r="M477" s="9">
        <f>VLOOKUP($B477,'[1]Plant data'!$A$1:$AB$315,6,0)</f>
        <v>11.2</v>
      </c>
      <c r="N477" s="9">
        <f>VLOOKUP($B477,'[1]Plant data'!$A$1:$AB$315,7,0)</f>
        <v>147.6</v>
      </c>
      <c r="O477" s="8">
        <f>VLOOKUP($B477,'[1]Plant data'!$A$1:$AB$315,10,0)</f>
        <v>14.87</v>
      </c>
      <c r="P477" s="8" t="str">
        <f>VLOOKUP($B477,'[1]Plant data'!$A$1:$AB$315,11,0)</f>
        <v>NA</v>
      </c>
      <c r="Q477" s="8">
        <f>VLOOKUP($B477,'[1]Plant data'!$A$1:$AB$315,12,0)</f>
        <v>1.0000000000000002E-3</v>
      </c>
      <c r="R477" s="8" t="str">
        <f>VLOOKUP($B477,'[1]Plant data'!$A$1:$AB$315,13,0)</f>
        <v>NA</v>
      </c>
      <c r="S477" s="8" t="str">
        <f>VLOOKUP($B477,'[1]Plant data'!$A$1:$AB$315,14,0)</f>
        <v>NA</v>
      </c>
      <c r="T477" s="11">
        <f>VLOOKUP($B477,'[1]Plant data'!$A$1:$AB$315,15,0)</f>
        <v>2964</v>
      </c>
      <c r="U477" s="9" t="str">
        <f>VLOOKUP($B477,'[1]Plant data'!$A$1:$AB$315,19,0)</f>
        <v>NA</v>
      </c>
      <c r="V477" s="8">
        <f>VLOOKUP($B477,'[1]Plant data'!$A$1:$AB$315,20,0)</f>
        <v>3.7072243346005632E-2</v>
      </c>
      <c r="W477" s="8">
        <f>VLOOKUP($B477,'[1]Plant data'!$A$1:$AB$315,21,0)</f>
        <v>0.12086333333333334</v>
      </c>
      <c r="X477" s="8">
        <f>VLOOKUP($B477,'[1]Plant data'!$A$1:$AB$315,22,0)</f>
        <v>7.6045627376425846E-3</v>
      </c>
      <c r="Y477" s="8">
        <f>VLOOKUP($B477,'[1]Plant data'!$A$1:$AB$315,23,0)</f>
        <v>7.6846874408169827E-2</v>
      </c>
      <c r="Z477" s="8" t="str">
        <f>VLOOKUP($B477,'[1]Plant data'!$A$1:$AB$315,24,0)</f>
        <v>NA</v>
      </c>
      <c r="AA477" s="8" t="str">
        <f>VLOOKUP($B477,'[1]Plant data'!$A$1:$AB$315,25,0)</f>
        <v>NA</v>
      </c>
      <c r="AB477" s="8">
        <f t="shared" si="35"/>
        <v>8.4451437145812408E-2</v>
      </c>
    </row>
    <row r="478" spans="1:28">
      <c r="A478" s="5" t="s">
        <v>105</v>
      </c>
      <c r="B478" s="32" t="s">
        <v>121</v>
      </c>
      <c r="C478" s="53">
        <v>5</v>
      </c>
      <c r="D478" s="11">
        <v>750</v>
      </c>
      <c r="E478" s="8">
        <f>C478/750</f>
        <v>6.6666666666666671E-3</v>
      </c>
      <c r="F478" s="56" t="s">
        <v>19</v>
      </c>
      <c r="G478" s="41">
        <v>1.27</v>
      </c>
      <c r="H478" s="23">
        <f t="shared" si="36"/>
        <v>8.4666666666666675E-3</v>
      </c>
      <c r="I478" t="s">
        <v>94</v>
      </c>
      <c r="J478" s="11">
        <v>164</v>
      </c>
      <c r="K478" s="11">
        <v>25.039000000000001</v>
      </c>
      <c r="L478" t="str">
        <f>VLOOKUP(B478,'[1]Plant data'!$A$1:$AB$315,2,0)</f>
        <v>Urticaceae</v>
      </c>
      <c r="M478" s="9">
        <f>VLOOKUP($B478,'[1]Plant data'!$A$1:$AB$315,6,0)</f>
        <v>11.2</v>
      </c>
      <c r="N478" s="9">
        <f>VLOOKUP($B478,'[1]Plant data'!$A$1:$AB$315,7,0)</f>
        <v>147.6</v>
      </c>
      <c r="O478" s="8">
        <f>VLOOKUP($B478,'[1]Plant data'!$A$1:$AB$315,10,0)</f>
        <v>14.87</v>
      </c>
      <c r="P478" s="8" t="str">
        <f>VLOOKUP($B478,'[1]Plant data'!$A$1:$AB$315,11,0)</f>
        <v>NA</v>
      </c>
      <c r="Q478" s="8">
        <f>VLOOKUP($B478,'[1]Plant data'!$A$1:$AB$315,12,0)</f>
        <v>1.0000000000000002E-3</v>
      </c>
      <c r="R478" s="8" t="str">
        <f>VLOOKUP($B478,'[1]Plant data'!$A$1:$AB$315,13,0)</f>
        <v>NA</v>
      </c>
      <c r="S478" s="8" t="str">
        <f>VLOOKUP($B478,'[1]Plant data'!$A$1:$AB$315,14,0)</f>
        <v>NA</v>
      </c>
      <c r="T478" s="11">
        <f>VLOOKUP($B478,'[1]Plant data'!$A$1:$AB$315,15,0)</f>
        <v>2964</v>
      </c>
      <c r="U478" s="9" t="str">
        <f>VLOOKUP($B478,'[1]Plant data'!$A$1:$AB$315,19,0)</f>
        <v>NA</v>
      </c>
      <c r="V478" s="8">
        <f>VLOOKUP($B478,'[1]Plant data'!$A$1:$AB$315,20,0)</f>
        <v>3.7072243346005632E-2</v>
      </c>
      <c r="W478" s="8">
        <f>VLOOKUP($B478,'[1]Plant data'!$A$1:$AB$315,21,0)</f>
        <v>0.12086333333333334</v>
      </c>
      <c r="X478" s="8">
        <f>VLOOKUP($B478,'[1]Plant data'!$A$1:$AB$315,22,0)</f>
        <v>7.6045627376425846E-3</v>
      </c>
      <c r="Y478" s="8">
        <f>VLOOKUP($B478,'[1]Plant data'!$A$1:$AB$315,23,0)</f>
        <v>7.6846874408169827E-2</v>
      </c>
      <c r="Z478" s="8" t="str">
        <f>VLOOKUP($B478,'[1]Plant data'!$A$1:$AB$315,24,0)</f>
        <v>NA</v>
      </c>
      <c r="AA478" s="8" t="str">
        <f>VLOOKUP($B478,'[1]Plant data'!$A$1:$AB$315,25,0)</f>
        <v>NA</v>
      </c>
      <c r="AB478" s="8">
        <f t="shared" si="35"/>
        <v>8.4451437145812408E-2</v>
      </c>
    </row>
    <row r="479" spans="1:28">
      <c r="A479" s="5" t="s">
        <v>105</v>
      </c>
      <c r="B479" s="32" t="s">
        <v>121</v>
      </c>
      <c r="C479" s="53">
        <v>1</v>
      </c>
      <c r="D479">
        <v>140</v>
      </c>
      <c r="E479" s="8">
        <f>C479/D479</f>
        <v>7.1428571428571426E-3</v>
      </c>
      <c r="F479" s="56" t="s">
        <v>19</v>
      </c>
      <c r="G479" s="27">
        <v>0.17</v>
      </c>
      <c r="H479" s="23">
        <f t="shared" si="36"/>
        <v>1.2142857142857144E-3</v>
      </c>
      <c r="I479" t="s">
        <v>94</v>
      </c>
      <c r="J479" s="11">
        <v>164</v>
      </c>
      <c r="K479" s="11">
        <v>25.039000000000001</v>
      </c>
      <c r="L479" t="str">
        <f>VLOOKUP(B479,'[1]Plant data'!$A$1:$AB$315,2,0)</f>
        <v>Urticaceae</v>
      </c>
      <c r="M479" s="9">
        <f>VLOOKUP($B479,'[1]Plant data'!$A$1:$AB$315,6,0)</f>
        <v>11.2</v>
      </c>
      <c r="N479" s="9">
        <f>VLOOKUP($B479,'[1]Plant data'!$A$1:$AB$315,7,0)</f>
        <v>147.6</v>
      </c>
      <c r="O479" s="8">
        <f>VLOOKUP($B479,'[1]Plant data'!$A$1:$AB$315,10,0)</f>
        <v>14.87</v>
      </c>
      <c r="P479" s="8" t="str">
        <f>VLOOKUP($B479,'[1]Plant data'!$A$1:$AB$315,11,0)</f>
        <v>NA</v>
      </c>
      <c r="Q479" s="8">
        <f>VLOOKUP($B479,'[1]Plant data'!$A$1:$AB$315,12,0)</f>
        <v>1.0000000000000002E-3</v>
      </c>
      <c r="R479" s="8" t="str">
        <f>VLOOKUP($B479,'[1]Plant data'!$A$1:$AB$315,13,0)</f>
        <v>NA</v>
      </c>
      <c r="S479" s="8" t="str">
        <f>VLOOKUP($B479,'[1]Plant data'!$A$1:$AB$315,14,0)</f>
        <v>NA</v>
      </c>
      <c r="T479" s="11">
        <f>VLOOKUP($B479,'[1]Plant data'!$A$1:$AB$315,15,0)</f>
        <v>2964</v>
      </c>
      <c r="U479" s="9" t="str">
        <f>VLOOKUP($B479,'[1]Plant data'!$A$1:$AB$315,19,0)</f>
        <v>NA</v>
      </c>
      <c r="V479" s="8">
        <f>VLOOKUP($B479,'[1]Plant data'!$A$1:$AB$315,20,0)</f>
        <v>3.7072243346005632E-2</v>
      </c>
      <c r="W479" s="8">
        <f>VLOOKUP($B479,'[1]Plant data'!$A$1:$AB$315,21,0)</f>
        <v>0.12086333333333334</v>
      </c>
      <c r="X479" s="8">
        <f>VLOOKUP($B479,'[1]Plant data'!$A$1:$AB$315,22,0)</f>
        <v>7.6045627376425846E-3</v>
      </c>
      <c r="Y479" s="8">
        <f>VLOOKUP($B479,'[1]Plant data'!$A$1:$AB$315,23,0)</f>
        <v>7.6846874408169827E-2</v>
      </c>
      <c r="Z479" s="8" t="str">
        <f>VLOOKUP($B479,'[1]Plant data'!$A$1:$AB$315,24,0)</f>
        <v>NA</v>
      </c>
      <c r="AA479" s="8" t="str">
        <f>VLOOKUP($B479,'[1]Plant data'!$A$1:$AB$315,25,0)</f>
        <v>NA</v>
      </c>
      <c r="AB479" s="8">
        <f t="shared" si="35"/>
        <v>8.4451437145812408E-2</v>
      </c>
    </row>
    <row r="480" spans="1:28">
      <c r="A480" s="81" t="s">
        <v>32</v>
      </c>
      <c r="B480" s="85" t="s">
        <v>121</v>
      </c>
      <c r="C480" s="25">
        <v>7</v>
      </c>
      <c r="D480" s="25">
        <v>150</v>
      </c>
      <c r="E480" s="26">
        <v>4.7E-2</v>
      </c>
      <c r="F480" s="25" t="s">
        <v>19</v>
      </c>
      <c r="G480" s="27">
        <v>2.0081300813008129E-2</v>
      </c>
      <c r="H480" s="8">
        <v>9.4382113821138208E-4</v>
      </c>
      <c r="I480" s="25" t="s">
        <v>30</v>
      </c>
      <c r="J480" s="59">
        <v>18</v>
      </c>
      <c r="K480" s="59">
        <v>5.2</v>
      </c>
      <c r="L480" t="str">
        <f>VLOOKUP(B480,'[1]Plant data'!$A$1:$AB$315,2,0)</f>
        <v>Urticaceae</v>
      </c>
      <c r="M480" s="9">
        <f>VLOOKUP($B480,'[1]Plant data'!$A$1:$AB$315,6,0)</f>
        <v>11.2</v>
      </c>
      <c r="N480" s="9">
        <f>VLOOKUP($B480,'[1]Plant data'!$A$1:$AB$315,7,0)</f>
        <v>147.6</v>
      </c>
      <c r="O480" s="8">
        <f>VLOOKUP($B480,'[1]Plant data'!$A$1:$AB$315,10,0)</f>
        <v>14.87</v>
      </c>
      <c r="P480" s="8" t="str">
        <f>VLOOKUP($B480,'[1]Plant data'!$A$1:$AB$315,11,0)</f>
        <v>NA</v>
      </c>
      <c r="Q480" s="8">
        <f>VLOOKUP($B480,'[1]Plant data'!$A$1:$AB$315,12,0)</f>
        <v>1.0000000000000002E-3</v>
      </c>
      <c r="R480" s="8" t="str">
        <f>VLOOKUP($B480,'[1]Plant data'!$A$1:$AB$315,13,0)</f>
        <v>NA</v>
      </c>
      <c r="S480" s="8" t="str">
        <f>VLOOKUP($B480,'[1]Plant data'!$A$1:$AB$315,14,0)</f>
        <v>NA</v>
      </c>
      <c r="T480" s="11">
        <f>VLOOKUP($B480,'[1]Plant data'!$A$1:$AB$315,15,0)</f>
        <v>2964</v>
      </c>
      <c r="U480" s="9" t="str">
        <f>VLOOKUP($B480,'[1]Plant data'!$A$1:$AB$315,19,0)</f>
        <v>NA</v>
      </c>
      <c r="V480" s="8">
        <f>VLOOKUP($B480,'[1]Plant data'!$A$1:$AB$315,20,0)</f>
        <v>3.7072243346005632E-2</v>
      </c>
      <c r="W480" s="8">
        <f>VLOOKUP($B480,'[1]Plant data'!$A$1:$AB$315,21,0)</f>
        <v>0.12086333333333334</v>
      </c>
      <c r="X480" s="8">
        <f>VLOOKUP($B480,'[1]Plant data'!$A$1:$AB$315,22,0)</f>
        <v>7.6045627376425846E-3</v>
      </c>
      <c r="Y480" s="8">
        <f>VLOOKUP($B480,'[1]Plant data'!$A$1:$AB$315,23,0)</f>
        <v>7.6846874408169827E-2</v>
      </c>
      <c r="Z480" s="8" t="str">
        <f>VLOOKUP($B480,'[1]Plant data'!$A$1:$AB$315,24,0)</f>
        <v>NA</v>
      </c>
      <c r="AA480" s="8" t="str">
        <f>VLOOKUP($B480,'[1]Plant data'!$A$1:$AB$315,25,0)</f>
        <v>NA</v>
      </c>
      <c r="AB480" s="8" t="s">
        <v>19</v>
      </c>
    </row>
    <row r="481" spans="1:28">
      <c r="A481" s="5" t="s">
        <v>62</v>
      </c>
      <c r="B481" s="33" t="s">
        <v>121</v>
      </c>
      <c r="C481" s="53">
        <v>10</v>
      </c>
      <c r="D481">
        <v>140</v>
      </c>
      <c r="E481" s="8">
        <f>C481/D481</f>
        <v>7.1428571428571425E-2</v>
      </c>
      <c r="F481" s="56" t="s">
        <v>19</v>
      </c>
      <c r="G481" s="27">
        <v>0.04</v>
      </c>
      <c r="H481" s="23">
        <f t="shared" ref="H481:H499" si="38">E481*G481</f>
        <v>2.8571428571428571E-3</v>
      </c>
      <c r="I481" t="s">
        <v>30</v>
      </c>
      <c r="J481" s="11">
        <v>18.7</v>
      </c>
      <c r="K481" s="11">
        <v>6.1185714290000002</v>
      </c>
      <c r="L481" t="str">
        <f>VLOOKUP(B481,'[1]Plant data'!$A$1:$AB$315,2,0)</f>
        <v>Urticaceae</v>
      </c>
      <c r="M481" s="9">
        <f>VLOOKUP($B481,'[1]Plant data'!$A$1:$AB$315,6,0)</f>
        <v>11.2</v>
      </c>
      <c r="N481" s="9">
        <f>VLOOKUP($B481,'[1]Plant data'!$A$1:$AB$315,7,0)</f>
        <v>147.6</v>
      </c>
      <c r="O481" s="8">
        <f>VLOOKUP($B481,'[1]Plant data'!$A$1:$AB$315,10,0)</f>
        <v>14.87</v>
      </c>
      <c r="P481" s="8" t="str">
        <f>VLOOKUP($B481,'[1]Plant data'!$A$1:$AB$315,11,0)</f>
        <v>NA</v>
      </c>
      <c r="Q481" s="8">
        <f>VLOOKUP($B481,'[1]Plant data'!$A$1:$AB$315,12,0)</f>
        <v>1.0000000000000002E-3</v>
      </c>
      <c r="R481" s="8" t="str">
        <f>VLOOKUP($B481,'[1]Plant data'!$A$1:$AB$315,13,0)</f>
        <v>NA</v>
      </c>
      <c r="S481" s="8" t="str">
        <f>VLOOKUP($B481,'[1]Plant data'!$A$1:$AB$315,14,0)</f>
        <v>NA</v>
      </c>
      <c r="T481" s="11">
        <f>VLOOKUP($B481,'[1]Plant data'!$A$1:$AB$315,15,0)</f>
        <v>2964</v>
      </c>
      <c r="U481" s="9" t="str">
        <f>VLOOKUP($B481,'[1]Plant data'!$A$1:$AB$315,19,0)</f>
        <v>NA</v>
      </c>
      <c r="V481" s="8">
        <f>VLOOKUP($B481,'[1]Plant data'!$A$1:$AB$315,20,0)</f>
        <v>3.7072243346005632E-2</v>
      </c>
      <c r="W481" s="8">
        <f>VLOOKUP($B481,'[1]Plant data'!$A$1:$AB$315,21,0)</f>
        <v>0.12086333333333334</v>
      </c>
      <c r="X481" s="8">
        <f>VLOOKUP($B481,'[1]Plant data'!$A$1:$AB$315,22,0)</f>
        <v>7.6045627376425846E-3</v>
      </c>
      <c r="Y481" s="8">
        <f>VLOOKUP($B481,'[1]Plant data'!$A$1:$AB$315,23,0)</f>
        <v>7.6846874408169827E-2</v>
      </c>
      <c r="Z481" s="8" t="str">
        <f>VLOOKUP($B481,'[1]Plant data'!$A$1:$AB$315,24,0)</f>
        <v>NA</v>
      </c>
      <c r="AA481" s="8" t="str">
        <f>VLOOKUP($B481,'[1]Plant data'!$A$1:$AB$315,25,0)</f>
        <v>NA</v>
      </c>
      <c r="AB481" s="8">
        <f t="shared" ref="AB481:AB493" si="39">SUMIF(X481:Y481,"&gt;0.00001")</f>
        <v>8.4451437145812408E-2</v>
      </c>
    </row>
    <row r="482" spans="1:28">
      <c r="A482" s="5" t="s">
        <v>41</v>
      </c>
      <c r="B482" s="34" t="s">
        <v>121</v>
      </c>
      <c r="C482" s="53">
        <v>18</v>
      </c>
      <c r="D482" s="58">
        <v>48.16</v>
      </c>
      <c r="E482" s="8">
        <f>C482/D482</f>
        <v>0.37375415282392027</v>
      </c>
      <c r="F482" s="54">
        <v>69</v>
      </c>
      <c r="G482" s="27">
        <v>0.28000000000000003</v>
      </c>
      <c r="H482" s="23">
        <f t="shared" si="38"/>
        <v>0.10465116279069768</v>
      </c>
      <c r="I482" s="16" t="s">
        <v>30</v>
      </c>
      <c r="J482" s="17">
        <v>39</v>
      </c>
      <c r="K482" s="17">
        <v>8.2839869279999991</v>
      </c>
      <c r="L482" t="str">
        <f>VLOOKUP(B482,'[1]Plant data'!$A$1:$AB$315,2,0)</f>
        <v>Urticaceae</v>
      </c>
      <c r="M482" s="9">
        <f>VLOOKUP($B482,'[1]Plant data'!$A$1:$AB$315,6,0)</f>
        <v>11.2</v>
      </c>
      <c r="N482" s="9">
        <f>VLOOKUP($B482,'[1]Plant data'!$A$1:$AB$315,7,0)</f>
        <v>147.6</v>
      </c>
      <c r="O482" s="8">
        <f>VLOOKUP($B482,'[1]Plant data'!$A$1:$AB$315,10,0)</f>
        <v>14.87</v>
      </c>
      <c r="P482" s="8" t="str">
        <f>VLOOKUP($B482,'[1]Plant data'!$A$1:$AB$315,11,0)</f>
        <v>NA</v>
      </c>
      <c r="Q482" s="8">
        <f>VLOOKUP($B482,'[1]Plant data'!$A$1:$AB$315,12,0)</f>
        <v>1.0000000000000002E-3</v>
      </c>
      <c r="R482" s="8" t="str">
        <f>VLOOKUP($B482,'[1]Plant data'!$A$1:$AB$315,13,0)</f>
        <v>NA</v>
      </c>
      <c r="S482" s="8" t="str">
        <f>VLOOKUP($B482,'[1]Plant data'!$A$1:$AB$315,14,0)</f>
        <v>NA</v>
      </c>
      <c r="T482" s="11">
        <f>VLOOKUP($B482,'[1]Plant data'!$A$1:$AB$315,15,0)</f>
        <v>2964</v>
      </c>
      <c r="U482" s="9" t="str">
        <f>VLOOKUP($B482,'[1]Plant data'!$A$1:$AB$315,19,0)</f>
        <v>NA</v>
      </c>
      <c r="V482" s="8">
        <f>VLOOKUP($B482,'[1]Plant data'!$A$1:$AB$315,20,0)</f>
        <v>3.7072243346005632E-2</v>
      </c>
      <c r="W482" s="8">
        <f>VLOOKUP($B482,'[1]Plant data'!$A$1:$AB$315,21,0)</f>
        <v>0.12086333333333334</v>
      </c>
      <c r="X482" s="8">
        <f>VLOOKUP($B482,'[1]Plant data'!$A$1:$AB$315,22,0)</f>
        <v>7.6045627376425846E-3</v>
      </c>
      <c r="Y482" s="8">
        <f>VLOOKUP($B482,'[1]Plant data'!$A$1:$AB$315,23,0)</f>
        <v>7.6846874408169827E-2</v>
      </c>
      <c r="Z482" s="8" t="str">
        <f>VLOOKUP($B482,'[1]Plant data'!$A$1:$AB$315,24,0)</f>
        <v>NA</v>
      </c>
      <c r="AA482" s="8" t="str">
        <f>VLOOKUP($B482,'[1]Plant data'!$A$1:$AB$315,25,0)</f>
        <v>NA</v>
      </c>
      <c r="AB482" s="8">
        <f t="shared" si="39"/>
        <v>8.4451437145812408E-2</v>
      </c>
    </row>
    <row r="483" spans="1:28">
      <c r="A483" s="21" t="s">
        <v>41</v>
      </c>
      <c r="B483" s="32" t="s">
        <v>121</v>
      </c>
      <c r="C483" s="55">
        <v>29</v>
      </c>
      <c r="D483">
        <v>140</v>
      </c>
      <c r="E483" s="8">
        <f>C483/D483</f>
        <v>0.20714285714285716</v>
      </c>
      <c r="F483" s="55" t="s">
        <v>19</v>
      </c>
      <c r="G483" s="27">
        <v>0.06</v>
      </c>
      <c r="H483" s="23">
        <f t="shared" si="38"/>
        <v>1.2428571428571429E-2</v>
      </c>
      <c r="I483" s="16" t="s">
        <v>30</v>
      </c>
      <c r="J483" s="17">
        <v>39</v>
      </c>
      <c r="K483" s="17">
        <v>8.2839869279999991</v>
      </c>
      <c r="L483" t="str">
        <f>VLOOKUP(B483,'[1]Plant data'!$A$1:$AB$315,2,0)</f>
        <v>Urticaceae</v>
      </c>
      <c r="M483" s="9">
        <f>VLOOKUP($B483,'[1]Plant data'!$A$1:$AB$315,6,0)</f>
        <v>11.2</v>
      </c>
      <c r="N483" s="9">
        <f>VLOOKUP($B483,'[1]Plant data'!$A$1:$AB$315,7,0)</f>
        <v>147.6</v>
      </c>
      <c r="O483" s="8">
        <f>VLOOKUP($B483,'[1]Plant data'!$A$1:$AB$315,10,0)</f>
        <v>14.87</v>
      </c>
      <c r="P483" s="8" t="str">
        <f>VLOOKUP($B483,'[1]Plant data'!$A$1:$AB$315,11,0)</f>
        <v>NA</v>
      </c>
      <c r="Q483" s="8">
        <f>VLOOKUP($B483,'[1]Plant data'!$A$1:$AB$315,12,0)</f>
        <v>1.0000000000000002E-3</v>
      </c>
      <c r="R483" s="8" t="str">
        <f>VLOOKUP($B483,'[1]Plant data'!$A$1:$AB$315,13,0)</f>
        <v>NA</v>
      </c>
      <c r="S483" s="8" t="str">
        <f>VLOOKUP($B483,'[1]Plant data'!$A$1:$AB$315,14,0)</f>
        <v>NA</v>
      </c>
      <c r="T483" s="11">
        <f>VLOOKUP($B483,'[1]Plant data'!$A$1:$AB$315,15,0)</f>
        <v>2964</v>
      </c>
      <c r="U483" s="9" t="str">
        <f>VLOOKUP($B483,'[1]Plant data'!$A$1:$AB$315,19,0)</f>
        <v>NA</v>
      </c>
      <c r="V483" s="8">
        <f>VLOOKUP($B483,'[1]Plant data'!$A$1:$AB$315,20,0)</f>
        <v>3.7072243346005632E-2</v>
      </c>
      <c r="W483" s="8">
        <f>VLOOKUP($B483,'[1]Plant data'!$A$1:$AB$315,21,0)</f>
        <v>0.12086333333333334</v>
      </c>
      <c r="X483" s="8">
        <f>VLOOKUP($B483,'[1]Plant data'!$A$1:$AB$315,22,0)</f>
        <v>7.6045627376425846E-3</v>
      </c>
      <c r="Y483" s="8">
        <f>VLOOKUP($B483,'[1]Plant data'!$A$1:$AB$315,23,0)</f>
        <v>7.6846874408169827E-2</v>
      </c>
      <c r="Z483" s="8" t="str">
        <f>VLOOKUP($B483,'[1]Plant data'!$A$1:$AB$315,24,0)</f>
        <v>NA</v>
      </c>
      <c r="AA483" s="8" t="str">
        <f>VLOOKUP($B483,'[1]Plant data'!$A$1:$AB$315,25,0)</f>
        <v>NA</v>
      </c>
      <c r="AB483" s="8">
        <f t="shared" si="39"/>
        <v>8.4451437145812408E-2</v>
      </c>
    </row>
    <row r="484" spans="1:28">
      <c r="A484" s="5" t="s">
        <v>43</v>
      </c>
      <c r="B484" s="14" t="s">
        <v>121</v>
      </c>
      <c r="C484" s="53">
        <v>6</v>
      </c>
      <c r="D484" s="11">
        <v>5.5</v>
      </c>
      <c r="E484" s="8">
        <f>C484/5.5</f>
        <v>1.0909090909090908</v>
      </c>
      <c r="F484" s="54" t="s">
        <v>19</v>
      </c>
      <c r="G484" s="27">
        <v>0.48</v>
      </c>
      <c r="H484" s="23">
        <f t="shared" si="38"/>
        <v>0.52363636363636357</v>
      </c>
      <c r="I484" t="s">
        <v>30</v>
      </c>
      <c r="J484" s="11">
        <v>32.5</v>
      </c>
      <c r="K484" s="11">
        <v>8.9205555560000001</v>
      </c>
      <c r="L484" t="str">
        <f>VLOOKUP(B484,'[1]Plant data'!$A$1:$AB$315,2,0)</f>
        <v>Urticaceae</v>
      </c>
      <c r="M484" s="9">
        <f>VLOOKUP($B484,'[1]Plant data'!$A$1:$AB$315,6,0)</f>
        <v>11.2</v>
      </c>
      <c r="N484" s="9">
        <f>VLOOKUP($B484,'[1]Plant data'!$A$1:$AB$315,7,0)</f>
        <v>147.6</v>
      </c>
      <c r="O484" s="8">
        <f>VLOOKUP($B484,'[1]Plant data'!$A$1:$AB$315,10,0)</f>
        <v>14.87</v>
      </c>
      <c r="P484" s="8" t="str">
        <f>VLOOKUP($B484,'[1]Plant data'!$A$1:$AB$315,11,0)</f>
        <v>NA</v>
      </c>
      <c r="Q484" s="8">
        <f>VLOOKUP($B484,'[1]Plant data'!$A$1:$AB$315,12,0)</f>
        <v>1.0000000000000002E-3</v>
      </c>
      <c r="R484" s="8" t="str">
        <f>VLOOKUP($B484,'[1]Plant data'!$A$1:$AB$315,13,0)</f>
        <v>NA</v>
      </c>
      <c r="S484" s="8" t="str">
        <f>VLOOKUP($B484,'[1]Plant data'!$A$1:$AB$315,14,0)</f>
        <v>NA</v>
      </c>
      <c r="T484" s="11">
        <f>VLOOKUP($B484,'[1]Plant data'!$A$1:$AB$315,15,0)</f>
        <v>2964</v>
      </c>
      <c r="U484" s="9" t="str">
        <f>VLOOKUP($B484,'[1]Plant data'!$A$1:$AB$315,19,0)</f>
        <v>NA</v>
      </c>
      <c r="V484" s="8">
        <f>VLOOKUP($B484,'[1]Plant data'!$A$1:$AB$315,20,0)</f>
        <v>3.7072243346005632E-2</v>
      </c>
      <c r="W484" s="8">
        <f>VLOOKUP($B484,'[1]Plant data'!$A$1:$AB$315,21,0)</f>
        <v>0.12086333333333334</v>
      </c>
      <c r="X484" s="8">
        <f>VLOOKUP($B484,'[1]Plant data'!$A$1:$AB$315,22,0)</f>
        <v>7.6045627376425846E-3</v>
      </c>
      <c r="Y484" s="8">
        <f>VLOOKUP($B484,'[1]Plant data'!$A$1:$AB$315,23,0)</f>
        <v>7.6846874408169827E-2</v>
      </c>
      <c r="Z484" s="8" t="str">
        <f>VLOOKUP($B484,'[1]Plant data'!$A$1:$AB$315,24,0)</f>
        <v>NA</v>
      </c>
      <c r="AA484" s="8" t="str">
        <f>VLOOKUP($B484,'[1]Plant data'!$A$1:$AB$315,25,0)</f>
        <v>NA</v>
      </c>
      <c r="AB484" s="8">
        <f t="shared" si="39"/>
        <v>8.4451437145812408E-2</v>
      </c>
    </row>
    <row r="485" spans="1:28">
      <c r="A485" s="5" t="s">
        <v>43</v>
      </c>
      <c r="B485" s="14" t="s">
        <v>121</v>
      </c>
      <c r="C485" s="53">
        <v>1</v>
      </c>
      <c r="D485" s="58">
        <v>250</v>
      </c>
      <c r="E485" s="8">
        <f>C485/250</f>
        <v>4.0000000000000001E-3</v>
      </c>
      <c r="F485" s="54" t="s">
        <v>19</v>
      </c>
      <c r="G485" s="41">
        <v>0.48</v>
      </c>
      <c r="H485" s="23">
        <f t="shared" si="38"/>
        <v>1.92E-3</v>
      </c>
      <c r="I485" t="s">
        <v>30</v>
      </c>
      <c r="J485" s="11">
        <v>32.5</v>
      </c>
      <c r="K485" s="11">
        <v>8.9205555560000001</v>
      </c>
      <c r="L485" t="str">
        <f>VLOOKUP(B485,'[1]Plant data'!$A$1:$AB$315,2,0)</f>
        <v>Urticaceae</v>
      </c>
      <c r="M485" s="9">
        <f>VLOOKUP($B485,'[1]Plant data'!$A$1:$AB$315,6,0)</f>
        <v>11.2</v>
      </c>
      <c r="N485" s="9">
        <f>VLOOKUP($B485,'[1]Plant data'!$A$1:$AB$315,7,0)</f>
        <v>147.6</v>
      </c>
      <c r="O485" s="8">
        <f>VLOOKUP($B485,'[1]Plant data'!$A$1:$AB$315,10,0)</f>
        <v>14.87</v>
      </c>
      <c r="P485" s="8" t="str">
        <f>VLOOKUP($B485,'[1]Plant data'!$A$1:$AB$315,11,0)</f>
        <v>NA</v>
      </c>
      <c r="Q485" s="8">
        <f>VLOOKUP($B485,'[1]Plant data'!$A$1:$AB$315,12,0)</f>
        <v>1.0000000000000002E-3</v>
      </c>
      <c r="R485" s="8" t="str">
        <f>VLOOKUP($B485,'[1]Plant data'!$A$1:$AB$315,13,0)</f>
        <v>NA</v>
      </c>
      <c r="S485" s="8" t="str">
        <f>VLOOKUP($B485,'[1]Plant data'!$A$1:$AB$315,14,0)</f>
        <v>NA</v>
      </c>
      <c r="T485" s="11">
        <f>VLOOKUP($B485,'[1]Plant data'!$A$1:$AB$315,15,0)</f>
        <v>2964</v>
      </c>
      <c r="U485" s="9" t="str">
        <f>VLOOKUP($B485,'[1]Plant data'!$A$1:$AB$315,19,0)</f>
        <v>NA</v>
      </c>
      <c r="V485" s="8">
        <f>VLOOKUP($B485,'[1]Plant data'!$A$1:$AB$315,20,0)</f>
        <v>3.7072243346005632E-2</v>
      </c>
      <c r="W485" s="8">
        <f>VLOOKUP($B485,'[1]Plant data'!$A$1:$AB$315,21,0)</f>
        <v>0.12086333333333334</v>
      </c>
      <c r="X485" s="8">
        <f>VLOOKUP($B485,'[1]Plant data'!$A$1:$AB$315,22,0)</f>
        <v>7.6045627376425846E-3</v>
      </c>
      <c r="Y485" s="8">
        <f>VLOOKUP($B485,'[1]Plant data'!$A$1:$AB$315,23,0)</f>
        <v>7.6846874408169827E-2</v>
      </c>
      <c r="Z485" s="8" t="str">
        <f>VLOOKUP($B485,'[1]Plant data'!$A$1:$AB$315,24,0)</f>
        <v>NA</v>
      </c>
      <c r="AA485" s="8" t="str">
        <f>VLOOKUP($B485,'[1]Plant data'!$A$1:$AB$315,25,0)</f>
        <v>NA</v>
      </c>
      <c r="AB485" s="8">
        <f t="shared" si="39"/>
        <v>8.4451437145812408E-2</v>
      </c>
    </row>
    <row r="486" spans="1:28">
      <c r="A486" s="5" t="s">
        <v>106</v>
      </c>
      <c r="B486" s="34" t="s">
        <v>121</v>
      </c>
      <c r="C486" s="53">
        <v>1</v>
      </c>
      <c r="D486" s="58">
        <v>48.16</v>
      </c>
      <c r="E486" s="8">
        <f>C486/D486</f>
        <v>2.0764119601328904E-2</v>
      </c>
      <c r="F486" s="54" t="s">
        <v>19</v>
      </c>
      <c r="G486" s="41">
        <v>0.34</v>
      </c>
      <c r="H486" s="23">
        <f t="shared" si="38"/>
        <v>7.0598006644518284E-3</v>
      </c>
      <c r="I486" t="s">
        <v>75</v>
      </c>
      <c r="J486" s="11">
        <v>68.099999999999994</v>
      </c>
      <c r="K486" s="11">
        <v>16.570370369999999</v>
      </c>
      <c r="L486" t="str">
        <f>VLOOKUP(B486,'[1]Plant data'!$A$1:$AB$315,2,0)</f>
        <v>Urticaceae</v>
      </c>
      <c r="M486" s="9">
        <f>VLOOKUP($B486,'[1]Plant data'!$A$1:$AB$315,6,0)</f>
        <v>11.2</v>
      </c>
      <c r="N486" s="9">
        <f>VLOOKUP($B486,'[1]Plant data'!$A$1:$AB$315,7,0)</f>
        <v>147.6</v>
      </c>
      <c r="O486" s="8">
        <f>VLOOKUP($B486,'[1]Plant data'!$A$1:$AB$315,10,0)</f>
        <v>14.87</v>
      </c>
      <c r="P486" s="8" t="str">
        <f>VLOOKUP($B486,'[1]Plant data'!$A$1:$AB$315,11,0)</f>
        <v>NA</v>
      </c>
      <c r="Q486" s="8">
        <f>VLOOKUP($B486,'[1]Plant data'!$A$1:$AB$315,12,0)</f>
        <v>1.0000000000000002E-3</v>
      </c>
      <c r="R486" s="8" t="str">
        <f>VLOOKUP($B486,'[1]Plant data'!$A$1:$AB$315,13,0)</f>
        <v>NA</v>
      </c>
      <c r="S486" s="8" t="str">
        <f>VLOOKUP($B486,'[1]Plant data'!$A$1:$AB$315,14,0)</f>
        <v>NA</v>
      </c>
      <c r="T486" s="11">
        <f>VLOOKUP($B486,'[1]Plant data'!$A$1:$AB$315,15,0)</f>
        <v>2964</v>
      </c>
      <c r="U486" s="9" t="str">
        <f>VLOOKUP($B486,'[1]Plant data'!$A$1:$AB$315,19,0)</f>
        <v>NA</v>
      </c>
      <c r="V486" s="8">
        <f>VLOOKUP($B486,'[1]Plant data'!$A$1:$AB$315,20,0)</f>
        <v>3.7072243346005632E-2</v>
      </c>
      <c r="W486" s="8">
        <f>VLOOKUP($B486,'[1]Plant data'!$A$1:$AB$315,21,0)</f>
        <v>0.12086333333333334</v>
      </c>
      <c r="X486" s="8">
        <f>VLOOKUP($B486,'[1]Plant data'!$A$1:$AB$315,22,0)</f>
        <v>7.6045627376425846E-3</v>
      </c>
      <c r="Y486" s="8">
        <f>VLOOKUP($B486,'[1]Plant data'!$A$1:$AB$315,23,0)</f>
        <v>7.6846874408169827E-2</v>
      </c>
      <c r="Z486" s="8" t="str">
        <f>VLOOKUP($B486,'[1]Plant data'!$A$1:$AB$315,24,0)</f>
        <v>NA</v>
      </c>
      <c r="AA486" s="8" t="str">
        <f>VLOOKUP($B486,'[1]Plant data'!$A$1:$AB$315,25,0)</f>
        <v>NA</v>
      </c>
      <c r="AB486" s="8">
        <f t="shared" si="39"/>
        <v>8.4451437145812408E-2</v>
      </c>
    </row>
    <row r="487" spans="1:28">
      <c r="A487" s="5" t="s">
        <v>106</v>
      </c>
      <c r="B487" s="32" t="s">
        <v>121</v>
      </c>
      <c r="C487" s="53">
        <v>1</v>
      </c>
      <c r="D487">
        <v>140</v>
      </c>
      <c r="E487" s="8">
        <f>C487/D487</f>
        <v>7.1428571428571426E-3</v>
      </c>
      <c r="F487" s="56" t="s">
        <v>19</v>
      </c>
      <c r="G487" s="27">
        <v>0.34</v>
      </c>
      <c r="H487" s="23">
        <f t="shared" si="38"/>
        <v>2.4285714285714288E-3</v>
      </c>
      <c r="I487" t="s">
        <v>75</v>
      </c>
      <c r="J487" s="11">
        <v>68.099999999999994</v>
      </c>
      <c r="K487" s="11">
        <v>16.570370369999999</v>
      </c>
      <c r="L487" t="str">
        <f>VLOOKUP(B487,'[1]Plant data'!$A$1:$AB$315,2,0)</f>
        <v>Urticaceae</v>
      </c>
      <c r="M487" s="9">
        <f>VLOOKUP($B487,'[1]Plant data'!$A$1:$AB$315,6,0)</f>
        <v>11.2</v>
      </c>
      <c r="N487" s="9">
        <f>VLOOKUP($B487,'[1]Plant data'!$A$1:$AB$315,7,0)</f>
        <v>147.6</v>
      </c>
      <c r="O487" s="8">
        <f>VLOOKUP($B487,'[1]Plant data'!$A$1:$AB$315,10,0)</f>
        <v>14.87</v>
      </c>
      <c r="P487" s="8" t="str">
        <f>VLOOKUP($B487,'[1]Plant data'!$A$1:$AB$315,11,0)</f>
        <v>NA</v>
      </c>
      <c r="Q487" s="8">
        <f>VLOOKUP($B487,'[1]Plant data'!$A$1:$AB$315,12,0)</f>
        <v>1.0000000000000002E-3</v>
      </c>
      <c r="R487" s="8" t="str">
        <f>VLOOKUP($B487,'[1]Plant data'!$A$1:$AB$315,13,0)</f>
        <v>NA</v>
      </c>
      <c r="S487" s="8" t="str">
        <f>VLOOKUP($B487,'[1]Plant data'!$A$1:$AB$315,14,0)</f>
        <v>NA</v>
      </c>
      <c r="T487" s="11">
        <f>VLOOKUP($B487,'[1]Plant data'!$A$1:$AB$315,15,0)</f>
        <v>2964</v>
      </c>
      <c r="U487" s="9" t="str">
        <f>VLOOKUP($B487,'[1]Plant data'!$A$1:$AB$315,19,0)</f>
        <v>NA</v>
      </c>
      <c r="V487" s="8">
        <f>VLOOKUP($B487,'[1]Plant data'!$A$1:$AB$315,20,0)</f>
        <v>3.7072243346005632E-2</v>
      </c>
      <c r="W487" s="8">
        <f>VLOOKUP($B487,'[1]Plant data'!$A$1:$AB$315,21,0)</f>
        <v>0.12086333333333334</v>
      </c>
      <c r="X487" s="8">
        <f>VLOOKUP($B487,'[1]Plant data'!$A$1:$AB$315,22,0)</f>
        <v>7.6045627376425846E-3</v>
      </c>
      <c r="Y487" s="8">
        <f>VLOOKUP($B487,'[1]Plant data'!$A$1:$AB$315,23,0)</f>
        <v>7.6846874408169827E-2</v>
      </c>
      <c r="Z487" s="8" t="str">
        <f>VLOOKUP($B487,'[1]Plant data'!$A$1:$AB$315,24,0)</f>
        <v>NA</v>
      </c>
      <c r="AA487" s="8" t="str">
        <f>VLOOKUP($B487,'[1]Plant data'!$A$1:$AB$315,25,0)</f>
        <v>NA</v>
      </c>
      <c r="AB487" s="8">
        <f t="shared" si="39"/>
        <v>8.4451437145812408E-2</v>
      </c>
    </row>
    <row r="488" spans="1:28">
      <c r="A488" s="5" t="s">
        <v>106</v>
      </c>
      <c r="B488" s="32" t="s">
        <v>121</v>
      </c>
      <c r="C488" s="53">
        <v>1</v>
      </c>
      <c r="D488" s="11">
        <v>750</v>
      </c>
      <c r="E488" s="8">
        <f>C488/750</f>
        <v>1.3333333333333333E-3</v>
      </c>
      <c r="F488" s="56" t="s">
        <v>19</v>
      </c>
      <c r="G488" s="41">
        <v>0.34</v>
      </c>
      <c r="H488" s="23">
        <f t="shared" si="38"/>
        <v>4.5333333333333337E-4</v>
      </c>
      <c r="I488" t="s">
        <v>75</v>
      </c>
      <c r="J488" s="11">
        <v>68.099999999999994</v>
      </c>
      <c r="K488" s="11">
        <v>16.570370369999999</v>
      </c>
      <c r="L488" t="str">
        <f>VLOOKUP(B488,'[1]Plant data'!$A$1:$AB$315,2,0)</f>
        <v>Urticaceae</v>
      </c>
      <c r="M488" s="9">
        <f>VLOOKUP($B488,'[1]Plant data'!$A$1:$AB$315,6,0)</f>
        <v>11.2</v>
      </c>
      <c r="N488" s="9">
        <f>VLOOKUP($B488,'[1]Plant data'!$A$1:$AB$315,7,0)</f>
        <v>147.6</v>
      </c>
      <c r="O488" s="8">
        <f>VLOOKUP($B488,'[1]Plant data'!$A$1:$AB$315,10,0)</f>
        <v>14.87</v>
      </c>
      <c r="P488" s="8" t="str">
        <f>VLOOKUP($B488,'[1]Plant data'!$A$1:$AB$315,11,0)</f>
        <v>NA</v>
      </c>
      <c r="Q488" s="8">
        <f>VLOOKUP($B488,'[1]Plant data'!$A$1:$AB$315,12,0)</f>
        <v>1.0000000000000002E-3</v>
      </c>
      <c r="R488" s="8" t="str">
        <f>VLOOKUP($B488,'[1]Plant data'!$A$1:$AB$315,13,0)</f>
        <v>NA</v>
      </c>
      <c r="S488" s="8" t="str">
        <f>VLOOKUP($B488,'[1]Plant data'!$A$1:$AB$315,14,0)</f>
        <v>NA</v>
      </c>
      <c r="T488" s="11">
        <f>VLOOKUP($B488,'[1]Plant data'!$A$1:$AB$315,15,0)</f>
        <v>2964</v>
      </c>
      <c r="U488" s="9" t="str">
        <f>VLOOKUP($B488,'[1]Plant data'!$A$1:$AB$315,19,0)</f>
        <v>NA</v>
      </c>
      <c r="V488" s="8">
        <f>VLOOKUP($B488,'[1]Plant data'!$A$1:$AB$315,20,0)</f>
        <v>3.7072243346005632E-2</v>
      </c>
      <c r="W488" s="8">
        <f>VLOOKUP($B488,'[1]Plant data'!$A$1:$AB$315,21,0)</f>
        <v>0.12086333333333334</v>
      </c>
      <c r="X488" s="8">
        <f>VLOOKUP($B488,'[1]Plant data'!$A$1:$AB$315,22,0)</f>
        <v>7.6045627376425846E-3</v>
      </c>
      <c r="Y488" s="8">
        <f>VLOOKUP($B488,'[1]Plant data'!$A$1:$AB$315,23,0)</f>
        <v>7.6846874408169827E-2</v>
      </c>
      <c r="Z488" s="8" t="str">
        <f>VLOOKUP($B488,'[1]Plant data'!$A$1:$AB$315,24,0)</f>
        <v>NA</v>
      </c>
      <c r="AA488" s="8" t="str">
        <f>VLOOKUP($B488,'[1]Plant data'!$A$1:$AB$315,25,0)</f>
        <v>NA</v>
      </c>
      <c r="AB488" s="8">
        <f t="shared" si="39"/>
        <v>8.4451437145812408E-2</v>
      </c>
    </row>
    <row r="489" spans="1:28">
      <c r="A489" s="5" t="s">
        <v>124</v>
      </c>
      <c r="B489" s="33" t="s">
        <v>121</v>
      </c>
      <c r="C489" s="56">
        <v>1</v>
      </c>
      <c r="D489">
        <v>140</v>
      </c>
      <c r="E489" s="8">
        <f>C489/D489</f>
        <v>7.1428571428571426E-3</v>
      </c>
      <c r="F489" s="56" t="s">
        <v>19</v>
      </c>
      <c r="G489" s="27">
        <v>0.12</v>
      </c>
      <c r="H489" s="23">
        <f t="shared" si="38"/>
        <v>8.571428571428571E-4</v>
      </c>
      <c r="I489" t="s">
        <v>109</v>
      </c>
      <c r="J489" s="11">
        <v>73.3</v>
      </c>
      <c r="K489" s="11">
        <v>17.52380952</v>
      </c>
      <c r="L489" t="str">
        <f>VLOOKUP(B489,'[1]Plant data'!$A$1:$AB$315,2,0)</f>
        <v>Urticaceae</v>
      </c>
      <c r="M489" s="9">
        <f>VLOOKUP($B489,'[1]Plant data'!$A$1:$AB$315,6,0)</f>
        <v>11.2</v>
      </c>
      <c r="N489" s="9">
        <f>VLOOKUP($B489,'[1]Plant data'!$A$1:$AB$315,7,0)</f>
        <v>147.6</v>
      </c>
      <c r="O489" s="8">
        <f>VLOOKUP($B489,'[1]Plant data'!$A$1:$AB$315,10,0)</f>
        <v>14.87</v>
      </c>
      <c r="P489" s="8" t="str">
        <f>VLOOKUP($B489,'[1]Plant data'!$A$1:$AB$315,11,0)</f>
        <v>NA</v>
      </c>
      <c r="Q489" s="8">
        <f>VLOOKUP($B489,'[1]Plant data'!$A$1:$AB$315,12,0)</f>
        <v>1.0000000000000002E-3</v>
      </c>
      <c r="R489" s="8" t="str">
        <f>VLOOKUP($B489,'[1]Plant data'!$A$1:$AB$315,13,0)</f>
        <v>NA</v>
      </c>
      <c r="S489" s="8" t="str">
        <f>VLOOKUP($B489,'[1]Plant data'!$A$1:$AB$315,14,0)</f>
        <v>NA</v>
      </c>
      <c r="T489" s="11">
        <f>VLOOKUP($B489,'[1]Plant data'!$A$1:$AB$315,15,0)</f>
        <v>2964</v>
      </c>
      <c r="U489" s="9" t="str">
        <f>VLOOKUP($B489,'[1]Plant data'!$A$1:$AB$315,19,0)</f>
        <v>NA</v>
      </c>
      <c r="V489" s="8">
        <f>VLOOKUP($B489,'[1]Plant data'!$A$1:$AB$315,20,0)</f>
        <v>3.7072243346005632E-2</v>
      </c>
      <c r="W489" s="8">
        <f>VLOOKUP($B489,'[1]Plant data'!$A$1:$AB$315,21,0)</f>
        <v>0.12086333333333334</v>
      </c>
      <c r="X489" s="8">
        <f>VLOOKUP($B489,'[1]Plant data'!$A$1:$AB$315,22,0)</f>
        <v>7.6045627376425846E-3</v>
      </c>
      <c r="Y489" s="8">
        <f>VLOOKUP($B489,'[1]Plant data'!$A$1:$AB$315,23,0)</f>
        <v>7.6846874408169827E-2</v>
      </c>
      <c r="Z489" s="8" t="str">
        <f>VLOOKUP($B489,'[1]Plant data'!$A$1:$AB$315,24,0)</f>
        <v>NA</v>
      </c>
      <c r="AA489" s="8" t="str">
        <f>VLOOKUP($B489,'[1]Plant data'!$A$1:$AB$315,25,0)</f>
        <v>NA</v>
      </c>
      <c r="AB489" s="8">
        <f t="shared" si="39"/>
        <v>8.4451437145812408E-2</v>
      </c>
    </row>
    <row r="490" spans="1:28">
      <c r="A490" s="5" t="s">
        <v>107</v>
      </c>
      <c r="B490" s="32" t="s">
        <v>121</v>
      </c>
      <c r="C490" s="53">
        <v>4</v>
      </c>
      <c r="D490">
        <v>140</v>
      </c>
      <c r="E490" s="8">
        <f>C490/D490</f>
        <v>2.8571428571428571E-2</v>
      </c>
      <c r="F490" s="56" t="s">
        <v>19</v>
      </c>
      <c r="G490" s="27">
        <v>0.14000000000000001</v>
      </c>
      <c r="H490" s="23">
        <f t="shared" si="38"/>
        <v>4.0000000000000001E-3</v>
      </c>
      <c r="I490" t="s">
        <v>109</v>
      </c>
      <c r="J490" s="11">
        <v>89.7</v>
      </c>
      <c r="K490" s="11">
        <v>20.489000000000001</v>
      </c>
      <c r="L490" t="str">
        <f>VLOOKUP(B490,'[1]Plant data'!$A$1:$AB$315,2,0)</f>
        <v>Urticaceae</v>
      </c>
      <c r="M490" s="9">
        <f>VLOOKUP($B490,'[1]Plant data'!$A$1:$AB$315,6,0)</f>
        <v>11.2</v>
      </c>
      <c r="N490" s="9">
        <f>VLOOKUP($B490,'[1]Plant data'!$A$1:$AB$315,7,0)</f>
        <v>147.6</v>
      </c>
      <c r="O490" s="8">
        <f>VLOOKUP($B490,'[1]Plant data'!$A$1:$AB$315,10,0)</f>
        <v>14.87</v>
      </c>
      <c r="P490" s="8" t="str">
        <f>VLOOKUP($B490,'[1]Plant data'!$A$1:$AB$315,11,0)</f>
        <v>NA</v>
      </c>
      <c r="Q490" s="8">
        <f>VLOOKUP($B490,'[1]Plant data'!$A$1:$AB$315,12,0)</f>
        <v>1.0000000000000002E-3</v>
      </c>
      <c r="R490" s="8" t="str">
        <f>VLOOKUP($B490,'[1]Plant data'!$A$1:$AB$315,13,0)</f>
        <v>NA</v>
      </c>
      <c r="S490" s="8" t="str">
        <f>VLOOKUP($B490,'[1]Plant data'!$A$1:$AB$315,14,0)</f>
        <v>NA</v>
      </c>
      <c r="T490" s="11">
        <f>VLOOKUP($B490,'[1]Plant data'!$A$1:$AB$315,15,0)</f>
        <v>2964</v>
      </c>
      <c r="U490" s="9" t="str">
        <f>VLOOKUP($B490,'[1]Plant data'!$A$1:$AB$315,19,0)</f>
        <v>NA</v>
      </c>
      <c r="V490" s="8">
        <f>VLOOKUP($B490,'[1]Plant data'!$A$1:$AB$315,20,0)</f>
        <v>3.7072243346005632E-2</v>
      </c>
      <c r="W490" s="8">
        <f>VLOOKUP($B490,'[1]Plant data'!$A$1:$AB$315,21,0)</f>
        <v>0.12086333333333334</v>
      </c>
      <c r="X490" s="8">
        <f>VLOOKUP($B490,'[1]Plant data'!$A$1:$AB$315,22,0)</f>
        <v>7.6045627376425846E-3</v>
      </c>
      <c r="Y490" s="8">
        <f>VLOOKUP($B490,'[1]Plant data'!$A$1:$AB$315,23,0)</f>
        <v>7.6846874408169827E-2</v>
      </c>
      <c r="Z490" s="8" t="str">
        <f>VLOOKUP($B490,'[1]Plant data'!$A$1:$AB$315,24,0)</f>
        <v>NA</v>
      </c>
      <c r="AA490" s="8" t="str">
        <f>VLOOKUP($B490,'[1]Plant data'!$A$1:$AB$315,25,0)</f>
        <v>NA</v>
      </c>
      <c r="AB490" s="8">
        <f t="shared" si="39"/>
        <v>8.4451437145812408E-2</v>
      </c>
    </row>
    <row r="491" spans="1:28">
      <c r="A491" s="5" t="s">
        <v>107</v>
      </c>
      <c r="B491" s="34" t="s">
        <v>121</v>
      </c>
      <c r="C491" s="53">
        <v>1</v>
      </c>
      <c r="D491" s="58">
        <v>48.16</v>
      </c>
      <c r="E491" s="8">
        <f>C491/D491</f>
        <v>2.0764119601328904E-2</v>
      </c>
      <c r="F491" s="54">
        <v>1</v>
      </c>
      <c r="G491" s="27">
        <v>0.14000000000000001</v>
      </c>
      <c r="H491" s="23">
        <f t="shared" si="38"/>
        <v>2.9069767441860469E-3</v>
      </c>
      <c r="I491" t="s">
        <v>109</v>
      </c>
      <c r="J491" s="11">
        <v>89.7</v>
      </c>
      <c r="K491" s="11">
        <v>20.489000000000001</v>
      </c>
      <c r="L491" t="str">
        <f>VLOOKUP(B491,'[1]Plant data'!$A$1:$AB$315,2,0)</f>
        <v>Urticaceae</v>
      </c>
      <c r="M491" s="9">
        <f>VLOOKUP($B491,'[1]Plant data'!$A$1:$AB$315,6,0)</f>
        <v>11.2</v>
      </c>
      <c r="N491" s="9">
        <f>VLOOKUP($B491,'[1]Plant data'!$A$1:$AB$315,7,0)</f>
        <v>147.6</v>
      </c>
      <c r="O491" s="8">
        <f>VLOOKUP($B491,'[1]Plant data'!$A$1:$AB$315,10,0)</f>
        <v>14.87</v>
      </c>
      <c r="P491" s="8" t="str">
        <f>VLOOKUP($B491,'[1]Plant data'!$A$1:$AB$315,11,0)</f>
        <v>NA</v>
      </c>
      <c r="Q491" s="8">
        <f>VLOOKUP($B491,'[1]Plant data'!$A$1:$AB$315,12,0)</f>
        <v>1.0000000000000002E-3</v>
      </c>
      <c r="R491" s="8" t="str">
        <f>VLOOKUP($B491,'[1]Plant data'!$A$1:$AB$315,13,0)</f>
        <v>NA</v>
      </c>
      <c r="S491" s="8" t="str">
        <f>VLOOKUP($B491,'[1]Plant data'!$A$1:$AB$315,14,0)</f>
        <v>NA</v>
      </c>
      <c r="T491" s="11">
        <f>VLOOKUP($B491,'[1]Plant data'!$A$1:$AB$315,15,0)</f>
        <v>2964</v>
      </c>
      <c r="U491" s="9" t="str">
        <f>VLOOKUP($B491,'[1]Plant data'!$A$1:$AB$315,19,0)</f>
        <v>NA</v>
      </c>
      <c r="V491" s="8">
        <f>VLOOKUP($B491,'[1]Plant data'!$A$1:$AB$315,20,0)</f>
        <v>3.7072243346005632E-2</v>
      </c>
      <c r="W491" s="8">
        <f>VLOOKUP($B491,'[1]Plant data'!$A$1:$AB$315,21,0)</f>
        <v>0.12086333333333334</v>
      </c>
      <c r="X491" s="8">
        <f>VLOOKUP($B491,'[1]Plant data'!$A$1:$AB$315,22,0)</f>
        <v>7.6045627376425846E-3</v>
      </c>
      <c r="Y491" s="8">
        <f>VLOOKUP($B491,'[1]Plant data'!$A$1:$AB$315,23,0)</f>
        <v>7.6846874408169827E-2</v>
      </c>
      <c r="Z491" s="8" t="str">
        <f>VLOOKUP($B491,'[1]Plant data'!$A$1:$AB$315,24,0)</f>
        <v>NA</v>
      </c>
      <c r="AA491" s="8" t="str">
        <f>VLOOKUP($B491,'[1]Plant data'!$A$1:$AB$315,25,0)</f>
        <v>NA</v>
      </c>
      <c r="AB491" s="8">
        <f t="shared" si="39"/>
        <v>8.4451437145812408E-2</v>
      </c>
    </row>
    <row r="492" spans="1:28">
      <c r="A492" s="5" t="s">
        <v>107</v>
      </c>
      <c r="B492" s="32" t="s">
        <v>121</v>
      </c>
      <c r="C492" s="53">
        <v>3</v>
      </c>
      <c r="D492" s="11">
        <v>750</v>
      </c>
      <c r="E492" s="8">
        <f>C492/750</f>
        <v>4.0000000000000001E-3</v>
      </c>
      <c r="F492" s="56" t="s">
        <v>19</v>
      </c>
      <c r="G492" s="41">
        <v>0.14000000000000001</v>
      </c>
      <c r="H492" s="23">
        <f t="shared" si="38"/>
        <v>5.6000000000000006E-4</v>
      </c>
      <c r="I492" t="s">
        <v>109</v>
      </c>
      <c r="J492" s="11">
        <v>89.7</v>
      </c>
      <c r="K492" s="11">
        <v>20.489000000000001</v>
      </c>
      <c r="L492" t="str">
        <f>VLOOKUP(B492,'[1]Plant data'!$A$1:$AB$315,2,0)</f>
        <v>Urticaceae</v>
      </c>
      <c r="M492" s="9">
        <f>VLOOKUP($B492,'[1]Plant data'!$A$1:$AB$315,6,0)</f>
        <v>11.2</v>
      </c>
      <c r="N492" s="9">
        <f>VLOOKUP($B492,'[1]Plant data'!$A$1:$AB$315,7,0)</f>
        <v>147.6</v>
      </c>
      <c r="O492" s="8">
        <f>VLOOKUP($B492,'[1]Plant data'!$A$1:$AB$315,10,0)</f>
        <v>14.87</v>
      </c>
      <c r="P492" s="8" t="str">
        <f>VLOOKUP($B492,'[1]Plant data'!$A$1:$AB$315,11,0)</f>
        <v>NA</v>
      </c>
      <c r="Q492" s="8">
        <f>VLOOKUP($B492,'[1]Plant data'!$A$1:$AB$315,12,0)</f>
        <v>1.0000000000000002E-3</v>
      </c>
      <c r="R492" s="8" t="str">
        <f>VLOOKUP($B492,'[1]Plant data'!$A$1:$AB$315,13,0)</f>
        <v>NA</v>
      </c>
      <c r="S492" s="8" t="str">
        <f>VLOOKUP($B492,'[1]Plant data'!$A$1:$AB$315,14,0)</f>
        <v>NA</v>
      </c>
      <c r="T492" s="11">
        <f>VLOOKUP($B492,'[1]Plant data'!$A$1:$AB$315,15,0)</f>
        <v>2964</v>
      </c>
      <c r="U492" s="9" t="str">
        <f>VLOOKUP($B492,'[1]Plant data'!$A$1:$AB$315,19,0)</f>
        <v>NA</v>
      </c>
      <c r="V492" s="8">
        <f>VLOOKUP($B492,'[1]Plant data'!$A$1:$AB$315,20,0)</f>
        <v>3.7072243346005632E-2</v>
      </c>
      <c r="W492" s="8">
        <f>VLOOKUP($B492,'[1]Plant data'!$A$1:$AB$315,21,0)</f>
        <v>0.12086333333333334</v>
      </c>
      <c r="X492" s="8">
        <f>VLOOKUP($B492,'[1]Plant data'!$A$1:$AB$315,22,0)</f>
        <v>7.6045627376425846E-3</v>
      </c>
      <c r="Y492" s="8">
        <f>VLOOKUP($B492,'[1]Plant data'!$A$1:$AB$315,23,0)</f>
        <v>7.6846874408169827E-2</v>
      </c>
      <c r="Z492" s="8" t="str">
        <f>VLOOKUP($B492,'[1]Plant data'!$A$1:$AB$315,24,0)</f>
        <v>NA</v>
      </c>
      <c r="AA492" s="8" t="str">
        <f>VLOOKUP($B492,'[1]Plant data'!$A$1:$AB$315,25,0)</f>
        <v>NA</v>
      </c>
      <c r="AB492" s="8">
        <f t="shared" si="39"/>
        <v>8.4451437145812408E-2</v>
      </c>
    </row>
    <row r="493" spans="1:28">
      <c r="A493" s="5" t="s">
        <v>50</v>
      </c>
      <c r="B493" s="32" t="s">
        <v>121</v>
      </c>
      <c r="C493" s="53">
        <v>2</v>
      </c>
      <c r="D493">
        <v>140</v>
      </c>
      <c r="E493" s="8">
        <f>C493/D493</f>
        <v>1.4285714285714285E-2</v>
      </c>
      <c r="F493" s="54" t="s">
        <v>19</v>
      </c>
      <c r="G493" s="27">
        <v>0.09</v>
      </c>
      <c r="H493" s="23">
        <f t="shared" si="38"/>
        <v>1.2857142857142856E-3</v>
      </c>
      <c r="I493" t="s">
        <v>47</v>
      </c>
      <c r="J493" s="11">
        <v>69.5</v>
      </c>
      <c r="K493" s="11">
        <v>13.253214290000001</v>
      </c>
      <c r="L493" t="str">
        <f>VLOOKUP(B493,'[1]Plant data'!$A$1:$AB$315,2,0)</f>
        <v>Urticaceae</v>
      </c>
      <c r="M493" s="9">
        <f>VLOOKUP($B493,'[1]Plant data'!$A$1:$AB$315,6,0)</f>
        <v>11.2</v>
      </c>
      <c r="N493" s="9">
        <f>VLOOKUP($B493,'[1]Plant data'!$A$1:$AB$315,7,0)</f>
        <v>147.6</v>
      </c>
      <c r="O493" s="8">
        <f>VLOOKUP($B493,'[1]Plant data'!$A$1:$AB$315,10,0)</f>
        <v>14.87</v>
      </c>
      <c r="P493" s="8" t="str">
        <f>VLOOKUP($B493,'[1]Plant data'!$A$1:$AB$315,11,0)</f>
        <v>NA</v>
      </c>
      <c r="Q493" s="8">
        <f>VLOOKUP($B493,'[1]Plant data'!$A$1:$AB$315,12,0)</f>
        <v>1.0000000000000002E-3</v>
      </c>
      <c r="R493" s="8" t="str">
        <f>VLOOKUP($B493,'[1]Plant data'!$A$1:$AB$315,13,0)</f>
        <v>NA</v>
      </c>
      <c r="S493" s="8" t="str">
        <f>VLOOKUP($B493,'[1]Plant data'!$A$1:$AB$315,14,0)</f>
        <v>NA</v>
      </c>
      <c r="T493" s="11">
        <f>VLOOKUP($B493,'[1]Plant data'!$A$1:$AB$315,15,0)</f>
        <v>2964</v>
      </c>
      <c r="U493" s="9" t="str">
        <f>VLOOKUP($B493,'[1]Plant data'!$A$1:$AB$315,19,0)</f>
        <v>NA</v>
      </c>
      <c r="V493" s="8">
        <f>VLOOKUP($B493,'[1]Plant data'!$A$1:$AB$315,20,0)</f>
        <v>3.7072243346005632E-2</v>
      </c>
      <c r="W493" s="8">
        <f>VLOOKUP($B493,'[1]Plant data'!$A$1:$AB$315,21,0)</f>
        <v>0.12086333333333334</v>
      </c>
      <c r="X493" s="8">
        <f>VLOOKUP($B493,'[1]Plant data'!$A$1:$AB$315,22,0)</f>
        <v>7.6045627376425846E-3</v>
      </c>
      <c r="Y493" s="8">
        <f>VLOOKUP($B493,'[1]Plant data'!$A$1:$AB$315,23,0)</f>
        <v>7.6846874408169827E-2</v>
      </c>
      <c r="Z493" s="8" t="str">
        <f>VLOOKUP($B493,'[1]Plant data'!$A$1:$AB$315,24,0)</f>
        <v>NA</v>
      </c>
      <c r="AA493" s="8" t="str">
        <f>VLOOKUP($B493,'[1]Plant data'!$A$1:$AB$315,25,0)</f>
        <v>NA</v>
      </c>
      <c r="AB493" s="8">
        <f t="shared" si="39"/>
        <v>8.4451437145812408E-2</v>
      </c>
    </row>
    <row r="494" spans="1:28">
      <c r="A494" s="5" t="s">
        <v>28</v>
      </c>
      <c r="B494" s="34" t="s">
        <v>82</v>
      </c>
      <c r="C494" s="53">
        <v>5</v>
      </c>
      <c r="D494" s="58">
        <v>22</v>
      </c>
      <c r="E494" s="8">
        <f>C494/D494</f>
        <v>0.22727272727272727</v>
      </c>
      <c r="F494" s="54">
        <v>17</v>
      </c>
      <c r="G494" s="19">
        <f>F494/C494</f>
        <v>3.4</v>
      </c>
      <c r="H494" s="23">
        <f t="shared" si="38"/>
        <v>0.77272727272727271</v>
      </c>
      <c r="I494" t="s">
        <v>30</v>
      </c>
      <c r="J494" s="11">
        <v>18</v>
      </c>
      <c r="K494" s="11">
        <v>7.4188405800000004</v>
      </c>
      <c r="L494" t="str">
        <f>VLOOKUP(B494,'[1]Plant data'!$A$1:$AB$315,2,0)</f>
        <v>Salicaceae</v>
      </c>
      <c r="M494" s="9">
        <f>VLOOKUP($B494,'[1]Plant data'!$A$1:$AB$315,6,0)</f>
        <v>5</v>
      </c>
      <c r="N494" s="9">
        <f>VLOOKUP($B494,'[1]Plant data'!$A$1:$AB$315,7,0)</f>
        <v>4.5</v>
      </c>
      <c r="O494" s="8">
        <f>VLOOKUP($B494,'[1]Plant data'!$A$1:$AB$315,10,0)</f>
        <v>0.02</v>
      </c>
      <c r="P494" s="8" t="str">
        <f>VLOOKUP($B494,'[1]Plant data'!$A$1:$AB$315,11,0)</f>
        <v>NA</v>
      </c>
      <c r="Q494" s="8">
        <f>VLOOKUP($B494,'[1]Plant data'!$A$1:$AB$315,12,0)</f>
        <v>3.3E-3</v>
      </c>
      <c r="R494" s="8" t="str">
        <f>VLOOKUP($B494,'[1]Plant data'!$A$1:$AB$315,13,0)</f>
        <v>NA</v>
      </c>
      <c r="S494" s="8" t="str">
        <f>VLOOKUP($B494,'[1]Plant data'!$A$1:$AB$315,14,0)</f>
        <v>NA</v>
      </c>
      <c r="T494" s="11">
        <f>VLOOKUP($B494,'[1]Plant data'!$A$1:$AB$315,15,0)</f>
        <v>4</v>
      </c>
      <c r="U494" s="9" t="str">
        <f>VLOOKUP($B494,'[1]Plant data'!$A$1:$AB$315,19,0)</f>
        <v>NA</v>
      </c>
      <c r="V494" s="8" t="str">
        <f>VLOOKUP($B494,'[1]Plant data'!$A$1:$AB$315,20,0)</f>
        <v>NA</v>
      </c>
      <c r="W494" s="8" t="str">
        <f>VLOOKUP($B494,'[1]Plant data'!$A$1:$AB$315,21,0)</f>
        <v>NA</v>
      </c>
      <c r="X494" s="8" t="str">
        <f>VLOOKUP($B494,'[1]Plant data'!$A$1:$AB$315,22,0)</f>
        <v>NA</v>
      </c>
      <c r="Y494" s="8" t="str">
        <f>VLOOKUP($B494,'[1]Plant data'!$A$1:$AB$315,23,0)</f>
        <v>NA</v>
      </c>
      <c r="Z494" s="8" t="str">
        <f>VLOOKUP($B494,'[1]Plant data'!$A$1:$AB$315,24,0)</f>
        <v>NA</v>
      </c>
      <c r="AA494" s="8" t="str">
        <f>VLOOKUP($B494,'[1]Plant data'!$A$1:$AB$315,25,0)</f>
        <v>NA</v>
      </c>
      <c r="AB494" s="8" t="s">
        <v>19</v>
      </c>
    </row>
    <row r="495" spans="1:28">
      <c r="A495" s="5" t="s">
        <v>28</v>
      </c>
      <c r="B495" s="32" t="s">
        <v>82</v>
      </c>
      <c r="C495" s="53">
        <v>2</v>
      </c>
      <c r="D495" s="59">
        <v>102.3</v>
      </c>
      <c r="E495" s="8">
        <f>C495/D495</f>
        <v>1.9550342130987292E-2</v>
      </c>
      <c r="F495" s="54" t="s">
        <v>19</v>
      </c>
      <c r="G495" s="41">
        <v>3.4</v>
      </c>
      <c r="H495" s="23">
        <f t="shared" si="38"/>
        <v>6.647116324535679E-2</v>
      </c>
      <c r="I495" t="s">
        <v>30</v>
      </c>
      <c r="J495" s="11">
        <v>18</v>
      </c>
      <c r="K495" s="11">
        <v>7.4188405800000004</v>
      </c>
      <c r="L495" t="str">
        <f>VLOOKUP(B495,'[1]Plant data'!$A$1:$AB$315,2,0)</f>
        <v>Salicaceae</v>
      </c>
      <c r="M495" s="9">
        <f>VLOOKUP($B495,'[1]Plant data'!$A$1:$AB$315,6,0)</f>
        <v>5</v>
      </c>
      <c r="N495" s="9">
        <f>VLOOKUP($B495,'[1]Plant data'!$A$1:$AB$315,7,0)</f>
        <v>4.5</v>
      </c>
      <c r="O495" s="8">
        <f>VLOOKUP($B495,'[1]Plant data'!$A$1:$AB$315,10,0)</f>
        <v>0.02</v>
      </c>
      <c r="P495" s="8" t="str">
        <f>VLOOKUP($B495,'[1]Plant data'!$A$1:$AB$315,11,0)</f>
        <v>NA</v>
      </c>
      <c r="Q495" s="8">
        <f>VLOOKUP($B495,'[1]Plant data'!$A$1:$AB$315,12,0)</f>
        <v>3.3E-3</v>
      </c>
      <c r="R495" s="8" t="str">
        <f>VLOOKUP($B495,'[1]Plant data'!$A$1:$AB$315,13,0)</f>
        <v>NA</v>
      </c>
      <c r="S495" s="8" t="str">
        <f>VLOOKUP($B495,'[1]Plant data'!$A$1:$AB$315,14,0)</f>
        <v>NA</v>
      </c>
      <c r="T495" s="11">
        <f>VLOOKUP($B495,'[1]Plant data'!$A$1:$AB$315,15,0)</f>
        <v>4</v>
      </c>
      <c r="U495" s="9" t="str">
        <f>VLOOKUP($B495,'[1]Plant data'!$A$1:$AB$315,19,0)</f>
        <v>NA</v>
      </c>
      <c r="V495" s="8" t="str">
        <f>VLOOKUP($B495,'[1]Plant data'!$A$1:$AB$315,20,0)</f>
        <v>NA</v>
      </c>
      <c r="W495" s="8" t="str">
        <f>VLOOKUP($B495,'[1]Plant data'!$A$1:$AB$315,21,0)</f>
        <v>NA</v>
      </c>
      <c r="X495" s="8" t="str">
        <f>VLOOKUP($B495,'[1]Plant data'!$A$1:$AB$315,22,0)</f>
        <v>NA</v>
      </c>
      <c r="Y495" s="8" t="str">
        <f>VLOOKUP($B495,'[1]Plant data'!$A$1:$AB$315,23,0)</f>
        <v>NA</v>
      </c>
      <c r="Z495" s="8" t="str">
        <f>VLOOKUP($B495,'[1]Plant data'!$A$1:$AB$315,24,0)</f>
        <v>NA</v>
      </c>
      <c r="AA495" s="8" t="str">
        <f>VLOOKUP($B495,'[1]Plant data'!$A$1:$AB$315,25,0)</f>
        <v>NA</v>
      </c>
      <c r="AB495" s="8" t="s">
        <v>19</v>
      </c>
    </row>
    <row r="496" spans="1:28">
      <c r="A496" s="5" t="s">
        <v>43</v>
      </c>
      <c r="B496" s="32" t="s">
        <v>82</v>
      </c>
      <c r="C496" s="53">
        <v>2</v>
      </c>
      <c r="D496" s="11">
        <v>0.5</v>
      </c>
      <c r="E496" s="8">
        <f>C496/0.5</f>
        <v>4</v>
      </c>
      <c r="F496" s="54" t="s">
        <v>19</v>
      </c>
      <c r="G496" s="41">
        <v>9.6230936819172115</v>
      </c>
      <c r="H496" s="23">
        <f t="shared" si="38"/>
        <v>38.492374727668846</v>
      </c>
      <c r="I496" t="s">
        <v>30</v>
      </c>
      <c r="J496" s="11">
        <v>32.5</v>
      </c>
      <c r="K496" s="11">
        <v>8.9205555560000001</v>
      </c>
      <c r="L496" t="str">
        <f>VLOOKUP(B496,'[1]Plant data'!$A$1:$AB$315,2,0)</f>
        <v>Salicaceae</v>
      </c>
      <c r="M496" s="9">
        <f>VLOOKUP($B496,'[1]Plant data'!$A$1:$AB$315,6,0)</f>
        <v>5</v>
      </c>
      <c r="N496" s="9">
        <f>VLOOKUP($B496,'[1]Plant data'!$A$1:$AB$315,7,0)</f>
        <v>4.5</v>
      </c>
      <c r="O496" s="8">
        <f>VLOOKUP($B496,'[1]Plant data'!$A$1:$AB$315,10,0)</f>
        <v>0.02</v>
      </c>
      <c r="P496" s="8" t="str">
        <f>VLOOKUP($B496,'[1]Plant data'!$A$1:$AB$315,11,0)</f>
        <v>NA</v>
      </c>
      <c r="Q496" s="8">
        <f>VLOOKUP($B496,'[1]Plant data'!$A$1:$AB$315,12,0)</f>
        <v>3.3E-3</v>
      </c>
      <c r="R496" s="8" t="str">
        <f>VLOOKUP($B496,'[1]Plant data'!$A$1:$AB$315,13,0)</f>
        <v>NA</v>
      </c>
      <c r="S496" s="8" t="str">
        <f>VLOOKUP($B496,'[1]Plant data'!$A$1:$AB$315,14,0)</f>
        <v>NA</v>
      </c>
      <c r="T496" s="11">
        <f>VLOOKUP($B496,'[1]Plant data'!$A$1:$AB$315,15,0)</f>
        <v>4</v>
      </c>
      <c r="U496" s="9" t="str">
        <f>VLOOKUP($B496,'[1]Plant data'!$A$1:$AB$315,19,0)</f>
        <v>NA</v>
      </c>
      <c r="V496" s="8" t="str">
        <f>VLOOKUP($B496,'[1]Plant data'!$A$1:$AB$315,20,0)</f>
        <v>NA</v>
      </c>
      <c r="W496" s="8" t="str">
        <f>VLOOKUP($B496,'[1]Plant data'!$A$1:$AB$315,21,0)</f>
        <v>NA</v>
      </c>
      <c r="X496" s="8" t="str">
        <f>VLOOKUP($B496,'[1]Plant data'!$A$1:$AB$315,22,0)</f>
        <v>NA</v>
      </c>
      <c r="Y496" s="8" t="str">
        <f>VLOOKUP($B496,'[1]Plant data'!$A$1:$AB$315,23,0)</f>
        <v>NA</v>
      </c>
      <c r="Z496" s="8" t="str">
        <f>VLOOKUP($B496,'[1]Plant data'!$A$1:$AB$315,24,0)</f>
        <v>NA</v>
      </c>
      <c r="AA496" s="8" t="str">
        <f>VLOOKUP($B496,'[1]Plant data'!$A$1:$AB$315,25,0)</f>
        <v>NA</v>
      </c>
      <c r="AB496" s="8" t="s">
        <v>19</v>
      </c>
    </row>
    <row r="497" spans="1:28">
      <c r="A497" s="5" t="s">
        <v>43</v>
      </c>
      <c r="B497" s="32" t="s">
        <v>82</v>
      </c>
      <c r="C497" s="53">
        <v>51</v>
      </c>
      <c r="D497" s="59">
        <v>102.3</v>
      </c>
      <c r="E497" s="8">
        <f>C497/102.3</f>
        <v>0.49853372434017595</v>
      </c>
      <c r="F497" s="54">
        <v>1325</v>
      </c>
      <c r="G497" s="9">
        <f>F497/C497</f>
        <v>25.980392156862745</v>
      </c>
      <c r="H497" s="23">
        <f t="shared" si="38"/>
        <v>12.952101661779082</v>
      </c>
      <c r="I497" t="s">
        <v>30</v>
      </c>
      <c r="J497" s="11">
        <v>32.5</v>
      </c>
      <c r="K497" s="11">
        <v>8.9205555560000001</v>
      </c>
      <c r="L497" t="str">
        <f>VLOOKUP(B497,'[1]Plant data'!$A$1:$AB$315,2,0)</f>
        <v>Salicaceae</v>
      </c>
      <c r="M497" s="9">
        <f>VLOOKUP($B497,'[1]Plant data'!$A$1:$AB$315,6,0)</f>
        <v>5</v>
      </c>
      <c r="N497" s="9">
        <f>VLOOKUP($B497,'[1]Plant data'!$A$1:$AB$315,7,0)</f>
        <v>4.5</v>
      </c>
      <c r="O497" s="8">
        <f>VLOOKUP($B497,'[1]Plant data'!$A$1:$AB$315,10,0)</f>
        <v>0.02</v>
      </c>
      <c r="P497" s="8" t="str">
        <f>VLOOKUP($B497,'[1]Plant data'!$A$1:$AB$315,11,0)</f>
        <v>NA</v>
      </c>
      <c r="Q497" s="8">
        <f>VLOOKUP($B497,'[1]Plant data'!$A$1:$AB$315,12,0)</f>
        <v>3.3E-3</v>
      </c>
      <c r="R497" s="8" t="str">
        <f>VLOOKUP($B497,'[1]Plant data'!$A$1:$AB$315,13,0)</f>
        <v>NA</v>
      </c>
      <c r="S497" s="8" t="str">
        <f>VLOOKUP($B497,'[1]Plant data'!$A$1:$AB$315,14,0)</f>
        <v>NA</v>
      </c>
      <c r="T497" s="11">
        <f>VLOOKUP($B497,'[1]Plant data'!$A$1:$AB$315,15,0)</f>
        <v>4</v>
      </c>
      <c r="U497" s="9" t="str">
        <f>VLOOKUP($B497,'[1]Plant data'!$A$1:$AB$315,19,0)</f>
        <v>NA</v>
      </c>
      <c r="V497" s="8" t="str">
        <f>VLOOKUP($B497,'[1]Plant data'!$A$1:$AB$315,20,0)</f>
        <v>NA</v>
      </c>
      <c r="W497" s="8" t="str">
        <f>VLOOKUP($B497,'[1]Plant data'!$A$1:$AB$315,21,0)</f>
        <v>NA</v>
      </c>
      <c r="X497" s="8" t="str">
        <f>VLOOKUP($B497,'[1]Plant data'!$A$1:$AB$315,22,0)</f>
        <v>NA</v>
      </c>
      <c r="Y497" s="8" t="str">
        <f>VLOOKUP($B497,'[1]Plant data'!$A$1:$AB$315,23,0)</f>
        <v>NA</v>
      </c>
      <c r="Z497" s="8" t="str">
        <f>VLOOKUP($B497,'[1]Plant data'!$A$1:$AB$315,24,0)</f>
        <v>NA</v>
      </c>
      <c r="AA497" s="8" t="str">
        <f>VLOOKUP($B497,'[1]Plant data'!$A$1:$AB$315,25,0)</f>
        <v>NA</v>
      </c>
      <c r="AB497" s="8" t="s">
        <v>19</v>
      </c>
    </row>
    <row r="498" spans="1:28">
      <c r="A498" s="5" t="s">
        <v>43</v>
      </c>
      <c r="B498" s="34" t="s">
        <v>82</v>
      </c>
      <c r="C498" s="53">
        <v>9</v>
      </c>
      <c r="D498" s="58">
        <v>22</v>
      </c>
      <c r="E498" s="8">
        <f>C498/D498</f>
        <v>0.40909090909090912</v>
      </c>
      <c r="F498" s="54">
        <v>17</v>
      </c>
      <c r="G498" s="19">
        <f>F498/C498</f>
        <v>1.8888888888888888</v>
      </c>
      <c r="H498" s="23">
        <f t="shared" si="38"/>
        <v>0.77272727272727271</v>
      </c>
      <c r="I498" t="s">
        <v>30</v>
      </c>
      <c r="J498" s="11">
        <v>32.5</v>
      </c>
      <c r="K498" s="11">
        <v>8.9205555560000001</v>
      </c>
      <c r="L498" t="str">
        <f>VLOOKUP(B498,'[1]Plant data'!$A$1:$AB$315,2,0)</f>
        <v>Salicaceae</v>
      </c>
      <c r="M498" s="9">
        <f>VLOOKUP($B498,'[1]Plant data'!$A$1:$AB$315,6,0)</f>
        <v>5</v>
      </c>
      <c r="N498" s="9">
        <f>VLOOKUP($B498,'[1]Plant data'!$A$1:$AB$315,7,0)</f>
        <v>4.5</v>
      </c>
      <c r="O498" s="8">
        <f>VLOOKUP($B498,'[1]Plant data'!$A$1:$AB$315,10,0)</f>
        <v>0.02</v>
      </c>
      <c r="P498" s="8" t="str">
        <f>VLOOKUP($B498,'[1]Plant data'!$A$1:$AB$315,11,0)</f>
        <v>NA</v>
      </c>
      <c r="Q498" s="8">
        <f>VLOOKUP($B498,'[1]Plant data'!$A$1:$AB$315,12,0)</f>
        <v>3.3E-3</v>
      </c>
      <c r="R498" s="8" t="str">
        <f>VLOOKUP($B498,'[1]Plant data'!$A$1:$AB$315,13,0)</f>
        <v>NA</v>
      </c>
      <c r="S498" s="8" t="str">
        <f>VLOOKUP($B498,'[1]Plant data'!$A$1:$AB$315,14,0)</f>
        <v>NA</v>
      </c>
      <c r="T498" s="11">
        <f>VLOOKUP($B498,'[1]Plant data'!$A$1:$AB$315,15,0)</f>
        <v>4</v>
      </c>
      <c r="U498" s="9" t="str">
        <f>VLOOKUP($B498,'[1]Plant data'!$A$1:$AB$315,19,0)</f>
        <v>NA</v>
      </c>
      <c r="V498" s="8" t="str">
        <f>VLOOKUP($B498,'[1]Plant data'!$A$1:$AB$315,20,0)</f>
        <v>NA</v>
      </c>
      <c r="W498" s="8" t="str">
        <f>VLOOKUP($B498,'[1]Plant data'!$A$1:$AB$315,21,0)</f>
        <v>NA</v>
      </c>
      <c r="X498" s="8" t="str">
        <f>VLOOKUP($B498,'[1]Plant data'!$A$1:$AB$315,22,0)</f>
        <v>NA</v>
      </c>
      <c r="Y498" s="8" t="str">
        <f>VLOOKUP($B498,'[1]Plant data'!$A$1:$AB$315,23,0)</f>
        <v>NA</v>
      </c>
      <c r="Z498" s="8" t="str">
        <f>VLOOKUP($B498,'[1]Plant data'!$A$1:$AB$315,24,0)</f>
        <v>NA</v>
      </c>
      <c r="AA498" s="8" t="str">
        <f>VLOOKUP($B498,'[1]Plant data'!$A$1:$AB$315,25,0)</f>
        <v>NA</v>
      </c>
      <c r="AB498" s="8" t="s">
        <v>19</v>
      </c>
    </row>
    <row r="499" spans="1:28">
      <c r="A499" s="5" t="s">
        <v>43</v>
      </c>
      <c r="B499" s="32" t="s">
        <v>82</v>
      </c>
      <c r="C499" s="53">
        <v>9</v>
      </c>
      <c r="D499" s="58">
        <v>22</v>
      </c>
      <c r="E499" s="8">
        <f>C499/22</f>
        <v>0.40909090909090912</v>
      </c>
      <c r="F499" s="54">
        <v>17</v>
      </c>
      <c r="G499" s="19">
        <v>1</v>
      </c>
      <c r="H499" s="23">
        <f t="shared" si="38"/>
        <v>0.40909090909090912</v>
      </c>
      <c r="I499" t="s">
        <v>30</v>
      </c>
      <c r="J499" s="11">
        <v>32.5</v>
      </c>
      <c r="K499" s="11">
        <v>8.9205555560000001</v>
      </c>
      <c r="L499" t="str">
        <f>VLOOKUP(B499,'[1]Plant data'!$A$1:$AB$315,2,0)</f>
        <v>Salicaceae</v>
      </c>
      <c r="M499" s="9">
        <f>VLOOKUP($B499,'[1]Plant data'!$A$1:$AB$315,6,0)</f>
        <v>5</v>
      </c>
      <c r="N499" s="9">
        <f>VLOOKUP($B499,'[1]Plant data'!$A$1:$AB$315,7,0)</f>
        <v>4.5</v>
      </c>
      <c r="O499" s="8">
        <f>VLOOKUP($B499,'[1]Plant data'!$A$1:$AB$315,10,0)</f>
        <v>0.02</v>
      </c>
      <c r="P499" s="8" t="str">
        <f>VLOOKUP($B499,'[1]Plant data'!$A$1:$AB$315,11,0)</f>
        <v>NA</v>
      </c>
      <c r="Q499" s="8">
        <f>VLOOKUP($B499,'[1]Plant data'!$A$1:$AB$315,12,0)</f>
        <v>3.3E-3</v>
      </c>
      <c r="R499" s="8" t="str">
        <f>VLOOKUP($B499,'[1]Plant data'!$A$1:$AB$315,13,0)</f>
        <v>NA</v>
      </c>
      <c r="S499" s="8" t="str">
        <f>VLOOKUP($B499,'[1]Plant data'!$A$1:$AB$315,14,0)</f>
        <v>NA</v>
      </c>
      <c r="T499" s="11">
        <f>VLOOKUP($B499,'[1]Plant data'!$A$1:$AB$315,15,0)</f>
        <v>4</v>
      </c>
      <c r="U499" s="9" t="str">
        <f>VLOOKUP($B499,'[1]Plant data'!$A$1:$AB$315,19,0)</f>
        <v>NA</v>
      </c>
      <c r="V499" s="8" t="str">
        <f>VLOOKUP($B499,'[1]Plant data'!$A$1:$AB$315,20,0)</f>
        <v>NA</v>
      </c>
      <c r="W499" s="8" t="str">
        <f>VLOOKUP($B499,'[1]Plant data'!$A$1:$AB$315,21,0)</f>
        <v>NA</v>
      </c>
      <c r="X499" s="8" t="str">
        <f>VLOOKUP($B499,'[1]Plant data'!$A$1:$AB$315,22,0)</f>
        <v>NA</v>
      </c>
      <c r="Y499" s="8" t="str">
        <f>VLOOKUP($B499,'[1]Plant data'!$A$1:$AB$315,23,0)</f>
        <v>NA</v>
      </c>
      <c r="Z499" s="8" t="str">
        <f>VLOOKUP($B499,'[1]Plant data'!$A$1:$AB$315,24,0)</f>
        <v>NA</v>
      </c>
      <c r="AA499" s="8" t="str">
        <f>VLOOKUP($B499,'[1]Plant data'!$A$1:$AB$315,25,0)</f>
        <v>NA</v>
      </c>
      <c r="AB499" s="8" t="s">
        <v>19</v>
      </c>
    </row>
    <row r="500" spans="1:28">
      <c r="A500" s="5" t="s">
        <v>144</v>
      </c>
      <c r="B500" s="34" t="s">
        <v>227</v>
      </c>
      <c r="C500" s="53">
        <v>12</v>
      </c>
      <c r="D500" s="11">
        <v>70.2</v>
      </c>
      <c r="E500" s="8">
        <f>C500/70.2</f>
        <v>0.17094017094017094</v>
      </c>
      <c r="F500" s="54" t="s">
        <v>19</v>
      </c>
      <c r="G500" t="s">
        <v>19</v>
      </c>
      <c r="H500" s="23" t="s">
        <v>19</v>
      </c>
      <c r="I500" t="s">
        <v>94</v>
      </c>
      <c r="J500" s="11">
        <v>146</v>
      </c>
      <c r="K500" s="11">
        <v>23.6</v>
      </c>
      <c r="L500" t="str">
        <f>VLOOKUP(B500,'[1]Plant data'!$A$1:$AB$315,2,0)</f>
        <v>Meliaceae</v>
      </c>
      <c r="M500" s="9">
        <f>VLOOKUP($B500,'[1]Plant data'!$A$1:$AB$315,6,0)</f>
        <v>9.7337500000000006</v>
      </c>
      <c r="N500" s="9">
        <f>VLOOKUP($B500,'[1]Plant data'!$A$1:$AB$315,7,0)</f>
        <v>17.306249999999999</v>
      </c>
      <c r="O500" s="8">
        <f>VLOOKUP($B500,'[1]Plant data'!$A$1:$AB$315,10,0)</f>
        <v>0.93490624999999994</v>
      </c>
      <c r="P500" s="8">
        <f>VLOOKUP($B500,'[1]Plant data'!$A$1:$AB$315,11,0)</f>
        <v>0.39499999999999996</v>
      </c>
      <c r="Q500" s="8">
        <f>VLOOKUP($B500,'[1]Plant data'!$A$1:$AB$315,12,0)</f>
        <v>0.139125</v>
      </c>
      <c r="R500" s="8">
        <f>VLOOKUP($B500,'[1]Plant data'!$A$1:$AB$315,13,0)</f>
        <v>0.51612499999999994</v>
      </c>
      <c r="S500" s="8">
        <f>VLOOKUP($B500,'[1]Plant data'!$A$1:$AB$315,14,0)</f>
        <v>0.40368749999999998</v>
      </c>
      <c r="T500" s="11">
        <f>VLOOKUP($B500,'[1]Plant data'!$A$1:$AB$315,15,0)</f>
        <v>3.0575000000000001</v>
      </c>
      <c r="U500" s="9">
        <f>VLOOKUP($B500,'[1]Plant data'!$A$1:$AB$315,19,0)</f>
        <v>0.40903333333333336</v>
      </c>
      <c r="V500" s="8">
        <f>VLOOKUP($B500,'[1]Plant data'!$A$1:$AB$315,20,0)</f>
        <v>0.71116666666666661</v>
      </c>
      <c r="W500" s="8">
        <f>VLOOKUP($B500,'[1]Plant data'!$A$1:$AB$315,21,0)</f>
        <v>8.8350000000000012E-2</v>
      </c>
      <c r="X500" s="8">
        <f>VLOOKUP($B500,'[1]Plant data'!$A$1:$AB$315,22,0)</f>
        <v>1.1599999999999999E-2</v>
      </c>
      <c r="Y500" s="8" t="str">
        <f>VLOOKUP($B500,'[1]Plant data'!$A$1:$AB$315,23,0)</f>
        <v>NA</v>
      </c>
      <c r="Z500" s="8" t="str">
        <f>VLOOKUP($B500,'[1]Plant data'!$A$1:$AB$315,24,0)</f>
        <v>NA</v>
      </c>
      <c r="AA500" s="8">
        <f>VLOOKUP($B500,'[1]Plant data'!$A$1:$AB$315,25,0)</f>
        <v>0.16500000000000001</v>
      </c>
      <c r="AB500" s="8">
        <f t="shared" ref="AB500:AB513" si="40">SUMIF(X500:Y500,"&gt;0.00001")</f>
        <v>1.1599999999999999E-2</v>
      </c>
    </row>
    <row r="501" spans="1:28">
      <c r="A501" s="5" t="s">
        <v>90</v>
      </c>
      <c r="B501" s="33" t="s">
        <v>227</v>
      </c>
      <c r="C501" s="56">
        <v>7</v>
      </c>
      <c r="D501" s="59">
        <v>70.2</v>
      </c>
      <c r="E501" s="26">
        <f>C501/70.2</f>
        <v>9.9715099715099717E-2</v>
      </c>
      <c r="F501" s="54" t="s">
        <v>19</v>
      </c>
      <c r="G501" s="41">
        <v>20</v>
      </c>
      <c r="H501" s="23">
        <f>G501*E501</f>
        <v>1.9943019943019944</v>
      </c>
      <c r="I501" t="s">
        <v>94</v>
      </c>
      <c r="J501" s="11">
        <v>331</v>
      </c>
      <c r="K501" s="11">
        <v>30.7</v>
      </c>
      <c r="L501" t="str">
        <f>VLOOKUP(B501,'[1]Plant data'!$A$1:$AB$315,2,0)</f>
        <v>Meliaceae</v>
      </c>
      <c r="M501" s="9">
        <f>VLOOKUP($B501,'[1]Plant data'!$A$1:$AB$315,6,0)</f>
        <v>9.7337500000000006</v>
      </c>
      <c r="N501" s="9">
        <f>VLOOKUP($B501,'[1]Plant data'!$A$1:$AB$315,7,0)</f>
        <v>17.306249999999999</v>
      </c>
      <c r="O501" s="8">
        <f>VLOOKUP($B501,'[1]Plant data'!$A$1:$AB$315,10,0)</f>
        <v>0.93490624999999994</v>
      </c>
      <c r="P501" s="8">
        <f>VLOOKUP($B501,'[1]Plant data'!$A$1:$AB$315,11,0)</f>
        <v>0.39499999999999996</v>
      </c>
      <c r="Q501" s="8">
        <f>VLOOKUP($B501,'[1]Plant data'!$A$1:$AB$315,12,0)</f>
        <v>0.139125</v>
      </c>
      <c r="R501" s="8">
        <f>VLOOKUP($B501,'[1]Plant data'!$A$1:$AB$315,13,0)</f>
        <v>0.51612499999999994</v>
      </c>
      <c r="S501" s="8">
        <f>VLOOKUP($B501,'[1]Plant data'!$A$1:$AB$315,14,0)</f>
        <v>0.40368749999999998</v>
      </c>
      <c r="T501" s="11">
        <f>VLOOKUP($B501,'[1]Plant data'!$A$1:$AB$315,15,0)</f>
        <v>3.0575000000000001</v>
      </c>
      <c r="U501" s="9">
        <f>VLOOKUP($B501,'[1]Plant data'!$A$1:$AB$315,19,0)</f>
        <v>0.40903333333333336</v>
      </c>
      <c r="V501" s="8">
        <f>VLOOKUP($B501,'[1]Plant data'!$A$1:$AB$315,20,0)</f>
        <v>0.71116666666666661</v>
      </c>
      <c r="W501" s="8">
        <f>VLOOKUP($B501,'[1]Plant data'!$A$1:$AB$315,21,0)</f>
        <v>8.8350000000000012E-2</v>
      </c>
      <c r="X501" s="8">
        <f>VLOOKUP($B501,'[1]Plant data'!$A$1:$AB$315,22,0)</f>
        <v>1.1599999999999999E-2</v>
      </c>
      <c r="Y501" s="8" t="str">
        <f>VLOOKUP($B501,'[1]Plant data'!$A$1:$AB$315,23,0)</f>
        <v>NA</v>
      </c>
      <c r="Z501" s="8" t="str">
        <f>VLOOKUP($B501,'[1]Plant data'!$A$1:$AB$315,24,0)</f>
        <v>NA</v>
      </c>
      <c r="AA501" s="8">
        <f>VLOOKUP($B501,'[1]Plant data'!$A$1:$AB$315,25,0)</f>
        <v>0.16500000000000001</v>
      </c>
      <c r="AB501" s="8">
        <f t="shared" si="40"/>
        <v>1.1599999999999999E-2</v>
      </c>
    </row>
    <row r="502" spans="1:28">
      <c r="A502" s="21" t="s">
        <v>104</v>
      </c>
      <c r="B502" s="31" t="s">
        <v>227</v>
      </c>
      <c r="C502" s="55">
        <v>5</v>
      </c>
      <c r="D502" s="17">
        <v>32</v>
      </c>
      <c r="E502" s="23">
        <f>C502/32</f>
        <v>0.15625</v>
      </c>
      <c r="F502" s="55">
        <v>90</v>
      </c>
      <c r="G502" s="19">
        <f>20</f>
        <v>20</v>
      </c>
      <c r="H502" s="23">
        <f>E502*G502</f>
        <v>3.125</v>
      </c>
      <c r="I502" s="16" t="s">
        <v>94</v>
      </c>
      <c r="J502" s="17">
        <v>343.5</v>
      </c>
      <c r="K502" s="17">
        <v>30.107272729999998</v>
      </c>
      <c r="L502" t="str">
        <f>VLOOKUP(B502,'[1]Plant data'!$A$1:$AB$315,2,0)</f>
        <v>Meliaceae</v>
      </c>
      <c r="M502" s="9">
        <f>VLOOKUP($B502,'[1]Plant data'!$A$1:$AB$315,6,0)</f>
        <v>9.7337500000000006</v>
      </c>
      <c r="N502" s="9">
        <f>VLOOKUP($B502,'[1]Plant data'!$A$1:$AB$315,7,0)</f>
        <v>17.306249999999999</v>
      </c>
      <c r="O502" s="8">
        <f>VLOOKUP($B502,'[1]Plant data'!$A$1:$AB$315,10,0)</f>
        <v>0.93490624999999994</v>
      </c>
      <c r="P502" s="8">
        <f>VLOOKUP($B502,'[1]Plant data'!$A$1:$AB$315,11,0)</f>
        <v>0.39499999999999996</v>
      </c>
      <c r="Q502" s="8">
        <f>VLOOKUP($B502,'[1]Plant data'!$A$1:$AB$315,12,0)</f>
        <v>0.139125</v>
      </c>
      <c r="R502" s="8">
        <f>VLOOKUP($B502,'[1]Plant data'!$A$1:$AB$315,13,0)</f>
        <v>0.51612499999999994</v>
      </c>
      <c r="S502" s="8">
        <f>VLOOKUP($B502,'[1]Plant data'!$A$1:$AB$315,14,0)</f>
        <v>0.40368749999999998</v>
      </c>
      <c r="T502" s="11">
        <f>VLOOKUP($B502,'[1]Plant data'!$A$1:$AB$315,15,0)</f>
        <v>3.0575000000000001</v>
      </c>
      <c r="U502" s="9">
        <f>VLOOKUP($B502,'[1]Plant data'!$A$1:$AB$315,19,0)</f>
        <v>0.40903333333333336</v>
      </c>
      <c r="V502" s="8">
        <f>VLOOKUP($B502,'[1]Plant data'!$A$1:$AB$315,20,0)</f>
        <v>0.71116666666666661</v>
      </c>
      <c r="W502" s="8">
        <f>VLOOKUP($B502,'[1]Plant data'!$A$1:$AB$315,21,0)</f>
        <v>8.8350000000000012E-2</v>
      </c>
      <c r="X502" s="8">
        <f>VLOOKUP($B502,'[1]Plant data'!$A$1:$AB$315,22,0)</f>
        <v>1.1599999999999999E-2</v>
      </c>
      <c r="Y502" s="8" t="str">
        <f>VLOOKUP($B502,'[1]Plant data'!$A$1:$AB$315,23,0)</f>
        <v>NA</v>
      </c>
      <c r="Z502" s="8" t="str">
        <f>VLOOKUP($B502,'[1]Plant data'!$A$1:$AB$315,24,0)</f>
        <v>NA</v>
      </c>
      <c r="AA502" s="8">
        <f>VLOOKUP($B502,'[1]Plant data'!$A$1:$AB$315,25,0)</f>
        <v>0.16500000000000001</v>
      </c>
      <c r="AB502" s="8">
        <f t="shared" si="40"/>
        <v>1.1599999999999999E-2</v>
      </c>
    </row>
    <row r="503" spans="1:28">
      <c r="A503" s="5" t="s">
        <v>105</v>
      </c>
      <c r="B503" s="32" t="s">
        <v>227</v>
      </c>
      <c r="C503" s="53">
        <v>1</v>
      </c>
      <c r="D503" s="59">
        <v>70.2</v>
      </c>
      <c r="E503" s="8">
        <f>C503/70.2</f>
        <v>1.4245014245014245E-2</v>
      </c>
      <c r="F503" s="54" t="s">
        <v>19</v>
      </c>
      <c r="G503" s="19" t="s">
        <v>19</v>
      </c>
      <c r="H503" s="23" t="s">
        <v>19</v>
      </c>
      <c r="I503" t="s">
        <v>94</v>
      </c>
      <c r="J503" s="11">
        <v>164</v>
      </c>
      <c r="K503" s="11">
        <v>25.039000000000001</v>
      </c>
      <c r="L503" t="str">
        <f>VLOOKUP(B503,'[1]Plant data'!$A$1:$AB$315,2,0)</f>
        <v>Meliaceae</v>
      </c>
      <c r="M503" s="9">
        <f>VLOOKUP($B503,'[1]Plant data'!$A$1:$AB$315,6,0)</f>
        <v>9.7337500000000006</v>
      </c>
      <c r="N503" s="9">
        <f>VLOOKUP($B503,'[1]Plant data'!$A$1:$AB$315,7,0)</f>
        <v>17.306249999999999</v>
      </c>
      <c r="O503" s="8">
        <f>VLOOKUP($B503,'[1]Plant data'!$A$1:$AB$315,10,0)</f>
        <v>0.93490624999999994</v>
      </c>
      <c r="P503" s="8">
        <f>VLOOKUP($B503,'[1]Plant data'!$A$1:$AB$315,11,0)</f>
        <v>0.39499999999999996</v>
      </c>
      <c r="Q503" s="8">
        <f>VLOOKUP($B503,'[1]Plant data'!$A$1:$AB$315,12,0)</f>
        <v>0.139125</v>
      </c>
      <c r="R503" s="8">
        <f>VLOOKUP($B503,'[1]Plant data'!$A$1:$AB$315,13,0)</f>
        <v>0.51612499999999994</v>
      </c>
      <c r="S503" s="8">
        <f>VLOOKUP($B503,'[1]Plant data'!$A$1:$AB$315,14,0)</f>
        <v>0.40368749999999998</v>
      </c>
      <c r="T503" s="11">
        <f>VLOOKUP($B503,'[1]Plant data'!$A$1:$AB$315,15,0)</f>
        <v>3.0575000000000001</v>
      </c>
      <c r="U503" s="9">
        <f>VLOOKUP($B503,'[1]Plant data'!$A$1:$AB$315,19,0)</f>
        <v>0.40903333333333336</v>
      </c>
      <c r="V503" s="8">
        <f>VLOOKUP($B503,'[1]Plant data'!$A$1:$AB$315,20,0)</f>
        <v>0.71116666666666661</v>
      </c>
      <c r="W503" s="8">
        <f>VLOOKUP($B503,'[1]Plant data'!$A$1:$AB$315,21,0)</f>
        <v>8.8350000000000012E-2</v>
      </c>
      <c r="X503" s="8">
        <f>VLOOKUP($B503,'[1]Plant data'!$A$1:$AB$315,22,0)</f>
        <v>1.1599999999999999E-2</v>
      </c>
      <c r="Y503" s="8" t="str">
        <f>VLOOKUP($B503,'[1]Plant data'!$A$1:$AB$315,23,0)</f>
        <v>NA</v>
      </c>
      <c r="Z503" s="8" t="str">
        <f>VLOOKUP($B503,'[1]Plant data'!$A$1:$AB$315,24,0)</f>
        <v>NA</v>
      </c>
      <c r="AA503" s="8">
        <f>VLOOKUP($B503,'[1]Plant data'!$A$1:$AB$315,25,0)</f>
        <v>0.16500000000000001</v>
      </c>
      <c r="AB503" s="8">
        <f t="shared" si="40"/>
        <v>1.1599999999999999E-2</v>
      </c>
    </row>
    <row r="504" spans="1:28">
      <c r="A504" s="5" t="s">
        <v>106</v>
      </c>
      <c r="B504" s="32" t="s">
        <v>227</v>
      </c>
      <c r="C504" s="53">
        <v>129</v>
      </c>
      <c r="D504" s="59">
        <v>70.2</v>
      </c>
      <c r="E504" s="8">
        <f>C504/70.2</f>
        <v>1.8376068376068375</v>
      </c>
      <c r="F504" s="54" t="s">
        <v>19</v>
      </c>
      <c r="G504" s="19">
        <v>4.8</v>
      </c>
      <c r="H504" s="23">
        <f t="shared" ref="H504:H510" si="41">E504*G504</f>
        <v>8.8205128205128194</v>
      </c>
      <c r="I504" t="s">
        <v>75</v>
      </c>
      <c r="J504" s="11">
        <v>68.099999999999994</v>
      </c>
      <c r="K504" s="11">
        <v>16.570370369999999</v>
      </c>
      <c r="L504" t="str">
        <f>VLOOKUP(B504,'[1]Plant data'!$A$1:$AB$315,2,0)</f>
        <v>Meliaceae</v>
      </c>
      <c r="M504" s="9">
        <f>VLOOKUP($B504,'[1]Plant data'!$A$1:$AB$315,6,0)</f>
        <v>9.7337500000000006</v>
      </c>
      <c r="N504" s="9">
        <f>VLOOKUP($B504,'[1]Plant data'!$A$1:$AB$315,7,0)</f>
        <v>17.306249999999999</v>
      </c>
      <c r="O504" s="8">
        <f>VLOOKUP($B504,'[1]Plant data'!$A$1:$AB$315,10,0)</f>
        <v>0.93490624999999994</v>
      </c>
      <c r="P504" s="8">
        <f>VLOOKUP($B504,'[1]Plant data'!$A$1:$AB$315,11,0)</f>
        <v>0.39499999999999996</v>
      </c>
      <c r="Q504" s="8">
        <f>VLOOKUP($B504,'[1]Plant data'!$A$1:$AB$315,12,0)</f>
        <v>0.139125</v>
      </c>
      <c r="R504" s="8">
        <f>VLOOKUP($B504,'[1]Plant data'!$A$1:$AB$315,13,0)</f>
        <v>0.51612499999999994</v>
      </c>
      <c r="S504" s="8">
        <f>VLOOKUP($B504,'[1]Plant data'!$A$1:$AB$315,14,0)</f>
        <v>0.40368749999999998</v>
      </c>
      <c r="T504" s="11">
        <f>VLOOKUP($B504,'[1]Plant data'!$A$1:$AB$315,15,0)</f>
        <v>3.0575000000000001</v>
      </c>
      <c r="U504" s="9">
        <f>VLOOKUP($B504,'[1]Plant data'!$A$1:$AB$315,19,0)</f>
        <v>0.40903333333333336</v>
      </c>
      <c r="V504" s="8">
        <f>VLOOKUP($B504,'[1]Plant data'!$A$1:$AB$315,20,0)</f>
        <v>0.71116666666666661</v>
      </c>
      <c r="W504" s="8">
        <f>VLOOKUP($B504,'[1]Plant data'!$A$1:$AB$315,21,0)</f>
        <v>8.8350000000000012E-2</v>
      </c>
      <c r="X504" s="8">
        <f>VLOOKUP($B504,'[1]Plant data'!$A$1:$AB$315,22,0)</f>
        <v>1.1599999999999999E-2</v>
      </c>
      <c r="Y504" s="8" t="str">
        <f>VLOOKUP($B504,'[1]Plant data'!$A$1:$AB$315,23,0)</f>
        <v>NA</v>
      </c>
      <c r="Z504" s="8" t="str">
        <f>VLOOKUP($B504,'[1]Plant data'!$A$1:$AB$315,24,0)</f>
        <v>NA</v>
      </c>
      <c r="AA504" s="8">
        <f>VLOOKUP($B504,'[1]Plant data'!$A$1:$AB$315,25,0)</f>
        <v>0.16500000000000001</v>
      </c>
      <c r="AB504" s="8">
        <f t="shared" si="40"/>
        <v>1.1599999999999999E-2</v>
      </c>
    </row>
    <row r="505" spans="1:28">
      <c r="A505" s="21" t="s">
        <v>124</v>
      </c>
      <c r="B505" s="31" t="s">
        <v>227</v>
      </c>
      <c r="C505" s="55">
        <v>3</v>
      </c>
      <c r="D505" s="17">
        <v>32</v>
      </c>
      <c r="E505" s="23">
        <f>C505/32</f>
        <v>9.375E-2</v>
      </c>
      <c r="F505" s="55">
        <v>6</v>
      </c>
      <c r="G505" s="19">
        <f>F505/C505</f>
        <v>2</v>
      </c>
      <c r="H505" s="23">
        <f t="shared" si="41"/>
        <v>0.1875</v>
      </c>
      <c r="I505" s="16" t="s">
        <v>109</v>
      </c>
      <c r="J505" s="17">
        <v>73.3</v>
      </c>
      <c r="K505" s="17">
        <v>17.52380952</v>
      </c>
      <c r="L505" t="str">
        <f>VLOOKUP(B505,'[1]Plant data'!$A$1:$AB$315,2,0)</f>
        <v>Meliaceae</v>
      </c>
      <c r="M505" s="9">
        <f>VLOOKUP($B505,'[1]Plant data'!$A$1:$AB$315,6,0)</f>
        <v>9.7337500000000006</v>
      </c>
      <c r="N505" s="9">
        <f>VLOOKUP($B505,'[1]Plant data'!$A$1:$AB$315,7,0)</f>
        <v>17.306249999999999</v>
      </c>
      <c r="O505" s="8">
        <f>VLOOKUP($B505,'[1]Plant data'!$A$1:$AB$315,10,0)</f>
        <v>0.93490624999999994</v>
      </c>
      <c r="P505" s="8">
        <f>VLOOKUP($B505,'[1]Plant data'!$A$1:$AB$315,11,0)</f>
        <v>0.39499999999999996</v>
      </c>
      <c r="Q505" s="8">
        <f>VLOOKUP($B505,'[1]Plant data'!$A$1:$AB$315,12,0)</f>
        <v>0.139125</v>
      </c>
      <c r="R505" s="8">
        <f>VLOOKUP($B505,'[1]Plant data'!$A$1:$AB$315,13,0)</f>
        <v>0.51612499999999994</v>
      </c>
      <c r="S505" s="8">
        <f>VLOOKUP($B505,'[1]Plant data'!$A$1:$AB$315,14,0)</f>
        <v>0.40368749999999998</v>
      </c>
      <c r="T505" s="11">
        <f>VLOOKUP($B505,'[1]Plant data'!$A$1:$AB$315,15,0)</f>
        <v>3.0575000000000001</v>
      </c>
      <c r="U505" s="9">
        <f>VLOOKUP($B505,'[1]Plant data'!$A$1:$AB$315,19,0)</f>
        <v>0.40903333333333336</v>
      </c>
      <c r="V505" s="8">
        <f>VLOOKUP($B505,'[1]Plant data'!$A$1:$AB$315,20,0)</f>
        <v>0.71116666666666661</v>
      </c>
      <c r="W505" s="8">
        <f>VLOOKUP($B505,'[1]Plant data'!$A$1:$AB$315,21,0)</f>
        <v>8.8350000000000012E-2</v>
      </c>
      <c r="X505" s="8">
        <f>VLOOKUP($B505,'[1]Plant data'!$A$1:$AB$315,22,0)</f>
        <v>1.1599999999999999E-2</v>
      </c>
      <c r="Y505" s="8" t="str">
        <f>VLOOKUP($B505,'[1]Plant data'!$A$1:$AB$315,23,0)</f>
        <v>NA</v>
      </c>
      <c r="Z505" s="8" t="str">
        <f>VLOOKUP($B505,'[1]Plant data'!$A$1:$AB$315,24,0)</f>
        <v>NA</v>
      </c>
      <c r="AA505" s="8">
        <f>VLOOKUP($B505,'[1]Plant data'!$A$1:$AB$315,25,0)</f>
        <v>0.16500000000000001</v>
      </c>
      <c r="AB505" s="8">
        <f t="shared" si="40"/>
        <v>1.1599999999999999E-2</v>
      </c>
    </row>
    <row r="506" spans="1:28">
      <c r="A506" s="5" t="s">
        <v>124</v>
      </c>
      <c r="B506" s="33" t="s">
        <v>227</v>
      </c>
      <c r="C506" s="56">
        <v>3</v>
      </c>
      <c r="D506" s="59">
        <v>70.2</v>
      </c>
      <c r="E506" s="26">
        <f>C506/70.2</f>
        <v>4.2735042735042736E-2</v>
      </c>
      <c r="F506" s="54" t="s">
        <v>19</v>
      </c>
      <c r="G506" s="41">
        <v>2</v>
      </c>
      <c r="H506" s="23">
        <f t="shared" si="41"/>
        <v>8.5470085470085472E-2</v>
      </c>
      <c r="I506" t="s">
        <v>109</v>
      </c>
      <c r="J506" s="11">
        <v>73.3</v>
      </c>
      <c r="K506" s="11">
        <v>17.52380952</v>
      </c>
      <c r="L506" t="str">
        <f>VLOOKUP(B506,'[1]Plant data'!$A$1:$AB$315,2,0)</f>
        <v>Meliaceae</v>
      </c>
      <c r="M506" s="9">
        <f>VLOOKUP($B506,'[1]Plant data'!$A$1:$AB$315,6,0)</f>
        <v>9.7337500000000006</v>
      </c>
      <c r="N506" s="9">
        <f>VLOOKUP($B506,'[1]Plant data'!$A$1:$AB$315,7,0)</f>
        <v>17.306249999999999</v>
      </c>
      <c r="O506" s="8">
        <f>VLOOKUP($B506,'[1]Plant data'!$A$1:$AB$315,10,0)</f>
        <v>0.93490624999999994</v>
      </c>
      <c r="P506" s="8">
        <f>VLOOKUP($B506,'[1]Plant data'!$A$1:$AB$315,11,0)</f>
        <v>0.39499999999999996</v>
      </c>
      <c r="Q506" s="8">
        <f>VLOOKUP($B506,'[1]Plant data'!$A$1:$AB$315,12,0)</f>
        <v>0.139125</v>
      </c>
      <c r="R506" s="8">
        <f>VLOOKUP($B506,'[1]Plant data'!$A$1:$AB$315,13,0)</f>
        <v>0.51612499999999994</v>
      </c>
      <c r="S506" s="8">
        <f>VLOOKUP($B506,'[1]Plant data'!$A$1:$AB$315,14,0)</f>
        <v>0.40368749999999998</v>
      </c>
      <c r="T506" s="11">
        <f>VLOOKUP($B506,'[1]Plant data'!$A$1:$AB$315,15,0)</f>
        <v>3.0575000000000001</v>
      </c>
      <c r="U506" s="9">
        <f>VLOOKUP($B506,'[1]Plant data'!$A$1:$AB$315,19,0)</f>
        <v>0.40903333333333336</v>
      </c>
      <c r="V506" s="8">
        <f>VLOOKUP($B506,'[1]Plant data'!$A$1:$AB$315,20,0)</f>
        <v>0.71116666666666661</v>
      </c>
      <c r="W506" s="8">
        <f>VLOOKUP($B506,'[1]Plant data'!$A$1:$AB$315,21,0)</f>
        <v>8.8350000000000012E-2</v>
      </c>
      <c r="X506" s="8">
        <f>VLOOKUP($B506,'[1]Plant data'!$A$1:$AB$315,22,0)</f>
        <v>1.1599999999999999E-2</v>
      </c>
      <c r="Y506" s="8" t="str">
        <f>VLOOKUP($B506,'[1]Plant data'!$A$1:$AB$315,23,0)</f>
        <v>NA</v>
      </c>
      <c r="Z506" s="8" t="str">
        <f>VLOOKUP($B506,'[1]Plant data'!$A$1:$AB$315,24,0)</f>
        <v>NA</v>
      </c>
      <c r="AA506" s="8">
        <f>VLOOKUP($B506,'[1]Plant data'!$A$1:$AB$315,25,0)</f>
        <v>0.16500000000000001</v>
      </c>
      <c r="AB506" s="8">
        <f t="shared" si="40"/>
        <v>1.1599999999999999E-2</v>
      </c>
    </row>
    <row r="507" spans="1:28">
      <c r="A507" s="5" t="s">
        <v>46</v>
      </c>
      <c r="B507" s="33" t="s">
        <v>227</v>
      </c>
      <c r="C507" s="53">
        <v>30</v>
      </c>
      <c r="D507" s="59">
        <v>70.2</v>
      </c>
      <c r="E507" s="8">
        <f>C507/70.2</f>
        <v>0.42735042735042733</v>
      </c>
      <c r="F507" s="54" t="s">
        <v>19</v>
      </c>
      <c r="G507" s="41">
        <v>1.7</v>
      </c>
      <c r="H507" s="23">
        <f t="shared" si="41"/>
        <v>0.72649572649572647</v>
      </c>
      <c r="I507" t="s">
        <v>47</v>
      </c>
      <c r="J507" s="11">
        <v>54</v>
      </c>
      <c r="K507" s="11">
        <v>11.14875</v>
      </c>
      <c r="L507" t="str">
        <f>VLOOKUP(B507,'[1]Plant data'!$A$1:$AB$315,2,0)</f>
        <v>Meliaceae</v>
      </c>
      <c r="M507" s="9">
        <f>VLOOKUP($B507,'[1]Plant data'!$A$1:$AB$315,6,0)</f>
        <v>9.7337500000000006</v>
      </c>
      <c r="N507" s="9">
        <f>VLOOKUP($B507,'[1]Plant data'!$A$1:$AB$315,7,0)</f>
        <v>17.306249999999999</v>
      </c>
      <c r="O507" s="8">
        <f>VLOOKUP($B507,'[1]Plant data'!$A$1:$AB$315,10,0)</f>
        <v>0.93490624999999994</v>
      </c>
      <c r="P507" s="8">
        <f>VLOOKUP($B507,'[1]Plant data'!$A$1:$AB$315,11,0)</f>
        <v>0.39499999999999996</v>
      </c>
      <c r="Q507" s="8">
        <f>VLOOKUP($B507,'[1]Plant data'!$A$1:$AB$315,12,0)</f>
        <v>0.139125</v>
      </c>
      <c r="R507" s="8">
        <f>VLOOKUP($B507,'[1]Plant data'!$A$1:$AB$315,13,0)</f>
        <v>0.51612499999999994</v>
      </c>
      <c r="S507" s="8">
        <f>VLOOKUP($B507,'[1]Plant data'!$A$1:$AB$315,14,0)</f>
        <v>0.40368749999999998</v>
      </c>
      <c r="T507" s="11">
        <f>VLOOKUP($B507,'[1]Plant data'!$A$1:$AB$315,15,0)</f>
        <v>3.0575000000000001</v>
      </c>
      <c r="U507" s="9">
        <f>VLOOKUP($B507,'[1]Plant data'!$A$1:$AB$315,19,0)</f>
        <v>0.40903333333333336</v>
      </c>
      <c r="V507" s="8">
        <f>VLOOKUP($B507,'[1]Plant data'!$A$1:$AB$315,20,0)</f>
        <v>0.71116666666666661</v>
      </c>
      <c r="W507" s="8">
        <f>VLOOKUP($B507,'[1]Plant data'!$A$1:$AB$315,21,0)</f>
        <v>8.8350000000000012E-2</v>
      </c>
      <c r="X507" s="8">
        <f>VLOOKUP($B507,'[1]Plant data'!$A$1:$AB$315,22,0)</f>
        <v>1.1599999999999999E-2</v>
      </c>
      <c r="Y507" s="8" t="str">
        <f>VLOOKUP($B507,'[1]Plant data'!$A$1:$AB$315,23,0)</f>
        <v>NA</v>
      </c>
      <c r="Z507" s="8" t="str">
        <f>VLOOKUP($B507,'[1]Plant data'!$A$1:$AB$315,24,0)</f>
        <v>NA</v>
      </c>
      <c r="AA507" s="8">
        <f>VLOOKUP($B507,'[1]Plant data'!$A$1:$AB$315,25,0)</f>
        <v>0.16500000000000001</v>
      </c>
      <c r="AB507" s="8">
        <f t="shared" si="40"/>
        <v>1.1599999999999999E-2</v>
      </c>
    </row>
    <row r="508" spans="1:28">
      <c r="A508" s="21" t="s">
        <v>46</v>
      </c>
      <c r="B508" s="31" t="s">
        <v>227</v>
      </c>
      <c r="C508" s="55">
        <v>6</v>
      </c>
      <c r="D508" s="17">
        <v>32</v>
      </c>
      <c r="E508" s="23">
        <f>C508/32</f>
        <v>0.1875</v>
      </c>
      <c r="F508" s="55" t="s">
        <v>19</v>
      </c>
      <c r="G508" s="19">
        <v>1.7</v>
      </c>
      <c r="H508" s="23">
        <f t="shared" si="41"/>
        <v>0.31874999999999998</v>
      </c>
      <c r="I508" s="16" t="s">
        <v>47</v>
      </c>
      <c r="J508" s="17">
        <v>54</v>
      </c>
      <c r="K508" s="17">
        <v>11.14875</v>
      </c>
      <c r="L508" t="str">
        <f>VLOOKUP(B508,'[1]Plant data'!$A$1:$AB$315,2,0)</f>
        <v>Meliaceae</v>
      </c>
      <c r="M508" s="9">
        <f>VLOOKUP($B508,'[1]Plant data'!$A$1:$AB$315,6,0)</f>
        <v>9.7337500000000006</v>
      </c>
      <c r="N508" s="9">
        <f>VLOOKUP($B508,'[1]Plant data'!$A$1:$AB$315,7,0)</f>
        <v>17.306249999999999</v>
      </c>
      <c r="O508" s="8">
        <f>VLOOKUP($B508,'[1]Plant data'!$A$1:$AB$315,10,0)</f>
        <v>0.93490624999999994</v>
      </c>
      <c r="P508" s="8">
        <f>VLOOKUP($B508,'[1]Plant data'!$A$1:$AB$315,11,0)</f>
        <v>0.39499999999999996</v>
      </c>
      <c r="Q508" s="8">
        <f>VLOOKUP($B508,'[1]Plant data'!$A$1:$AB$315,12,0)</f>
        <v>0.139125</v>
      </c>
      <c r="R508" s="8">
        <f>VLOOKUP($B508,'[1]Plant data'!$A$1:$AB$315,13,0)</f>
        <v>0.51612499999999994</v>
      </c>
      <c r="S508" s="8">
        <f>VLOOKUP($B508,'[1]Plant data'!$A$1:$AB$315,14,0)</f>
        <v>0.40368749999999998</v>
      </c>
      <c r="T508" s="11">
        <f>VLOOKUP($B508,'[1]Plant data'!$A$1:$AB$315,15,0)</f>
        <v>3.0575000000000001</v>
      </c>
      <c r="U508" s="9">
        <f>VLOOKUP($B508,'[1]Plant data'!$A$1:$AB$315,19,0)</f>
        <v>0.40903333333333336</v>
      </c>
      <c r="V508" s="8">
        <f>VLOOKUP($B508,'[1]Plant data'!$A$1:$AB$315,20,0)</f>
        <v>0.71116666666666661</v>
      </c>
      <c r="W508" s="8">
        <f>VLOOKUP($B508,'[1]Plant data'!$A$1:$AB$315,21,0)</f>
        <v>8.8350000000000012E-2</v>
      </c>
      <c r="X508" s="8">
        <f>VLOOKUP($B508,'[1]Plant data'!$A$1:$AB$315,22,0)</f>
        <v>1.1599999999999999E-2</v>
      </c>
      <c r="Y508" s="8" t="str">
        <f>VLOOKUP($B508,'[1]Plant data'!$A$1:$AB$315,23,0)</f>
        <v>NA</v>
      </c>
      <c r="Z508" s="8" t="str">
        <f>VLOOKUP($B508,'[1]Plant data'!$A$1:$AB$315,24,0)</f>
        <v>NA</v>
      </c>
      <c r="AA508" s="8">
        <f>VLOOKUP($B508,'[1]Plant data'!$A$1:$AB$315,25,0)</f>
        <v>0.16500000000000001</v>
      </c>
      <c r="AB508" s="8">
        <f t="shared" si="40"/>
        <v>1.1599999999999999E-2</v>
      </c>
    </row>
    <row r="509" spans="1:28">
      <c r="A509" s="21" t="s">
        <v>50</v>
      </c>
      <c r="B509" s="31" t="s">
        <v>227</v>
      </c>
      <c r="C509" s="55">
        <v>11</v>
      </c>
      <c r="D509" s="17">
        <v>32</v>
      </c>
      <c r="E509" s="23">
        <f>C509/32</f>
        <v>0.34375</v>
      </c>
      <c r="F509" s="55">
        <v>22</v>
      </c>
      <c r="G509" s="19">
        <v>2</v>
      </c>
      <c r="H509" s="23">
        <f t="shared" si="41"/>
        <v>0.6875</v>
      </c>
      <c r="I509" s="16" t="s">
        <v>47</v>
      </c>
      <c r="J509" s="17">
        <v>69.5</v>
      </c>
      <c r="K509" s="17">
        <v>13.253214290000001</v>
      </c>
      <c r="L509" t="str">
        <f>VLOOKUP(B509,'[1]Plant data'!$A$1:$AB$315,2,0)</f>
        <v>Meliaceae</v>
      </c>
      <c r="M509" s="9">
        <f>VLOOKUP($B509,'[1]Plant data'!$A$1:$AB$315,6,0)</f>
        <v>9.7337500000000006</v>
      </c>
      <c r="N509" s="9">
        <f>VLOOKUP($B509,'[1]Plant data'!$A$1:$AB$315,7,0)</f>
        <v>17.306249999999999</v>
      </c>
      <c r="O509" s="8">
        <f>VLOOKUP($B509,'[1]Plant data'!$A$1:$AB$315,10,0)</f>
        <v>0.93490624999999994</v>
      </c>
      <c r="P509" s="8">
        <f>VLOOKUP($B509,'[1]Plant data'!$A$1:$AB$315,11,0)</f>
        <v>0.39499999999999996</v>
      </c>
      <c r="Q509" s="8">
        <f>VLOOKUP($B509,'[1]Plant data'!$A$1:$AB$315,12,0)</f>
        <v>0.139125</v>
      </c>
      <c r="R509" s="8">
        <f>VLOOKUP($B509,'[1]Plant data'!$A$1:$AB$315,13,0)</f>
        <v>0.51612499999999994</v>
      </c>
      <c r="S509" s="8">
        <f>VLOOKUP($B509,'[1]Plant data'!$A$1:$AB$315,14,0)</f>
        <v>0.40368749999999998</v>
      </c>
      <c r="T509" s="11">
        <f>VLOOKUP($B509,'[1]Plant data'!$A$1:$AB$315,15,0)</f>
        <v>3.0575000000000001</v>
      </c>
      <c r="U509" s="9">
        <f>VLOOKUP($B509,'[1]Plant data'!$A$1:$AB$315,19,0)</f>
        <v>0.40903333333333336</v>
      </c>
      <c r="V509" s="8">
        <f>VLOOKUP($B509,'[1]Plant data'!$A$1:$AB$315,20,0)</f>
        <v>0.71116666666666661</v>
      </c>
      <c r="W509" s="8">
        <f>VLOOKUP($B509,'[1]Plant data'!$A$1:$AB$315,21,0)</f>
        <v>8.8350000000000012E-2</v>
      </c>
      <c r="X509" s="8">
        <f>VLOOKUP($B509,'[1]Plant data'!$A$1:$AB$315,22,0)</f>
        <v>1.1599999999999999E-2</v>
      </c>
      <c r="Y509" s="8" t="str">
        <f>VLOOKUP($B509,'[1]Plant data'!$A$1:$AB$315,23,0)</f>
        <v>NA</v>
      </c>
      <c r="Z509" s="8" t="str">
        <f>VLOOKUP($B509,'[1]Plant data'!$A$1:$AB$315,24,0)</f>
        <v>NA</v>
      </c>
      <c r="AA509" s="8">
        <f>VLOOKUP($B509,'[1]Plant data'!$A$1:$AB$315,25,0)</f>
        <v>0.16500000000000001</v>
      </c>
      <c r="AB509" s="8">
        <f t="shared" si="40"/>
        <v>1.1599999999999999E-2</v>
      </c>
    </row>
    <row r="510" spans="1:28">
      <c r="A510" s="5" t="s">
        <v>50</v>
      </c>
      <c r="B510" s="32" t="s">
        <v>227</v>
      </c>
      <c r="C510" s="53">
        <v>13</v>
      </c>
      <c r="D510" s="59">
        <v>70.2</v>
      </c>
      <c r="E510" s="8">
        <f>C510/70.2</f>
        <v>0.18518518518518517</v>
      </c>
      <c r="F510" s="54" t="s">
        <v>19</v>
      </c>
      <c r="G510" s="41">
        <v>2</v>
      </c>
      <c r="H510" s="23">
        <f t="shared" si="41"/>
        <v>0.37037037037037035</v>
      </c>
      <c r="I510" t="s">
        <v>47</v>
      </c>
      <c r="J510" s="11">
        <v>69.5</v>
      </c>
      <c r="K510" s="11">
        <v>13.253214290000001</v>
      </c>
      <c r="L510" t="str">
        <f>VLOOKUP(B510,'[1]Plant data'!$A$1:$AB$315,2,0)</f>
        <v>Meliaceae</v>
      </c>
      <c r="M510" s="9">
        <f>VLOOKUP($B510,'[1]Plant data'!$A$1:$AB$315,6,0)</f>
        <v>9.7337500000000006</v>
      </c>
      <c r="N510" s="9">
        <f>VLOOKUP($B510,'[1]Plant data'!$A$1:$AB$315,7,0)</f>
        <v>17.306249999999999</v>
      </c>
      <c r="O510" s="8">
        <f>VLOOKUP($B510,'[1]Plant data'!$A$1:$AB$315,10,0)</f>
        <v>0.93490624999999994</v>
      </c>
      <c r="P510" s="8">
        <f>VLOOKUP($B510,'[1]Plant data'!$A$1:$AB$315,11,0)</f>
        <v>0.39499999999999996</v>
      </c>
      <c r="Q510" s="8">
        <f>VLOOKUP($B510,'[1]Plant data'!$A$1:$AB$315,12,0)</f>
        <v>0.139125</v>
      </c>
      <c r="R510" s="8">
        <f>VLOOKUP($B510,'[1]Plant data'!$A$1:$AB$315,13,0)</f>
        <v>0.51612499999999994</v>
      </c>
      <c r="S510" s="8">
        <f>VLOOKUP($B510,'[1]Plant data'!$A$1:$AB$315,14,0)</f>
        <v>0.40368749999999998</v>
      </c>
      <c r="T510" s="11">
        <f>VLOOKUP($B510,'[1]Plant data'!$A$1:$AB$315,15,0)</f>
        <v>3.0575000000000001</v>
      </c>
      <c r="U510" s="9">
        <f>VLOOKUP($B510,'[1]Plant data'!$A$1:$AB$315,19,0)</f>
        <v>0.40903333333333336</v>
      </c>
      <c r="V510" s="8">
        <f>VLOOKUP($B510,'[1]Plant data'!$A$1:$AB$315,20,0)</f>
        <v>0.71116666666666661</v>
      </c>
      <c r="W510" s="8">
        <f>VLOOKUP($B510,'[1]Plant data'!$A$1:$AB$315,21,0)</f>
        <v>8.8350000000000012E-2</v>
      </c>
      <c r="X510" s="8">
        <f>VLOOKUP($B510,'[1]Plant data'!$A$1:$AB$315,22,0)</f>
        <v>1.1599999999999999E-2</v>
      </c>
      <c r="Y510" s="8" t="str">
        <f>VLOOKUP($B510,'[1]Plant data'!$A$1:$AB$315,23,0)</f>
        <v>NA</v>
      </c>
      <c r="Z510" s="8" t="str">
        <f>VLOOKUP($B510,'[1]Plant data'!$A$1:$AB$315,24,0)</f>
        <v>NA</v>
      </c>
      <c r="AA510" s="8">
        <f>VLOOKUP($B510,'[1]Plant data'!$A$1:$AB$315,25,0)</f>
        <v>0.16500000000000001</v>
      </c>
      <c r="AB510" s="8">
        <f t="shared" si="40"/>
        <v>1.1599999999999999E-2</v>
      </c>
    </row>
    <row r="511" spans="1:28">
      <c r="A511" s="18" t="s">
        <v>28</v>
      </c>
      <c r="B511" s="14" t="s">
        <v>54</v>
      </c>
      <c r="C511" s="53">
        <v>1</v>
      </c>
      <c r="D511" s="11">
        <v>254</v>
      </c>
      <c r="E511" s="8">
        <f t="shared" ref="E511:E517" si="42">C511/D511</f>
        <v>3.937007874015748E-3</v>
      </c>
      <c r="F511" s="54" t="s">
        <v>19</v>
      </c>
      <c r="G511" s="9" t="s">
        <v>19</v>
      </c>
      <c r="H511" s="23" t="s">
        <v>19</v>
      </c>
      <c r="I511" t="s">
        <v>30</v>
      </c>
      <c r="J511" s="11">
        <v>18</v>
      </c>
      <c r="K511" s="11">
        <v>7.4188405800000004</v>
      </c>
      <c r="L511" t="str">
        <f>VLOOKUP(B511,'[1]Plant data'!$A$1:$AB$315,2,0)</f>
        <v>Malpighiaceae</v>
      </c>
      <c r="M511" s="9">
        <f>VLOOKUP($B511,'[1]Plant data'!$A$1:$AB$315,6,0)</f>
        <v>7.42</v>
      </c>
      <c r="N511" s="9">
        <f>VLOOKUP($B511,'[1]Plant data'!$A$1:$AB$315,7,0)</f>
        <v>7.7</v>
      </c>
      <c r="O511" s="8">
        <f>VLOOKUP($B511,'[1]Plant data'!$A$1:$AB$315,10,0)</f>
        <v>0.54</v>
      </c>
      <c r="P511" s="8" t="str">
        <f>VLOOKUP($B511,'[1]Plant data'!$A$1:$AB$315,11,0)</f>
        <v>NA</v>
      </c>
      <c r="Q511" s="8" t="str">
        <f>VLOOKUP($B511,'[1]Plant data'!$A$1:$AB$315,12,0)</f>
        <v>NA</v>
      </c>
      <c r="R511" s="8" t="str">
        <f>VLOOKUP($B511,'[1]Plant data'!$A$1:$AB$315,13,0)</f>
        <v>NA</v>
      </c>
      <c r="S511" s="8" t="str">
        <f>VLOOKUP($B511,'[1]Plant data'!$A$1:$AB$315,14,0)</f>
        <v>NA</v>
      </c>
      <c r="T511" s="11">
        <f>VLOOKUP($B511,'[1]Plant data'!$A$1:$AB$315,15,0)</f>
        <v>1</v>
      </c>
      <c r="U511" s="9">
        <f>VLOOKUP($B511,'[1]Plant data'!$A$1:$AB$315,19,0)</f>
        <v>0.77180000000000004</v>
      </c>
      <c r="V511" s="8">
        <f>VLOOKUP($B511,'[1]Plant data'!$A$1:$AB$315,20,0)</f>
        <v>0.21864999999999998</v>
      </c>
      <c r="W511" s="8">
        <f>VLOOKUP($B511,'[1]Plant data'!$A$1:$AB$315,21,0)</f>
        <v>4.7850000000000004E-2</v>
      </c>
      <c r="X511" s="8">
        <f>VLOOKUP($B511,'[1]Plant data'!$A$1:$AB$315,22,0)</f>
        <v>4.7500000000000001E-2</v>
      </c>
      <c r="Y511" s="8" t="str">
        <f>VLOOKUP($B511,'[1]Plant data'!$A$1:$AB$315,23,0)</f>
        <v>NA</v>
      </c>
      <c r="Z511" s="8" t="str">
        <f>VLOOKUP($B511,'[1]Plant data'!$A$1:$AB$315,24,0)</f>
        <v>NA</v>
      </c>
      <c r="AA511" s="8" t="str">
        <f>VLOOKUP($B511,'[1]Plant data'!$A$1:$AB$315,25,0)</f>
        <v>NA</v>
      </c>
      <c r="AB511" s="8">
        <f t="shared" si="40"/>
        <v>4.7500000000000001E-2</v>
      </c>
    </row>
    <row r="512" spans="1:28">
      <c r="A512" s="5" t="s">
        <v>41</v>
      </c>
      <c r="B512" s="14" t="s">
        <v>54</v>
      </c>
      <c r="C512" s="53">
        <v>4</v>
      </c>
      <c r="D512" s="11">
        <v>254</v>
      </c>
      <c r="E512" s="8">
        <f t="shared" si="42"/>
        <v>1.5748031496062992E-2</v>
      </c>
      <c r="F512" s="54" t="s">
        <v>19</v>
      </c>
      <c r="G512" s="9" t="s">
        <v>19</v>
      </c>
      <c r="H512" s="23" t="s">
        <v>19</v>
      </c>
      <c r="I512" t="s">
        <v>30</v>
      </c>
      <c r="J512" s="11">
        <v>39</v>
      </c>
      <c r="K512" s="11">
        <v>8.2839869279999991</v>
      </c>
      <c r="L512" t="str">
        <f>VLOOKUP(B512,'[1]Plant data'!$A$1:$AB$315,2,0)</f>
        <v>Malpighiaceae</v>
      </c>
      <c r="M512" s="9">
        <f>VLOOKUP($B512,'[1]Plant data'!$A$1:$AB$315,6,0)</f>
        <v>7.42</v>
      </c>
      <c r="N512" s="9">
        <f>VLOOKUP($B512,'[1]Plant data'!$A$1:$AB$315,7,0)</f>
        <v>7.7</v>
      </c>
      <c r="O512" s="8">
        <f>VLOOKUP($B512,'[1]Plant data'!$A$1:$AB$315,10,0)</f>
        <v>0.54</v>
      </c>
      <c r="P512" s="8" t="str">
        <f>VLOOKUP($B512,'[1]Plant data'!$A$1:$AB$315,11,0)</f>
        <v>NA</v>
      </c>
      <c r="Q512" s="8" t="str">
        <f>VLOOKUP($B512,'[1]Plant data'!$A$1:$AB$315,12,0)</f>
        <v>NA</v>
      </c>
      <c r="R512" s="8" t="str">
        <f>VLOOKUP($B512,'[1]Plant data'!$A$1:$AB$315,13,0)</f>
        <v>NA</v>
      </c>
      <c r="S512" s="8" t="str">
        <f>VLOOKUP($B512,'[1]Plant data'!$A$1:$AB$315,14,0)</f>
        <v>NA</v>
      </c>
      <c r="T512" s="11">
        <f>VLOOKUP($B512,'[1]Plant data'!$A$1:$AB$315,15,0)</f>
        <v>1</v>
      </c>
      <c r="U512" s="9">
        <f>VLOOKUP($B512,'[1]Plant data'!$A$1:$AB$315,19,0)</f>
        <v>0.77180000000000004</v>
      </c>
      <c r="V512" s="8">
        <f>VLOOKUP($B512,'[1]Plant data'!$A$1:$AB$315,20,0)</f>
        <v>0.21864999999999998</v>
      </c>
      <c r="W512" s="8">
        <f>VLOOKUP($B512,'[1]Plant data'!$A$1:$AB$315,21,0)</f>
        <v>4.7850000000000004E-2</v>
      </c>
      <c r="X512" s="8">
        <f>VLOOKUP($B512,'[1]Plant data'!$A$1:$AB$315,22,0)</f>
        <v>4.7500000000000001E-2</v>
      </c>
      <c r="Y512" s="8" t="str">
        <f>VLOOKUP($B512,'[1]Plant data'!$A$1:$AB$315,23,0)</f>
        <v>NA</v>
      </c>
      <c r="Z512" s="8" t="str">
        <f>VLOOKUP($B512,'[1]Plant data'!$A$1:$AB$315,24,0)</f>
        <v>NA</v>
      </c>
      <c r="AA512" s="8" t="str">
        <f>VLOOKUP($B512,'[1]Plant data'!$A$1:$AB$315,25,0)</f>
        <v>NA</v>
      </c>
      <c r="AB512" s="8">
        <f t="shared" si="40"/>
        <v>4.7500000000000001E-2</v>
      </c>
    </row>
    <row r="513" spans="1:28">
      <c r="A513" s="5" t="s">
        <v>43</v>
      </c>
      <c r="B513" s="14" t="s">
        <v>54</v>
      </c>
      <c r="C513" s="53">
        <v>1</v>
      </c>
      <c r="D513" s="11">
        <v>254</v>
      </c>
      <c r="E513" s="8">
        <f t="shared" si="42"/>
        <v>3.937007874015748E-3</v>
      </c>
      <c r="F513" s="54" t="s">
        <v>19</v>
      </c>
      <c r="G513" s="9" t="s">
        <v>19</v>
      </c>
      <c r="H513" s="23" t="s">
        <v>19</v>
      </c>
      <c r="I513" t="s">
        <v>30</v>
      </c>
      <c r="J513" s="11">
        <v>32.5</v>
      </c>
      <c r="K513" s="11">
        <v>8.9205555560000001</v>
      </c>
      <c r="L513" t="str">
        <f>VLOOKUP(B513,'[1]Plant data'!$A$1:$AB$315,2,0)</f>
        <v>Malpighiaceae</v>
      </c>
      <c r="M513" s="9">
        <f>VLOOKUP($B513,'[1]Plant data'!$A$1:$AB$315,6,0)</f>
        <v>7.42</v>
      </c>
      <c r="N513" s="9">
        <f>VLOOKUP($B513,'[1]Plant data'!$A$1:$AB$315,7,0)</f>
        <v>7.7</v>
      </c>
      <c r="O513" s="8">
        <f>VLOOKUP($B513,'[1]Plant data'!$A$1:$AB$315,10,0)</f>
        <v>0.54</v>
      </c>
      <c r="P513" s="8" t="str">
        <f>VLOOKUP($B513,'[1]Plant data'!$A$1:$AB$315,11,0)</f>
        <v>NA</v>
      </c>
      <c r="Q513" s="8" t="str">
        <f>VLOOKUP($B513,'[1]Plant data'!$A$1:$AB$315,12,0)</f>
        <v>NA</v>
      </c>
      <c r="R513" s="8" t="str">
        <f>VLOOKUP($B513,'[1]Plant data'!$A$1:$AB$315,13,0)</f>
        <v>NA</v>
      </c>
      <c r="S513" s="8" t="str">
        <f>VLOOKUP($B513,'[1]Plant data'!$A$1:$AB$315,14,0)</f>
        <v>NA</v>
      </c>
      <c r="T513" s="11">
        <f>VLOOKUP($B513,'[1]Plant data'!$A$1:$AB$315,15,0)</f>
        <v>1</v>
      </c>
      <c r="U513" s="9">
        <f>VLOOKUP($B513,'[1]Plant data'!$A$1:$AB$315,19,0)</f>
        <v>0.77180000000000004</v>
      </c>
      <c r="V513" s="8">
        <f>VLOOKUP($B513,'[1]Plant data'!$A$1:$AB$315,20,0)</f>
        <v>0.21864999999999998</v>
      </c>
      <c r="W513" s="8">
        <f>VLOOKUP($B513,'[1]Plant data'!$A$1:$AB$315,21,0)</f>
        <v>4.7850000000000004E-2</v>
      </c>
      <c r="X513" s="8">
        <f>VLOOKUP($B513,'[1]Plant data'!$A$1:$AB$315,22,0)</f>
        <v>4.7500000000000001E-2</v>
      </c>
      <c r="Y513" s="8" t="str">
        <f>VLOOKUP($B513,'[1]Plant data'!$A$1:$AB$315,23,0)</f>
        <v>NA</v>
      </c>
      <c r="Z513" s="8" t="str">
        <f>VLOOKUP($B513,'[1]Plant data'!$A$1:$AB$315,24,0)</f>
        <v>NA</v>
      </c>
      <c r="AA513" s="8" t="str">
        <f>VLOOKUP($B513,'[1]Plant data'!$A$1:$AB$315,25,0)</f>
        <v>NA</v>
      </c>
      <c r="AB513" s="8">
        <f t="shared" si="40"/>
        <v>4.7500000000000001E-2</v>
      </c>
    </row>
    <row r="514" spans="1:28">
      <c r="A514" s="18" t="s">
        <v>28</v>
      </c>
      <c r="B514" s="6" t="s">
        <v>183</v>
      </c>
      <c r="C514" s="56">
        <v>6</v>
      </c>
      <c r="D514" s="59">
        <v>2</v>
      </c>
      <c r="E514" s="26">
        <f t="shared" si="42"/>
        <v>3</v>
      </c>
      <c r="F514" s="56" t="s">
        <v>19</v>
      </c>
      <c r="G514" s="27" t="s">
        <v>184</v>
      </c>
      <c r="H514" s="23" t="s">
        <v>19</v>
      </c>
      <c r="I514" t="s">
        <v>30</v>
      </c>
      <c r="J514" s="11">
        <v>18</v>
      </c>
      <c r="K514" s="11">
        <v>7.4188405800000004</v>
      </c>
      <c r="L514" t="str">
        <f>VLOOKUP(B514,'[1]Plant data'!$A$1:$AB$315,2,0)</f>
        <v>Arecaceae</v>
      </c>
      <c r="M514" s="9">
        <f>VLOOKUP($B514,'[1]Plant data'!$A$1:$AB$315,6,0)</f>
        <v>9.8000000000000007</v>
      </c>
      <c r="N514" s="9">
        <f>VLOOKUP($B514,'[1]Plant data'!$A$1:$AB$315,7,0)</f>
        <v>12.6</v>
      </c>
      <c r="O514" s="8">
        <f>VLOOKUP($B514,'[1]Plant data'!$A$1:$AB$315,10,0)</f>
        <v>0.9</v>
      </c>
      <c r="P514" s="8" t="str">
        <f>VLOOKUP($B514,'[1]Plant data'!$A$1:$AB$315,11,0)</f>
        <v>NA</v>
      </c>
      <c r="Q514" s="8">
        <f>VLOOKUP($B514,'[1]Plant data'!$A$1:$AB$315,12,0)</f>
        <v>0.7</v>
      </c>
      <c r="R514" s="8" t="str">
        <f>VLOOKUP($B514,'[1]Plant data'!$A$1:$AB$315,13,0)</f>
        <v>NA</v>
      </c>
      <c r="S514" s="8" t="str">
        <f>VLOOKUP($B514,'[1]Plant data'!$A$1:$AB$315,14,0)</f>
        <v>NA</v>
      </c>
      <c r="T514" s="11">
        <f>VLOOKUP($B514,'[1]Plant data'!$A$1:$AB$315,15,0)</f>
        <v>1</v>
      </c>
      <c r="U514" s="9" t="str">
        <f>VLOOKUP($B514,'[1]Plant data'!$A$1:$AB$315,19,0)</f>
        <v>NA</v>
      </c>
      <c r="V514" s="8" t="str">
        <f>VLOOKUP($B514,'[1]Plant data'!$A$1:$AB$315,20,0)</f>
        <v>NA</v>
      </c>
      <c r="W514" s="8" t="str">
        <f>VLOOKUP($B514,'[1]Plant data'!$A$1:$AB$315,21,0)</f>
        <v>NA</v>
      </c>
      <c r="X514" s="8" t="str">
        <f>VLOOKUP($B514,'[1]Plant data'!$A$1:$AB$315,22,0)</f>
        <v>NA</v>
      </c>
      <c r="Y514" s="8" t="str">
        <f>VLOOKUP($B514,'[1]Plant data'!$A$1:$AB$315,23,0)</f>
        <v>NA</v>
      </c>
      <c r="Z514" s="8" t="str">
        <f>VLOOKUP($B514,'[1]Plant data'!$A$1:$AB$315,24,0)</f>
        <v>NA</v>
      </c>
      <c r="AA514" s="8" t="str">
        <f>VLOOKUP($B514,'[1]Plant data'!$A$1:$AB$315,25,0)</f>
        <v>NA</v>
      </c>
      <c r="AB514" s="8" t="s">
        <v>19</v>
      </c>
    </row>
    <row r="515" spans="1:28">
      <c r="A515" s="5" t="s">
        <v>50</v>
      </c>
      <c r="B515" s="14" t="s">
        <v>183</v>
      </c>
      <c r="C515" s="53">
        <v>2</v>
      </c>
      <c r="D515" s="11">
        <v>2</v>
      </c>
      <c r="E515" s="26">
        <f t="shared" si="42"/>
        <v>1</v>
      </c>
      <c r="F515" s="54" t="s">
        <v>19</v>
      </c>
      <c r="G515" s="19">
        <f>(2+3)/2</f>
        <v>2.5</v>
      </c>
      <c r="H515" s="23">
        <f>E515*G515</f>
        <v>2.5</v>
      </c>
      <c r="I515" t="s">
        <v>47</v>
      </c>
      <c r="J515" s="11">
        <v>69.5</v>
      </c>
      <c r="K515" s="11">
        <v>13.253214290000001</v>
      </c>
      <c r="L515" t="str">
        <f>VLOOKUP(B515,'[1]Plant data'!$A$1:$AB$315,2,0)</f>
        <v>Arecaceae</v>
      </c>
      <c r="M515" s="9">
        <f>VLOOKUP($B515,'[1]Plant data'!$A$1:$AB$315,6,0)</f>
        <v>9.8000000000000007</v>
      </c>
      <c r="N515" s="9">
        <f>VLOOKUP($B515,'[1]Plant data'!$A$1:$AB$315,7,0)</f>
        <v>12.6</v>
      </c>
      <c r="O515" s="8">
        <f>VLOOKUP($B515,'[1]Plant data'!$A$1:$AB$315,10,0)</f>
        <v>0.9</v>
      </c>
      <c r="P515" s="8" t="str">
        <f>VLOOKUP($B515,'[1]Plant data'!$A$1:$AB$315,11,0)</f>
        <v>NA</v>
      </c>
      <c r="Q515" s="8">
        <f>VLOOKUP($B515,'[1]Plant data'!$A$1:$AB$315,12,0)</f>
        <v>0.7</v>
      </c>
      <c r="R515" s="8" t="str">
        <f>VLOOKUP($B515,'[1]Plant data'!$A$1:$AB$315,13,0)</f>
        <v>NA</v>
      </c>
      <c r="S515" s="8" t="str">
        <f>VLOOKUP($B515,'[1]Plant data'!$A$1:$AB$315,14,0)</f>
        <v>NA</v>
      </c>
      <c r="T515" s="11">
        <f>VLOOKUP($B515,'[1]Plant data'!$A$1:$AB$315,15,0)</f>
        <v>1</v>
      </c>
      <c r="U515" s="9" t="str">
        <f>VLOOKUP($B515,'[1]Plant data'!$A$1:$AB$315,19,0)</f>
        <v>NA</v>
      </c>
      <c r="V515" s="8" t="str">
        <f>VLOOKUP($B515,'[1]Plant data'!$A$1:$AB$315,20,0)</f>
        <v>NA</v>
      </c>
      <c r="W515" s="8" t="str">
        <f>VLOOKUP($B515,'[1]Plant data'!$A$1:$AB$315,21,0)</f>
        <v>NA</v>
      </c>
      <c r="X515" s="8" t="str">
        <f>VLOOKUP($B515,'[1]Plant data'!$A$1:$AB$315,22,0)</f>
        <v>NA</v>
      </c>
      <c r="Y515" s="8" t="str">
        <f>VLOOKUP($B515,'[1]Plant data'!$A$1:$AB$315,23,0)</f>
        <v>NA</v>
      </c>
      <c r="Z515" s="8" t="str">
        <f>VLOOKUP($B515,'[1]Plant data'!$A$1:$AB$315,24,0)</f>
        <v>NA</v>
      </c>
      <c r="AA515" s="8" t="str">
        <f>VLOOKUP($B515,'[1]Plant data'!$A$1:$AB$315,25,0)</f>
        <v>NA</v>
      </c>
      <c r="AB515" s="8" t="s">
        <v>19</v>
      </c>
    </row>
    <row r="516" spans="1:28">
      <c r="A516" s="18" t="s">
        <v>28</v>
      </c>
      <c r="B516" s="14" t="s">
        <v>51</v>
      </c>
      <c r="C516" s="53">
        <v>1</v>
      </c>
      <c r="D516" s="11">
        <v>254</v>
      </c>
      <c r="E516" s="8">
        <f t="shared" si="42"/>
        <v>3.937007874015748E-3</v>
      </c>
      <c r="F516" s="54" t="s">
        <v>19</v>
      </c>
      <c r="G516" s="9" t="s">
        <v>19</v>
      </c>
      <c r="H516" s="23" t="s">
        <v>19</v>
      </c>
      <c r="I516" t="s">
        <v>30</v>
      </c>
      <c r="J516" s="11">
        <v>18</v>
      </c>
      <c r="K516" s="11">
        <v>7.4188405800000004</v>
      </c>
      <c r="L516" t="str">
        <f>VLOOKUP(B516,'[1]Plant data'!$A$1:$AB$315,2,0)</f>
        <v>Anacardiaceae</v>
      </c>
      <c r="M516" s="9" t="str">
        <f>VLOOKUP($B516,'[1]Plant data'!$A$1:$AB$315,6,0)</f>
        <v>NA</v>
      </c>
      <c r="N516" s="9" t="str">
        <f>VLOOKUP($B516,'[1]Plant data'!$A$1:$AB$315,7,0)</f>
        <v>NA</v>
      </c>
      <c r="O516" s="8" t="str">
        <f>VLOOKUP($B516,'[1]Plant data'!$A$1:$AB$315,10,0)</f>
        <v>NA</v>
      </c>
      <c r="P516" s="8" t="str">
        <f>VLOOKUP($B516,'[1]Plant data'!$A$1:$AB$315,11,0)</f>
        <v>NA</v>
      </c>
      <c r="Q516" s="8" t="str">
        <f>VLOOKUP($B516,'[1]Plant data'!$A$1:$AB$315,12,0)</f>
        <v>NA</v>
      </c>
      <c r="R516" s="8" t="str">
        <f>VLOOKUP($B516,'[1]Plant data'!$A$1:$AB$315,13,0)</f>
        <v>NA</v>
      </c>
      <c r="S516" s="8" t="str">
        <f>VLOOKUP($B516,'[1]Plant data'!$A$1:$AB$315,14,0)</f>
        <v>NA</v>
      </c>
      <c r="T516" s="11" t="str">
        <f>VLOOKUP($B516,'[1]Plant data'!$A$1:$AB$315,15,0)</f>
        <v>NA</v>
      </c>
      <c r="U516" s="9" t="str">
        <f>VLOOKUP($B516,'[1]Plant data'!$A$1:$AB$315,19,0)</f>
        <v>NA</v>
      </c>
      <c r="V516" s="8" t="str">
        <f>VLOOKUP($B516,'[1]Plant data'!$A$1:$AB$315,20,0)</f>
        <v>NA</v>
      </c>
      <c r="W516" s="8" t="str">
        <f>VLOOKUP($B516,'[1]Plant data'!$A$1:$AB$315,21,0)</f>
        <v>NA</v>
      </c>
      <c r="X516" s="8" t="str">
        <f>VLOOKUP($B516,'[1]Plant data'!$A$1:$AB$315,22,0)</f>
        <v>NA</v>
      </c>
      <c r="Y516" s="8" t="str">
        <f>VLOOKUP($B516,'[1]Plant data'!$A$1:$AB$315,23,0)</f>
        <v>NA</v>
      </c>
      <c r="Z516" s="8" t="str">
        <f>VLOOKUP($B516,'[1]Plant data'!$A$1:$AB$315,24,0)</f>
        <v>NA</v>
      </c>
      <c r="AA516" s="8" t="str">
        <f>VLOOKUP($B516,'[1]Plant data'!$A$1:$AB$315,25,0)</f>
        <v>NA</v>
      </c>
      <c r="AB516" s="8" t="s">
        <v>19</v>
      </c>
    </row>
    <row r="517" spans="1:28">
      <c r="A517" s="5" t="s">
        <v>41</v>
      </c>
      <c r="B517" s="14" t="s">
        <v>51</v>
      </c>
      <c r="C517" s="53">
        <v>1</v>
      </c>
      <c r="D517" s="11">
        <v>254</v>
      </c>
      <c r="E517" s="8">
        <f t="shared" si="42"/>
        <v>3.937007874015748E-3</v>
      </c>
      <c r="F517" s="54" t="s">
        <v>19</v>
      </c>
      <c r="G517" s="9" t="s">
        <v>19</v>
      </c>
      <c r="H517" s="23" t="s">
        <v>19</v>
      </c>
      <c r="I517" t="s">
        <v>30</v>
      </c>
      <c r="J517" s="11">
        <v>39</v>
      </c>
      <c r="K517" s="11">
        <v>8.2839869279999991</v>
      </c>
      <c r="L517" t="str">
        <f>VLOOKUP(B517,'[1]Plant data'!$A$1:$AB$315,2,0)</f>
        <v>Anacardiaceae</v>
      </c>
      <c r="M517" s="9" t="str">
        <f>VLOOKUP($B517,'[1]Plant data'!$A$1:$AB$315,6,0)</f>
        <v>NA</v>
      </c>
      <c r="N517" s="9" t="str">
        <f>VLOOKUP($B517,'[1]Plant data'!$A$1:$AB$315,7,0)</f>
        <v>NA</v>
      </c>
      <c r="O517" s="8" t="str">
        <f>VLOOKUP($B517,'[1]Plant data'!$A$1:$AB$315,10,0)</f>
        <v>NA</v>
      </c>
      <c r="P517" s="8" t="str">
        <f>VLOOKUP($B517,'[1]Plant data'!$A$1:$AB$315,11,0)</f>
        <v>NA</v>
      </c>
      <c r="Q517" s="8" t="str">
        <f>VLOOKUP($B517,'[1]Plant data'!$A$1:$AB$315,12,0)</f>
        <v>NA</v>
      </c>
      <c r="R517" s="8" t="str">
        <f>VLOOKUP($B517,'[1]Plant data'!$A$1:$AB$315,13,0)</f>
        <v>NA</v>
      </c>
      <c r="S517" s="8" t="str">
        <f>VLOOKUP($B517,'[1]Plant data'!$A$1:$AB$315,14,0)</f>
        <v>NA</v>
      </c>
      <c r="T517" s="11" t="str">
        <f>VLOOKUP($B517,'[1]Plant data'!$A$1:$AB$315,15,0)</f>
        <v>NA</v>
      </c>
      <c r="U517" s="9" t="str">
        <f>VLOOKUP($B517,'[1]Plant data'!$A$1:$AB$315,19,0)</f>
        <v>NA</v>
      </c>
      <c r="V517" s="8" t="str">
        <f>VLOOKUP($B517,'[1]Plant data'!$A$1:$AB$315,20,0)</f>
        <v>NA</v>
      </c>
      <c r="W517" s="8" t="str">
        <f>VLOOKUP($B517,'[1]Plant data'!$A$1:$AB$315,21,0)</f>
        <v>NA</v>
      </c>
      <c r="X517" s="8" t="str">
        <f>VLOOKUP($B517,'[1]Plant data'!$A$1:$AB$315,22,0)</f>
        <v>NA</v>
      </c>
      <c r="Y517" s="8" t="str">
        <f>VLOOKUP($B517,'[1]Plant data'!$A$1:$AB$315,23,0)</f>
        <v>NA</v>
      </c>
      <c r="Z517" s="8" t="str">
        <f>VLOOKUP($B517,'[1]Plant data'!$A$1:$AB$315,24,0)</f>
        <v>NA</v>
      </c>
      <c r="AA517" s="8" t="str">
        <f>VLOOKUP($B517,'[1]Plant data'!$A$1:$AB$315,25,0)</f>
        <v>NA</v>
      </c>
      <c r="AB517" s="8" t="s">
        <v>19</v>
      </c>
    </row>
    <row r="518" spans="1:28">
      <c r="A518" s="21" t="s">
        <v>46</v>
      </c>
      <c r="B518" s="22" t="s">
        <v>231</v>
      </c>
      <c r="C518" s="55">
        <v>5</v>
      </c>
      <c r="D518" s="17">
        <v>32</v>
      </c>
      <c r="E518" s="23">
        <f>C518/32</f>
        <v>0.15625</v>
      </c>
      <c r="F518" s="55">
        <v>10</v>
      </c>
      <c r="G518" s="19">
        <v>2</v>
      </c>
      <c r="H518" s="23">
        <f t="shared" ref="H518:H537" si="43">E518*G518</f>
        <v>0.3125</v>
      </c>
      <c r="I518" s="16" t="s">
        <v>47</v>
      </c>
      <c r="J518" s="17">
        <v>54</v>
      </c>
      <c r="K518" s="17">
        <v>11.14875</v>
      </c>
      <c r="L518" t="str">
        <f>VLOOKUP(B518,'[1]Plant data'!$A$1:$AB$315,2,0)</f>
        <v>Rubiaceae</v>
      </c>
      <c r="M518" s="9">
        <f>VLOOKUP($B518,'[1]Plant data'!$A$1:$AB$315,6,0)</f>
        <v>10.343999999999999</v>
      </c>
      <c r="N518" s="9">
        <f>VLOOKUP($B518,'[1]Plant data'!$A$1:$AB$315,7,0)</f>
        <v>16.733999999999998</v>
      </c>
      <c r="O518" s="8">
        <f>VLOOKUP($B518,'[1]Plant data'!$A$1:$AB$315,10,0)</f>
        <v>0.93</v>
      </c>
      <c r="P518" s="8" t="str">
        <f>VLOOKUP($B518,'[1]Plant data'!$A$1:$AB$315,11,0)</f>
        <v>NA</v>
      </c>
      <c r="Q518" s="8">
        <f>VLOOKUP($B518,'[1]Plant data'!$A$1:$AB$315,12,0)</f>
        <v>0.01</v>
      </c>
      <c r="R518" s="8" t="str">
        <f>VLOOKUP($B518,'[1]Plant data'!$A$1:$AB$315,13,0)</f>
        <v>NA</v>
      </c>
      <c r="S518" s="8" t="str">
        <f>VLOOKUP($B518,'[1]Plant data'!$A$1:$AB$315,14,0)</f>
        <v>NA</v>
      </c>
      <c r="T518" s="11">
        <f>VLOOKUP($B518,'[1]Plant data'!$A$1:$AB$315,15,0)</f>
        <v>19.133333333333336</v>
      </c>
      <c r="U518" s="9">
        <f>VLOOKUP($B518,'[1]Plant data'!$A$1:$AB$315,19,0)</f>
        <v>0.69599999999999995</v>
      </c>
      <c r="V518" s="8">
        <f>VLOOKUP($B518,'[1]Plant data'!$A$1:$AB$315,20,0)</f>
        <v>0.2</v>
      </c>
      <c r="W518" s="8" t="str">
        <f>VLOOKUP($B518,'[1]Plant data'!$A$1:$AB$315,21,0)</f>
        <v>NA</v>
      </c>
      <c r="X518" s="8" t="str">
        <f>VLOOKUP($B518,'[1]Plant data'!$A$1:$AB$315,22,0)</f>
        <v>NA</v>
      </c>
      <c r="Y518" s="8" t="str">
        <f>VLOOKUP($B518,'[1]Plant data'!$A$1:$AB$315,23,0)</f>
        <v>NA</v>
      </c>
      <c r="Z518" s="8" t="str">
        <f>VLOOKUP($B518,'[1]Plant data'!$A$1:$AB$315,24,0)</f>
        <v>NA</v>
      </c>
      <c r="AA518" s="8" t="str">
        <f>VLOOKUP($B518,'[1]Plant data'!$A$1:$AB$315,25,0)</f>
        <v>NA</v>
      </c>
      <c r="AB518" s="8" t="s">
        <v>19</v>
      </c>
    </row>
    <row r="519" spans="1:28">
      <c r="A519" s="21" t="s">
        <v>50</v>
      </c>
      <c r="B519" s="22" t="s">
        <v>231</v>
      </c>
      <c r="C519" s="55">
        <v>16</v>
      </c>
      <c r="D519" s="17">
        <v>32</v>
      </c>
      <c r="E519" s="23">
        <f>C519/32</f>
        <v>0.5</v>
      </c>
      <c r="F519" s="55">
        <v>29</v>
      </c>
      <c r="G519" s="19">
        <v>1.8</v>
      </c>
      <c r="H519" s="23">
        <f t="shared" si="43"/>
        <v>0.9</v>
      </c>
      <c r="I519" s="16" t="s">
        <v>47</v>
      </c>
      <c r="J519" s="17">
        <v>69.5</v>
      </c>
      <c r="K519" s="17">
        <v>13.253214290000001</v>
      </c>
      <c r="L519" t="str">
        <f>VLOOKUP(B519,'[1]Plant data'!$A$1:$AB$315,2,0)</f>
        <v>Rubiaceae</v>
      </c>
      <c r="M519" s="9">
        <f>VLOOKUP($B519,'[1]Plant data'!$A$1:$AB$315,6,0)</f>
        <v>10.343999999999999</v>
      </c>
      <c r="N519" s="9">
        <f>VLOOKUP($B519,'[1]Plant data'!$A$1:$AB$315,7,0)</f>
        <v>16.733999999999998</v>
      </c>
      <c r="O519" s="8">
        <f>VLOOKUP($B519,'[1]Plant data'!$A$1:$AB$315,10,0)</f>
        <v>0.93</v>
      </c>
      <c r="P519" s="8" t="str">
        <f>VLOOKUP($B519,'[1]Plant data'!$A$1:$AB$315,11,0)</f>
        <v>NA</v>
      </c>
      <c r="Q519" s="8">
        <f>VLOOKUP($B519,'[1]Plant data'!$A$1:$AB$315,12,0)</f>
        <v>0.01</v>
      </c>
      <c r="R519" s="8" t="str">
        <f>VLOOKUP($B519,'[1]Plant data'!$A$1:$AB$315,13,0)</f>
        <v>NA</v>
      </c>
      <c r="S519" s="8" t="str">
        <f>VLOOKUP($B519,'[1]Plant data'!$A$1:$AB$315,14,0)</f>
        <v>NA</v>
      </c>
      <c r="T519" s="11">
        <f>VLOOKUP($B519,'[1]Plant data'!$A$1:$AB$315,15,0)</f>
        <v>19.133333333333336</v>
      </c>
      <c r="U519" s="9">
        <f>VLOOKUP($B519,'[1]Plant data'!$A$1:$AB$315,19,0)</f>
        <v>0.69599999999999995</v>
      </c>
      <c r="V519" s="8">
        <f>VLOOKUP($B519,'[1]Plant data'!$A$1:$AB$315,20,0)</f>
        <v>0.2</v>
      </c>
      <c r="W519" s="8" t="str">
        <f>VLOOKUP($B519,'[1]Plant data'!$A$1:$AB$315,21,0)</f>
        <v>NA</v>
      </c>
      <c r="X519" s="8" t="str">
        <f>VLOOKUP($B519,'[1]Plant data'!$A$1:$AB$315,22,0)</f>
        <v>NA</v>
      </c>
      <c r="Y519" s="8" t="str">
        <f>VLOOKUP($B519,'[1]Plant data'!$A$1:$AB$315,23,0)</f>
        <v>NA</v>
      </c>
      <c r="Z519" s="8" t="str">
        <f>VLOOKUP($B519,'[1]Plant data'!$A$1:$AB$315,24,0)</f>
        <v>NA</v>
      </c>
      <c r="AA519" s="8" t="str">
        <f>VLOOKUP($B519,'[1]Plant data'!$A$1:$AB$315,25,0)</f>
        <v>NA</v>
      </c>
      <c r="AB519" s="8" t="s">
        <v>19</v>
      </c>
    </row>
    <row r="520" spans="1:28">
      <c r="A520" s="5" t="s">
        <v>124</v>
      </c>
      <c r="B520" s="77" t="s">
        <v>252</v>
      </c>
      <c r="C520" s="56">
        <v>9</v>
      </c>
      <c r="D520" s="58" t="s">
        <v>19</v>
      </c>
      <c r="E520" s="26">
        <v>0.23</v>
      </c>
      <c r="F520" s="54" t="s">
        <v>19</v>
      </c>
      <c r="G520" s="27">
        <v>3</v>
      </c>
      <c r="H520" s="23">
        <f t="shared" si="43"/>
        <v>0.69000000000000006</v>
      </c>
      <c r="I520" t="s">
        <v>109</v>
      </c>
      <c r="J520" s="11">
        <v>73.3</v>
      </c>
      <c r="K520" s="11">
        <v>17.52380952</v>
      </c>
      <c r="L520" t="str">
        <f>VLOOKUP(B520,'[1]Plant data'!$A$1:$AB$315,2,0)</f>
        <v>Euphorbiaceae</v>
      </c>
      <c r="M520" s="9">
        <f>VLOOKUP($B520,'[1]Plant data'!$A$1:$AB$315,6,0)</f>
        <v>6.257142857142858</v>
      </c>
      <c r="N520" s="9">
        <f>VLOOKUP($B520,'[1]Plant data'!$A$1:$AB$315,7,0)</f>
        <v>7.0042857142857144</v>
      </c>
      <c r="O520" s="8">
        <f>VLOOKUP($B520,'[1]Plant data'!$A$1:$AB$315,10,0)</f>
        <v>0.25</v>
      </c>
      <c r="P520" s="8" t="str">
        <f>VLOOKUP($B520,'[1]Plant data'!$A$1:$AB$315,11,0)</f>
        <v>NA</v>
      </c>
      <c r="Q520" s="8">
        <f>VLOOKUP($B520,'[1]Plant data'!$A$1:$AB$315,12,0)</f>
        <v>6.9550000000000001E-2</v>
      </c>
      <c r="R520" s="8" t="str">
        <f>VLOOKUP($B520,'[1]Plant data'!$A$1:$AB$315,13,0)</f>
        <v>NA</v>
      </c>
      <c r="S520" s="8">
        <f>VLOOKUP($B520,'[1]Plant data'!$A$1:$AB$315,14,0)</f>
        <v>2</v>
      </c>
      <c r="T520" s="11">
        <f>VLOOKUP($B520,'[1]Plant data'!$A$1:$AB$315,15,0)</f>
        <v>1.6666666666666667</v>
      </c>
      <c r="U520" s="9">
        <f>VLOOKUP($B520,'[1]Plant data'!$A$1:$AB$315,19,0)</f>
        <v>0.433</v>
      </c>
      <c r="V520" s="8">
        <f>VLOOKUP($B520,'[1]Plant data'!$A$1:$AB$315,20,0)</f>
        <v>0.67072503840246056</v>
      </c>
      <c r="W520" s="8">
        <f>VLOOKUP($B520,'[1]Plant data'!$A$1:$AB$315,21,0)</f>
        <v>7.7989499999999989E-2</v>
      </c>
      <c r="X520" s="8">
        <f>VLOOKUP($B520,'[1]Plant data'!$A$1:$AB$315,22,0)</f>
        <v>1.4905612061493325E-2</v>
      </c>
      <c r="Y520" s="8">
        <f>VLOOKUP($B520,'[1]Plant data'!$A$1:$AB$315,23,0)</f>
        <v>6.5201378207114441E-2</v>
      </c>
      <c r="Z520" s="8" t="str">
        <f>VLOOKUP($B520,'[1]Plant data'!$A$1:$AB$315,24,0)</f>
        <v>NA</v>
      </c>
      <c r="AA520" s="8">
        <f>VLOOKUP($B520,'[1]Plant data'!$A$1:$AB$315,25,0)</f>
        <v>0.217</v>
      </c>
      <c r="AB520" s="8">
        <f>SUMIF(X520:Y520,"&gt;0.00001")</f>
        <v>8.0106990268607764E-2</v>
      </c>
    </row>
    <row r="521" spans="1:28">
      <c r="A521" s="5" t="s">
        <v>46</v>
      </c>
      <c r="B521" s="77" t="s">
        <v>252</v>
      </c>
      <c r="C521" s="53">
        <v>2</v>
      </c>
      <c r="D521" s="17" t="s">
        <v>19</v>
      </c>
      <c r="E521" s="8">
        <v>0.05</v>
      </c>
      <c r="F521" s="54" t="s">
        <v>19</v>
      </c>
      <c r="G521" s="9">
        <v>1.5</v>
      </c>
      <c r="H521" s="23">
        <f t="shared" si="43"/>
        <v>7.5000000000000011E-2</v>
      </c>
      <c r="I521" t="s">
        <v>47</v>
      </c>
      <c r="J521" s="11">
        <v>54</v>
      </c>
      <c r="K521" s="11">
        <v>11.14875</v>
      </c>
      <c r="L521" t="str">
        <f>VLOOKUP(B521,'[1]Plant data'!$A$1:$AB$315,2,0)</f>
        <v>Euphorbiaceae</v>
      </c>
      <c r="M521" s="9">
        <f>VLOOKUP($B521,'[1]Plant data'!$A$1:$AB$315,6,0)</f>
        <v>6.257142857142858</v>
      </c>
      <c r="N521" s="9">
        <f>VLOOKUP($B521,'[1]Plant data'!$A$1:$AB$315,7,0)</f>
        <v>7.0042857142857144</v>
      </c>
      <c r="O521" s="8">
        <f>VLOOKUP($B521,'[1]Plant data'!$A$1:$AB$315,10,0)</f>
        <v>0.25</v>
      </c>
      <c r="P521" s="8" t="str">
        <f>VLOOKUP($B521,'[1]Plant data'!$A$1:$AB$315,11,0)</f>
        <v>NA</v>
      </c>
      <c r="Q521" s="8">
        <f>VLOOKUP($B521,'[1]Plant data'!$A$1:$AB$315,12,0)</f>
        <v>6.9550000000000001E-2</v>
      </c>
      <c r="R521" s="8" t="str">
        <f>VLOOKUP($B521,'[1]Plant data'!$A$1:$AB$315,13,0)</f>
        <v>NA</v>
      </c>
      <c r="S521" s="8">
        <f>VLOOKUP($B521,'[1]Plant data'!$A$1:$AB$315,14,0)</f>
        <v>2</v>
      </c>
      <c r="T521" s="11">
        <f>VLOOKUP($B521,'[1]Plant data'!$A$1:$AB$315,15,0)</f>
        <v>1.6666666666666667</v>
      </c>
      <c r="U521" s="9">
        <f>VLOOKUP($B521,'[1]Plant data'!$A$1:$AB$315,19,0)</f>
        <v>0.433</v>
      </c>
      <c r="V521" s="8">
        <f>VLOOKUP($B521,'[1]Plant data'!$A$1:$AB$315,20,0)</f>
        <v>0.67072503840246056</v>
      </c>
      <c r="W521" s="8">
        <f>VLOOKUP($B521,'[1]Plant data'!$A$1:$AB$315,21,0)</f>
        <v>7.7989499999999989E-2</v>
      </c>
      <c r="X521" s="8">
        <f>VLOOKUP($B521,'[1]Plant data'!$A$1:$AB$315,22,0)</f>
        <v>1.4905612061493325E-2</v>
      </c>
      <c r="Y521" s="8">
        <f>VLOOKUP($B521,'[1]Plant data'!$A$1:$AB$315,23,0)</f>
        <v>6.5201378207114441E-2</v>
      </c>
      <c r="Z521" s="8" t="str">
        <f>VLOOKUP($B521,'[1]Plant data'!$A$1:$AB$315,24,0)</f>
        <v>NA</v>
      </c>
      <c r="AA521" s="8">
        <f>VLOOKUP($B521,'[1]Plant data'!$A$1:$AB$315,25,0)</f>
        <v>0.217</v>
      </c>
      <c r="AB521" s="8">
        <f>SUMIF(X521:Y521,"&gt;0.00001")</f>
        <v>8.0106990268607764E-2</v>
      </c>
    </row>
    <row r="522" spans="1:28">
      <c r="A522" s="5" t="s">
        <v>50</v>
      </c>
      <c r="B522" s="37" t="s">
        <v>252</v>
      </c>
      <c r="C522" s="53">
        <v>14</v>
      </c>
      <c r="D522" s="58" t="s">
        <v>19</v>
      </c>
      <c r="E522" s="8">
        <v>0.36</v>
      </c>
      <c r="F522" s="54" t="s">
        <v>19</v>
      </c>
      <c r="G522" s="9">
        <v>2.3571428571428572</v>
      </c>
      <c r="H522" s="23">
        <f t="shared" si="43"/>
        <v>0.84857142857142853</v>
      </c>
      <c r="I522" t="s">
        <v>47</v>
      </c>
      <c r="J522" s="11">
        <v>69.5</v>
      </c>
      <c r="K522" s="11">
        <v>13.253214290000001</v>
      </c>
      <c r="L522" t="str">
        <f>VLOOKUP(B522,'[1]Plant data'!$A$1:$AB$315,2,0)</f>
        <v>Euphorbiaceae</v>
      </c>
      <c r="M522" s="9">
        <f>VLOOKUP($B522,'[1]Plant data'!$A$1:$AB$315,6,0)</f>
        <v>6.257142857142858</v>
      </c>
      <c r="N522" s="9">
        <f>VLOOKUP($B522,'[1]Plant data'!$A$1:$AB$315,7,0)</f>
        <v>7.0042857142857144</v>
      </c>
      <c r="O522" s="8">
        <f>VLOOKUP($B522,'[1]Plant data'!$A$1:$AB$315,10,0)</f>
        <v>0.25</v>
      </c>
      <c r="P522" s="8" t="str">
        <f>VLOOKUP($B522,'[1]Plant data'!$A$1:$AB$315,11,0)</f>
        <v>NA</v>
      </c>
      <c r="Q522" s="8">
        <f>VLOOKUP($B522,'[1]Plant data'!$A$1:$AB$315,12,0)</f>
        <v>6.9550000000000001E-2</v>
      </c>
      <c r="R522" s="8" t="str">
        <f>VLOOKUP($B522,'[1]Plant data'!$A$1:$AB$315,13,0)</f>
        <v>NA</v>
      </c>
      <c r="S522" s="8">
        <f>VLOOKUP($B522,'[1]Plant data'!$A$1:$AB$315,14,0)</f>
        <v>2</v>
      </c>
      <c r="T522" s="11">
        <f>VLOOKUP($B522,'[1]Plant data'!$A$1:$AB$315,15,0)</f>
        <v>1.6666666666666667</v>
      </c>
      <c r="U522" s="9">
        <f>VLOOKUP($B522,'[1]Plant data'!$A$1:$AB$315,19,0)</f>
        <v>0.433</v>
      </c>
      <c r="V522" s="8">
        <f>VLOOKUP($B522,'[1]Plant data'!$A$1:$AB$315,20,0)</f>
        <v>0.67072503840246056</v>
      </c>
      <c r="W522" s="8">
        <f>VLOOKUP($B522,'[1]Plant data'!$A$1:$AB$315,21,0)</f>
        <v>7.7989499999999989E-2</v>
      </c>
      <c r="X522" s="8">
        <f>VLOOKUP($B522,'[1]Plant data'!$A$1:$AB$315,22,0)</f>
        <v>1.4905612061493325E-2</v>
      </c>
      <c r="Y522" s="8">
        <f>VLOOKUP($B522,'[1]Plant data'!$A$1:$AB$315,23,0)</f>
        <v>6.5201378207114441E-2</v>
      </c>
      <c r="Z522" s="8" t="str">
        <f>VLOOKUP($B522,'[1]Plant data'!$A$1:$AB$315,24,0)</f>
        <v>NA</v>
      </c>
      <c r="AA522" s="8">
        <f>VLOOKUP($B522,'[1]Plant data'!$A$1:$AB$315,25,0)</f>
        <v>0.217</v>
      </c>
      <c r="AB522" s="8">
        <f>SUMIF(X522:Y522,"&gt;0.00001")</f>
        <v>8.0106990268607764E-2</v>
      </c>
    </row>
    <row r="523" spans="1:28">
      <c r="A523" s="5" t="s">
        <v>28</v>
      </c>
      <c r="B523" s="40" t="s">
        <v>182</v>
      </c>
      <c r="C523" s="56">
        <v>2</v>
      </c>
      <c r="D523" s="59">
        <v>3.5</v>
      </c>
      <c r="E523" s="26">
        <f>C523/D523</f>
        <v>0.5714285714285714</v>
      </c>
      <c r="F523" s="56" t="s">
        <v>19</v>
      </c>
      <c r="G523" s="27">
        <v>2.54</v>
      </c>
      <c r="H523" s="23">
        <f t="shared" si="43"/>
        <v>1.4514285714285713</v>
      </c>
      <c r="I523" t="s">
        <v>30</v>
      </c>
      <c r="J523" s="11">
        <v>18</v>
      </c>
      <c r="K523" s="11">
        <v>7.4188405800000004</v>
      </c>
      <c r="L523" t="str">
        <f>VLOOKUP(B523,'[1]Plant data'!$A$1:$AB$315,2,0)</f>
        <v>Euphorbiaceae</v>
      </c>
      <c r="M523" s="9">
        <f>VLOOKUP($B523,'[1]Plant data'!$A$1:$AB$315,6,0)</f>
        <v>5</v>
      </c>
      <c r="N523" s="9">
        <f>VLOOKUP($B523,'[1]Plant data'!$A$1:$AB$315,7,0)</f>
        <v>10</v>
      </c>
      <c r="O523" s="8" t="str">
        <f>VLOOKUP($B523,'[1]Plant data'!$A$1:$AB$315,10,0)</f>
        <v>NA</v>
      </c>
      <c r="P523" s="8" t="str">
        <f>VLOOKUP($B523,'[1]Plant data'!$A$1:$AB$315,11,0)</f>
        <v>NA</v>
      </c>
      <c r="Q523" s="8" t="str">
        <f>VLOOKUP($B523,'[1]Plant data'!$A$1:$AB$315,12,0)</f>
        <v>NA</v>
      </c>
      <c r="R523" s="8" t="str">
        <f>VLOOKUP($B523,'[1]Plant data'!$A$1:$AB$315,13,0)</f>
        <v>NA</v>
      </c>
      <c r="S523" s="8" t="str">
        <f>VLOOKUP($B523,'[1]Plant data'!$A$1:$AB$315,14,0)</f>
        <v>NA</v>
      </c>
      <c r="T523" s="11" t="str">
        <f>VLOOKUP($B523,'[1]Plant data'!$A$1:$AB$315,15,0)</f>
        <v>NA</v>
      </c>
      <c r="U523" s="9" t="str">
        <f>VLOOKUP($B523,'[1]Plant data'!$A$1:$AB$315,19,0)</f>
        <v>NA</v>
      </c>
      <c r="V523" s="8" t="str">
        <f>VLOOKUP($B523,'[1]Plant data'!$A$1:$AB$315,20,0)</f>
        <v>NA</v>
      </c>
      <c r="W523" s="8" t="str">
        <f>VLOOKUP($B523,'[1]Plant data'!$A$1:$AB$315,21,0)</f>
        <v>NA</v>
      </c>
      <c r="X523" s="8" t="str">
        <f>VLOOKUP($B523,'[1]Plant data'!$A$1:$AB$315,22,0)</f>
        <v>NA</v>
      </c>
      <c r="Y523" s="8" t="str">
        <f>VLOOKUP($B523,'[1]Plant data'!$A$1:$AB$315,23,0)</f>
        <v>NA</v>
      </c>
      <c r="Z523" s="8" t="str">
        <f>VLOOKUP($B523,'[1]Plant data'!$A$1:$AB$315,24,0)</f>
        <v>NA</v>
      </c>
      <c r="AA523" s="8" t="str">
        <f>VLOOKUP($B523,'[1]Plant data'!$A$1:$AB$315,25,0)</f>
        <v>NA</v>
      </c>
      <c r="AB523" s="8" t="s">
        <v>19</v>
      </c>
    </row>
    <row r="524" spans="1:28">
      <c r="A524" s="5" t="s">
        <v>43</v>
      </c>
      <c r="B524" s="37" t="s">
        <v>182</v>
      </c>
      <c r="C524" s="53">
        <v>2</v>
      </c>
      <c r="D524" s="58">
        <v>4.4000000000000004</v>
      </c>
      <c r="E524" s="8">
        <f>C524/4.4</f>
        <v>0.45454545454545453</v>
      </c>
      <c r="F524" s="54" t="s">
        <v>19</v>
      </c>
      <c r="G524" s="9">
        <v>2.9912903225806455</v>
      </c>
      <c r="H524" s="23">
        <f t="shared" si="43"/>
        <v>1.3596774193548389</v>
      </c>
      <c r="I524" t="s">
        <v>30</v>
      </c>
      <c r="J524" s="11">
        <v>32.5</v>
      </c>
      <c r="K524" s="11">
        <v>8.9205555560000001</v>
      </c>
      <c r="L524" t="str">
        <f>VLOOKUP(B524,'[1]Plant data'!$A$1:$AB$315,2,0)</f>
        <v>Euphorbiaceae</v>
      </c>
      <c r="M524" s="9">
        <f>VLOOKUP($B524,'[1]Plant data'!$A$1:$AB$315,6,0)</f>
        <v>5</v>
      </c>
      <c r="N524" s="9">
        <f>VLOOKUP($B524,'[1]Plant data'!$A$1:$AB$315,7,0)</f>
        <v>10</v>
      </c>
      <c r="O524" s="8" t="str">
        <f>VLOOKUP($B524,'[1]Plant data'!$A$1:$AB$315,10,0)</f>
        <v>NA</v>
      </c>
      <c r="P524" s="8" t="str">
        <f>VLOOKUP($B524,'[1]Plant data'!$A$1:$AB$315,11,0)</f>
        <v>NA</v>
      </c>
      <c r="Q524" s="8" t="str">
        <f>VLOOKUP($B524,'[1]Plant data'!$A$1:$AB$315,12,0)</f>
        <v>NA</v>
      </c>
      <c r="R524" s="8" t="str">
        <f>VLOOKUP($B524,'[1]Plant data'!$A$1:$AB$315,13,0)</f>
        <v>NA</v>
      </c>
      <c r="S524" s="8" t="str">
        <f>VLOOKUP($B524,'[1]Plant data'!$A$1:$AB$315,14,0)</f>
        <v>NA</v>
      </c>
      <c r="T524" s="11" t="str">
        <f>VLOOKUP($B524,'[1]Plant data'!$A$1:$AB$315,15,0)</f>
        <v>NA</v>
      </c>
      <c r="U524" s="9" t="str">
        <f>VLOOKUP($B524,'[1]Plant data'!$A$1:$AB$315,19,0)</f>
        <v>NA</v>
      </c>
      <c r="V524" s="8" t="str">
        <f>VLOOKUP($B524,'[1]Plant data'!$A$1:$AB$315,20,0)</f>
        <v>NA</v>
      </c>
      <c r="W524" s="8" t="str">
        <f>VLOOKUP($B524,'[1]Plant data'!$A$1:$AB$315,21,0)</f>
        <v>NA</v>
      </c>
      <c r="X524" s="8" t="str">
        <f>VLOOKUP($B524,'[1]Plant data'!$A$1:$AB$315,22,0)</f>
        <v>NA</v>
      </c>
      <c r="Y524" s="8" t="str">
        <f>VLOOKUP($B524,'[1]Plant data'!$A$1:$AB$315,23,0)</f>
        <v>NA</v>
      </c>
      <c r="Z524" s="8" t="str">
        <f>VLOOKUP($B524,'[1]Plant data'!$A$1:$AB$315,24,0)</f>
        <v>NA</v>
      </c>
      <c r="AA524" s="8" t="str">
        <f>VLOOKUP($B524,'[1]Plant data'!$A$1:$AB$315,25,0)</f>
        <v>NA</v>
      </c>
      <c r="AB524" s="8" t="s">
        <v>19</v>
      </c>
    </row>
    <row r="525" spans="1:28">
      <c r="A525" s="5" t="s">
        <v>50</v>
      </c>
      <c r="B525" s="37" t="s">
        <v>182</v>
      </c>
      <c r="C525" s="53">
        <v>5</v>
      </c>
      <c r="D525" s="11">
        <v>3.8</v>
      </c>
      <c r="E525" s="8">
        <f>C525/3.8</f>
        <v>1.3157894736842106</v>
      </c>
      <c r="F525" s="54" t="s">
        <v>19</v>
      </c>
      <c r="G525" s="9">
        <v>6.7308201058201051</v>
      </c>
      <c r="H525" s="23">
        <f t="shared" si="43"/>
        <v>8.856342244500139</v>
      </c>
      <c r="I525" t="s">
        <v>47</v>
      </c>
      <c r="J525" s="11">
        <v>69.5</v>
      </c>
      <c r="K525" s="11">
        <v>13.253214290000001</v>
      </c>
      <c r="L525" t="str">
        <f>VLOOKUP(B525,'[1]Plant data'!$A$1:$AB$315,2,0)</f>
        <v>Euphorbiaceae</v>
      </c>
      <c r="M525" s="9">
        <f>VLOOKUP($B525,'[1]Plant data'!$A$1:$AB$315,6,0)</f>
        <v>5</v>
      </c>
      <c r="N525" s="9">
        <f>VLOOKUP($B525,'[1]Plant data'!$A$1:$AB$315,7,0)</f>
        <v>10</v>
      </c>
      <c r="O525" s="8" t="str">
        <f>VLOOKUP($B525,'[1]Plant data'!$A$1:$AB$315,10,0)</f>
        <v>NA</v>
      </c>
      <c r="P525" s="8" t="str">
        <f>VLOOKUP($B525,'[1]Plant data'!$A$1:$AB$315,11,0)</f>
        <v>NA</v>
      </c>
      <c r="Q525" s="8" t="str">
        <f>VLOOKUP($B525,'[1]Plant data'!$A$1:$AB$315,12,0)</f>
        <v>NA</v>
      </c>
      <c r="R525" s="8" t="str">
        <f>VLOOKUP($B525,'[1]Plant data'!$A$1:$AB$315,13,0)</f>
        <v>NA</v>
      </c>
      <c r="S525" s="8" t="str">
        <f>VLOOKUP($B525,'[1]Plant data'!$A$1:$AB$315,14,0)</f>
        <v>NA</v>
      </c>
      <c r="T525" s="11" t="str">
        <f>VLOOKUP($B525,'[1]Plant data'!$A$1:$AB$315,15,0)</f>
        <v>NA</v>
      </c>
      <c r="U525" s="9" t="str">
        <f>VLOOKUP($B525,'[1]Plant data'!$A$1:$AB$315,19,0)</f>
        <v>NA</v>
      </c>
      <c r="V525" s="8" t="str">
        <f>VLOOKUP($B525,'[1]Plant data'!$A$1:$AB$315,20,0)</f>
        <v>NA</v>
      </c>
      <c r="W525" s="8" t="str">
        <f>VLOOKUP($B525,'[1]Plant data'!$A$1:$AB$315,21,0)</f>
        <v>NA</v>
      </c>
      <c r="X525" s="8" t="str">
        <f>VLOOKUP($B525,'[1]Plant data'!$A$1:$AB$315,22,0)</f>
        <v>NA</v>
      </c>
      <c r="Y525" s="8" t="str">
        <f>VLOOKUP($B525,'[1]Plant data'!$A$1:$AB$315,23,0)</f>
        <v>NA</v>
      </c>
      <c r="Z525" s="8" t="str">
        <f>VLOOKUP($B525,'[1]Plant data'!$A$1:$AB$315,24,0)</f>
        <v>NA</v>
      </c>
      <c r="AA525" s="8" t="str">
        <f>VLOOKUP($B525,'[1]Plant data'!$A$1:$AB$315,25,0)</f>
        <v>NA</v>
      </c>
      <c r="AB525" s="8" t="s">
        <v>19</v>
      </c>
    </row>
    <row r="526" spans="1:28">
      <c r="A526" s="5" t="s">
        <v>28</v>
      </c>
      <c r="B526" s="37" t="s">
        <v>244</v>
      </c>
      <c r="C526" s="53">
        <v>8</v>
      </c>
      <c r="D526" s="74">
        <v>20.6</v>
      </c>
      <c r="E526" s="8">
        <f>C526/D526</f>
        <v>0.38834951456310679</v>
      </c>
      <c r="F526" s="54">
        <v>14</v>
      </c>
      <c r="G526" s="9">
        <v>1.75</v>
      </c>
      <c r="H526" s="23">
        <f t="shared" si="43"/>
        <v>0.67961165048543692</v>
      </c>
      <c r="I526" t="s">
        <v>30</v>
      </c>
      <c r="J526" s="11">
        <v>18</v>
      </c>
      <c r="K526" s="11">
        <v>7.4188405800000004</v>
      </c>
      <c r="L526" t="str">
        <f>VLOOKUP(B526,'[1]Plant data'!$A$1:$AB$315,2,0)</f>
        <v>Euphorbiaceae</v>
      </c>
      <c r="M526" s="9">
        <f>VLOOKUP($B526,'[1]Plant data'!$A$1:$AB$315,6,0)</f>
        <v>5.0250000000000004</v>
      </c>
      <c r="N526" s="9">
        <f>VLOOKUP($B526,'[1]Plant data'!$A$1:$AB$315,7,0)</f>
        <v>6.36</v>
      </c>
      <c r="O526" s="8">
        <f>VLOOKUP($B526,'[1]Plant data'!$A$1:$AB$315,10,0)</f>
        <v>0.08</v>
      </c>
      <c r="P526" s="8">
        <f>VLOOKUP($B526,'[1]Plant data'!$A$1:$AB$315,11,0)</f>
        <v>0.03</v>
      </c>
      <c r="Q526" s="8" t="str">
        <f>VLOOKUP($B526,'[1]Plant data'!$A$1:$AB$315,12,0)</f>
        <v>NA</v>
      </c>
      <c r="R526" s="8" t="str">
        <f>VLOOKUP($B526,'[1]Plant data'!$A$1:$AB$315,13,0)</f>
        <v>NA</v>
      </c>
      <c r="S526" s="8" t="str">
        <f>VLOOKUP($B526,'[1]Plant data'!$A$1:$AB$315,14,0)</f>
        <v>NA</v>
      </c>
      <c r="T526" s="11">
        <f>VLOOKUP($B526,'[1]Plant data'!$A$1:$AB$315,15,0)</f>
        <v>1.65</v>
      </c>
      <c r="U526" s="9">
        <f>VLOOKUP($B526,'[1]Plant data'!$A$1:$AB$315,19,0)</f>
        <v>0.40700000000000003</v>
      </c>
      <c r="V526" s="8">
        <f>VLOOKUP($B526,'[1]Plant data'!$A$1:$AB$315,20,0)</f>
        <v>0.68400000000000005</v>
      </c>
      <c r="W526" s="8">
        <f>VLOOKUP($B526,'[1]Plant data'!$A$1:$AB$315,21,0)</f>
        <v>7.5999999999999998E-2</v>
      </c>
      <c r="X526" s="8" t="str">
        <f>VLOOKUP($B526,'[1]Plant data'!$A$1:$AB$315,22,0)</f>
        <v>NA</v>
      </c>
      <c r="Y526" s="8" t="str">
        <f>VLOOKUP($B526,'[1]Plant data'!$A$1:$AB$315,23,0)</f>
        <v>NA</v>
      </c>
      <c r="Z526" s="8" t="str">
        <f>VLOOKUP($B526,'[1]Plant data'!$A$1:$AB$315,24,0)</f>
        <v>NA</v>
      </c>
      <c r="AA526" s="8">
        <f>VLOOKUP($B526,'[1]Plant data'!$A$1:$AB$315,25,0)</f>
        <v>0.217</v>
      </c>
      <c r="AB526" s="8" t="s">
        <v>19</v>
      </c>
    </row>
    <row r="527" spans="1:28">
      <c r="A527" s="5" t="s">
        <v>32</v>
      </c>
      <c r="B527" s="37" t="s">
        <v>244</v>
      </c>
      <c r="C527" s="53">
        <v>3</v>
      </c>
      <c r="D527" s="11">
        <v>12</v>
      </c>
      <c r="E527" s="8">
        <v>0.25</v>
      </c>
      <c r="F527" s="54">
        <v>10</v>
      </c>
      <c r="G527" s="9">
        <v>3.3333333333333335</v>
      </c>
      <c r="H527" s="23">
        <f t="shared" si="43"/>
        <v>0.83333333333333337</v>
      </c>
      <c r="I527" t="s">
        <v>30</v>
      </c>
      <c r="J527" s="11">
        <v>18</v>
      </c>
      <c r="K527" s="11">
        <v>5.1684999999999999</v>
      </c>
      <c r="L527" t="str">
        <f>VLOOKUP(B527,'[1]Plant data'!$A$1:$AB$315,2,0)</f>
        <v>Euphorbiaceae</v>
      </c>
      <c r="M527" s="9">
        <f>VLOOKUP($B527,'[1]Plant data'!$A$1:$AB$315,6,0)</f>
        <v>5.0250000000000004</v>
      </c>
      <c r="N527" s="9">
        <f>VLOOKUP($B527,'[1]Plant data'!$A$1:$AB$315,7,0)</f>
        <v>6.36</v>
      </c>
      <c r="O527" s="8">
        <f>VLOOKUP($B527,'[1]Plant data'!$A$1:$AB$315,10,0)</f>
        <v>0.08</v>
      </c>
      <c r="P527" s="8">
        <f>VLOOKUP($B527,'[1]Plant data'!$A$1:$AB$315,11,0)</f>
        <v>0.03</v>
      </c>
      <c r="Q527" s="8" t="str">
        <f>VLOOKUP($B527,'[1]Plant data'!$A$1:$AB$315,12,0)</f>
        <v>NA</v>
      </c>
      <c r="R527" s="8" t="str">
        <f>VLOOKUP($B527,'[1]Plant data'!$A$1:$AB$315,13,0)</f>
        <v>NA</v>
      </c>
      <c r="S527" s="8" t="str">
        <f>VLOOKUP($B527,'[1]Plant data'!$A$1:$AB$315,14,0)</f>
        <v>NA</v>
      </c>
      <c r="T527" s="11">
        <f>VLOOKUP($B527,'[1]Plant data'!$A$1:$AB$315,15,0)</f>
        <v>1.65</v>
      </c>
      <c r="U527" s="9">
        <f>VLOOKUP($B527,'[1]Plant data'!$A$1:$AB$315,19,0)</f>
        <v>0.40700000000000003</v>
      </c>
      <c r="V527" s="8">
        <f>VLOOKUP($B527,'[1]Plant data'!$A$1:$AB$315,20,0)</f>
        <v>0.68400000000000005</v>
      </c>
      <c r="W527" s="8">
        <f>VLOOKUP($B527,'[1]Plant data'!$A$1:$AB$315,21,0)</f>
        <v>7.5999999999999998E-2</v>
      </c>
      <c r="X527" s="8" t="str">
        <f>VLOOKUP($B527,'[1]Plant data'!$A$1:$AB$315,22,0)</f>
        <v>NA</v>
      </c>
      <c r="Y527" s="8" t="str">
        <f>VLOOKUP($B527,'[1]Plant data'!$A$1:$AB$315,23,0)</f>
        <v>NA</v>
      </c>
      <c r="Z527" s="8" t="str">
        <f>VLOOKUP($B527,'[1]Plant data'!$A$1:$AB$315,24,0)</f>
        <v>NA</v>
      </c>
      <c r="AA527" s="8">
        <f>VLOOKUP($B527,'[1]Plant data'!$A$1:$AB$315,25,0)</f>
        <v>0.217</v>
      </c>
      <c r="AB527" s="8" t="s">
        <v>19</v>
      </c>
    </row>
    <row r="528" spans="1:28">
      <c r="A528" s="5" t="s">
        <v>62</v>
      </c>
      <c r="B528" s="40" t="s">
        <v>244</v>
      </c>
      <c r="C528" s="53">
        <v>11</v>
      </c>
      <c r="D528" s="73">
        <v>28.5</v>
      </c>
      <c r="E528" s="8">
        <f>C528/28.5</f>
        <v>0.38596491228070173</v>
      </c>
      <c r="F528" s="54" t="s">
        <v>19</v>
      </c>
      <c r="G528" s="9">
        <v>2.54</v>
      </c>
      <c r="H528" s="23">
        <f t="shared" si="43"/>
        <v>0.98035087719298242</v>
      </c>
      <c r="I528" t="s">
        <v>30</v>
      </c>
      <c r="J528" s="11">
        <v>18.7</v>
      </c>
      <c r="K528" s="11">
        <v>6.1185714290000002</v>
      </c>
      <c r="L528" t="str">
        <f>VLOOKUP(B528,'[1]Plant data'!$A$1:$AB$315,2,0)</f>
        <v>Euphorbiaceae</v>
      </c>
      <c r="M528" s="9">
        <f>VLOOKUP($B528,'[1]Plant data'!$A$1:$AB$315,6,0)</f>
        <v>5.0250000000000004</v>
      </c>
      <c r="N528" s="9">
        <f>VLOOKUP($B528,'[1]Plant data'!$A$1:$AB$315,7,0)</f>
        <v>6.36</v>
      </c>
      <c r="O528" s="8">
        <f>VLOOKUP($B528,'[1]Plant data'!$A$1:$AB$315,10,0)</f>
        <v>0.08</v>
      </c>
      <c r="P528" s="8">
        <f>VLOOKUP($B528,'[1]Plant data'!$A$1:$AB$315,11,0)</f>
        <v>0.03</v>
      </c>
      <c r="Q528" s="8" t="str">
        <f>VLOOKUP($B528,'[1]Plant data'!$A$1:$AB$315,12,0)</f>
        <v>NA</v>
      </c>
      <c r="R528" s="8" t="str">
        <f>VLOOKUP($B528,'[1]Plant data'!$A$1:$AB$315,13,0)</f>
        <v>NA</v>
      </c>
      <c r="S528" s="8" t="str">
        <f>VLOOKUP($B528,'[1]Plant data'!$A$1:$AB$315,14,0)</f>
        <v>NA</v>
      </c>
      <c r="T528" s="11">
        <f>VLOOKUP($B528,'[1]Plant data'!$A$1:$AB$315,15,0)</f>
        <v>1.65</v>
      </c>
      <c r="U528" s="9">
        <f>VLOOKUP($B528,'[1]Plant data'!$A$1:$AB$315,19,0)</f>
        <v>0.40700000000000003</v>
      </c>
      <c r="V528" s="8">
        <f>VLOOKUP($B528,'[1]Plant data'!$A$1:$AB$315,20,0)</f>
        <v>0.68400000000000005</v>
      </c>
      <c r="W528" s="8">
        <f>VLOOKUP($B528,'[1]Plant data'!$A$1:$AB$315,21,0)</f>
        <v>7.5999999999999998E-2</v>
      </c>
      <c r="X528" s="8" t="str">
        <f>VLOOKUP($B528,'[1]Plant data'!$A$1:$AB$315,22,0)</f>
        <v>NA</v>
      </c>
      <c r="Y528" s="8" t="str">
        <f>VLOOKUP($B528,'[1]Plant data'!$A$1:$AB$315,23,0)</f>
        <v>NA</v>
      </c>
      <c r="Z528" s="8" t="str">
        <f>VLOOKUP($B528,'[1]Plant data'!$A$1:$AB$315,24,0)</f>
        <v>NA</v>
      </c>
      <c r="AA528" s="8">
        <f>VLOOKUP($B528,'[1]Plant data'!$A$1:$AB$315,25,0)</f>
        <v>0.217</v>
      </c>
      <c r="AB528" s="8" t="s">
        <v>19</v>
      </c>
    </row>
    <row r="529" spans="1:28">
      <c r="A529" s="5" t="s">
        <v>41</v>
      </c>
      <c r="B529" s="37" t="s">
        <v>244</v>
      </c>
      <c r="C529" s="53">
        <v>10</v>
      </c>
      <c r="D529" s="11">
        <v>12</v>
      </c>
      <c r="E529" s="8">
        <v>0.83</v>
      </c>
      <c r="F529" s="54">
        <v>25</v>
      </c>
      <c r="G529" s="9">
        <v>2.5</v>
      </c>
      <c r="H529" s="23">
        <f t="shared" si="43"/>
        <v>2.0749999999999997</v>
      </c>
      <c r="I529" t="s">
        <v>30</v>
      </c>
      <c r="J529" s="11">
        <v>39</v>
      </c>
      <c r="K529" s="11">
        <v>8.2839869279999991</v>
      </c>
      <c r="L529" t="str">
        <f>VLOOKUP(B529,'[1]Plant data'!$A$1:$AB$315,2,0)</f>
        <v>Euphorbiaceae</v>
      </c>
      <c r="M529" s="9">
        <f>VLOOKUP($B529,'[1]Plant data'!$A$1:$AB$315,6,0)</f>
        <v>5.0250000000000004</v>
      </c>
      <c r="N529" s="9">
        <f>VLOOKUP($B529,'[1]Plant data'!$A$1:$AB$315,7,0)</f>
        <v>6.36</v>
      </c>
      <c r="O529" s="8">
        <f>VLOOKUP($B529,'[1]Plant data'!$A$1:$AB$315,10,0)</f>
        <v>0.08</v>
      </c>
      <c r="P529" s="8">
        <f>VLOOKUP($B529,'[1]Plant data'!$A$1:$AB$315,11,0)</f>
        <v>0.03</v>
      </c>
      <c r="Q529" s="8" t="str">
        <f>VLOOKUP($B529,'[1]Plant data'!$A$1:$AB$315,12,0)</f>
        <v>NA</v>
      </c>
      <c r="R529" s="8" t="str">
        <f>VLOOKUP($B529,'[1]Plant data'!$A$1:$AB$315,13,0)</f>
        <v>NA</v>
      </c>
      <c r="S529" s="8" t="str">
        <f>VLOOKUP($B529,'[1]Plant data'!$A$1:$AB$315,14,0)</f>
        <v>NA</v>
      </c>
      <c r="T529" s="11">
        <f>VLOOKUP($B529,'[1]Plant data'!$A$1:$AB$315,15,0)</f>
        <v>1.65</v>
      </c>
      <c r="U529" s="9">
        <f>VLOOKUP($B529,'[1]Plant data'!$A$1:$AB$315,19,0)</f>
        <v>0.40700000000000003</v>
      </c>
      <c r="V529" s="8">
        <f>VLOOKUP($B529,'[1]Plant data'!$A$1:$AB$315,20,0)</f>
        <v>0.68400000000000005</v>
      </c>
      <c r="W529" s="8">
        <f>VLOOKUP($B529,'[1]Plant data'!$A$1:$AB$315,21,0)</f>
        <v>7.5999999999999998E-2</v>
      </c>
      <c r="X529" s="8" t="str">
        <f>VLOOKUP($B529,'[1]Plant data'!$A$1:$AB$315,22,0)</f>
        <v>NA</v>
      </c>
      <c r="Y529" s="8" t="str">
        <f>VLOOKUP($B529,'[1]Plant data'!$A$1:$AB$315,23,0)</f>
        <v>NA</v>
      </c>
      <c r="Z529" s="8" t="str">
        <f>VLOOKUP($B529,'[1]Plant data'!$A$1:$AB$315,24,0)</f>
        <v>NA</v>
      </c>
      <c r="AA529" s="8">
        <f>VLOOKUP($B529,'[1]Plant data'!$A$1:$AB$315,25,0)</f>
        <v>0.217</v>
      </c>
      <c r="AB529" s="8" t="s">
        <v>19</v>
      </c>
    </row>
    <row r="530" spans="1:28">
      <c r="A530" s="5" t="s">
        <v>41</v>
      </c>
      <c r="B530" s="37" t="s">
        <v>244</v>
      </c>
      <c r="C530" s="53">
        <v>6</v>
      </c>
      <c r="D530" s="11">
        <f>12+9.5</f>
        <v>21.5</v>
      </c>
      <c r="E530" s="8">
        <f>C530/(12+9.5)</f>
        <v>0.27906976744186046</v>
      </c>
      <c r="F530" s="54" t="s">
        <v>19</v>
      </c>
      <c r="G530" s="9">
        <v>2.9912903225806455</v>
      </c>
      <c r="H530" s="23">
        <f t="shared" si="43"/>
        <v>0.8347786946736685</v>
      </c>
      <c r="I530" t="s">
        <v>30</v>
      </c>
      <c r="J530" s="11">
        <v>39</v>
      </c>
      <c r="K530" s="11">
        <v>8.2839869279999991</v>
      </c>
      <c r="L530" t="str">
        <f>VLOOKUP(B530,'[1]Plant data'!$A$1:$AB$315,2,0)</f>
        <v>Euphorbiaceae</v>
      </c>
      <c r="M530" s="9">
        <f>VLOOKUP($B530,'[1]Plant data'!$A$1:$AB$315,6,0)</f>
        <v>5.0250000000000004</v>
      </c>
      <c r="N530" s="9">
        <f>VLOOKUP($B530,'[1]Plant data'!$A$1:$AB$315,7,0)</f>
        <v>6.36</v>
      </c>
      <c r="O530" s="8">
        <f>VLOOKUP($B530,'[1]Plant data'!$A$1:$AB$315,10,0)</f>
        <v>0.08</v>
      </c>
      <c r="P530" s="8">
        <f>VLOOKUP($B530,'[1]Plant data'!$A$1:$AB$315,11,0)</f>
        <v>0.03</v>
      </c>
      <c r="Q530" s="8" t="str">
        <f>VLOOKUP($B530,'[1]Plant data'!$A$1:$AB$315,12,0)</f>
        <v>NA</v>
      </c>
      <c r="R530" s="8" t="str">
        <f>VLOOKUP($B530,'[1]Plant data'!$A$1:$AB$315,13,0)</f>
        <v>NA</v>
      </c>
      <c r="S530" s="8" t="str">
        <f>VLOOKUP($B530,'[1]Plant data'!$A$1:$AB$315,14,0)</f>
        <v>NA</v>
      </c>
      <c r="T530" s="11">
        <f>VLOOKUP($B530,'[1]Plant data'!$A$1:$AB$315,15,0)</f>
        <v>1.65</v>
      </c>
      <c r="U530" s="9">
        <f>VLOOKUP($B530,'[1]Plant data'!$A$1:$AB$315,19,0)</f>
        <v>0.40700000000000003</v>
      </c>
      <c r="V530" s="8">
        <f>VLOOKUP($B530,'[1]Plant data'!$A$1:$AB$315,20,0)</f>
        <v>0.68400000000000005</v>
      </c>
      <c r="W530" s="8">
        <f>VLOOKUP($B530,'[1]Plant data'!$A$1:$AB$315,21,0)</f>
        <v>7.5999999999999998E-2</v>
      </c>
      <c r="X530" s="8" t="str">
        <f>VLOOKUP($B530,'[1]Plant data'!$A$1:$AB$315,22,0)</f>
        <v>NA</v>
      </c>
      <c r="Y530" s="8" t="str">
        <f>VLOOKUP($B530,'[1]Plant data'!$A$1:$AB$315,23,0)</f>
        <v>NA</v>
      </c>
      <c r="Z530" s="8" t="str">
        <f>VLOOKUP($B530,'[1]Plant data'!$A$1:$AB$315,24,0)</f>
        <v>NA</v>
      </c>
      <c r="AA530" s="8">
        <f>VLOOKUP($B530,'[1]Plant data'!$A$1:$AB$315,25,0)</f>
        <v>0.217</v>
      </c>
      <c r="AB530" s="8" t="s">
        <v>19</v>
      </c>
    </row>
    <row r="531" spans="1:28">
      <c r="A531" s="5" t="s">
        <v>43</v>
      </c>
      <c r="B531" s="37" t="s">
        <v>244</v>
      </c>
      <c r="C531" s="53">
        <v>81</v>
      </c>
      <c r="D531" s="11">
        <v>20.6</v>
      </c>
      <c r="E531" s="8">
        <v>3.97</v>
      </c>
      <c r="F531" s="54">
        <v>323</v>
      </c>
      <c r="G531" s="9">
        <v>3.99</v>
      </c>
      <c r="H531" s="23">
        <f t="shared" si="43"/>
        <v>15.840300000000001</v>
      </c>
      <c r="I531" t="s">
        <v>30</v>
      </c>
      <c r="J531" s="11">
        <v>32.5</v>
      </c>
      <c r="K531" s="11">
        <v>8.9205555560000001</v>
      </c>
      <c r="L531" t="str">
        <f>VLOOKUP(B531,'[1]Plant data'!$A$1:$AB$315,2,0)</f>
        <v>Euphorbiaceae</v>
      </c>
      <c r="M531" s="9">
        <f>VLOOKUP($B531,'[1]Plant data'!$A$1:$AB$315,6,0)</f>
        <v>5.0250000000000004</v>
      </c>
      <c r="N531" s="9">
        <f>VLOOKUP($B531,'[1]Plant data'!$A$1:$AB$315,7,0)</f>
        <v>6.36</v>
      </c>
      <c r="O531" s="8">
        <f>VLOOKUP($B531,'[1]Plant data'!$A$1:$AB$315,10,0)</f>
        <v>0.08</v>
      </c>
      <c r="P531" s="8">
        <f>VLOOKUP($B531,'[1]Plant data'!$A$1:$AB$315,11,0)</f>
        <v>0.03</v>
      </c>
      <c r="Q531" s="8" t="str">
        <f>VLOOKUP($B531,'[1]Plant data'!$A$1:$AB$315,12,0)</f>
        <v>NA</v>
      </c>
      <c r="R531" s="8" t="str">
        <f>VLOOKUP($B531,'[1]Plant data'!$A$1:$AB$315,13,0)</f>
        <v>NA</v>
      </c>
      <c r="S531" s="8" t="str">
        <f>VLOOKUP($B531,'[1]Plant data'!$A$1:$AB$315,14,0)</f>
        <v>NA</v>
      </c>
      <c r="T531" s="11">
        <f>VLOOKUP($B531,'[1]Plant data'!$A$1:$AB$315,15,0)</f>
        <v>1.65</v>
      </c>
      <c r="U531" s="9">
        <f>VLOOKUP($B531,'[1]Plant data'!$A$1:$AB$315,19,0)</f>
        <v>0.40700000000000003</v>
      </c>
      <c r="V531" s="8">
        <f>VLOOKUP($B531,'[1]Plant data'!$A$1:$AB$315,20,0)</f>
        <v>0.68400000000000005</v>
      </c>
      <c r="W531" s="8">
        <f>VLOOKUP($B531,'[1]Plant data'!$A$1:$AB$315,21,0)</f>
        <v>7.5999999999999998E-2</v>
      </c>
      <c r="X531" s="8" t="str">
        <f>VLOOKUP($B531,'[1]Plant data'!$A$1:$AB$315,22,0)</f>
        <v>NA</v>
      </c>
      <c r="Y531" s="8" t="str">
        <f>VLOOKUP($B531,'[1]Plant data'!$A$1:$AB$315,23,0)</f>
        <v>NA</v>
      </c>
      <c r="Z531" s="8" t="str">
        <f>VLOOKUP($B531,'[1]Plant data'!$A$1:$AB$315,24,0)</f>
        <v>NA</v>
      </c>
      <c r="AA531" s="8">
        <f>VLOOKUP($B531,'[1]Plant data'!$A$1:$AB$315,25,0)</f>
        <v>0.217</v>
      </c>
      <c r="AB531" s="8" t="s">
        <v>19</v>
      </c>
    </row>
    <row r="532" spans="1:28">
      <c r="A532" s="5" t="s">
        <v>43</v>
      </c>
      <c r="B532" s="37" t="s">
        <v>244</v>
      </c>
      <c r="C532" s="53">
        <v>31</v>
      </c>
      <c r="D532" s="11">
        <v>12</v>
      </c>
      <c r="E532" s="8">
        <v>2.58</v>
      </c>
      <c r="F532" s="54">
        <v>77</v>
      </c>
      <c r="G532" s="9">
        <v>2.4838709677419355</v>
      </c>
      <c r="H532" s="23">
        <f t="shared" si="43"/>
        <v>6.4083870967741934</v>
      </c>
      <c r="I532" t="s">
        <v>30</v>
      </c>
      <c r="J532" s="11">
        <v>32.5</v>
      </c>
      <c r="K532" s="11">
        <v>8.9205555560000001</v>
      </c>
      <c r="L532" t="str">
        <f>VLOOKUP(B532,'[1]Plant data'!$A$1:$AB$315,2,0)</f>
        <v>Euphorbiaceae</v>
      </c>
      <c r="M532" s="9">
        <f>VLOOKUP($B532,'[1]Plant data'!$A$1:$AB$315,6,0)</f>
        <v>5.0250000000000004</v>
      </c>
      <c r="N532" s="9">
        <f>VLOOKUP($B532,'[1]Plant data'!$A$1:$AB$315,7,0)</f>
        <v>6.36</v>
      </c>
      <c r="O532" s="8">
        <f>VLOOKUP($B532,'[1]Plant data'!$A$1:$AB$315,10,0)</f>
        <v>0.08</v>
      </c>
      <c r="P532" s="8">
        <f>VLOOKUP($B532,'[1]Plant data'!$A$1:$AB$315,11,0)</f>
        <v>0.03</v>
      </c>
      <c r="Q532" s="8" t="str">
        <f>VLOOKUP($B532,'[1]Plant data'!$A$1:$AB$315,12,0)</f>
        <v>NA</v>
      </c>
      <c r="R532" s="8" t="str">
        <f>VLOOKUP($B532,'[1]Plant data'!$A$1:$AB$315,13,0)</f>
        <v>NA</v>
      </c>
      <c r="S532" s="8" t="str">
        <f>VLOOKUP($B532,'[1]Plant data'!$A$1:$AB$315,14,0)</f>
        <v>NA</v>
      </c>
      <c r="T532" s="11">
        <f>VLOOKUP($B532,'[1]Plant data'!$A$1:$AB$315,15,0)</f>
        <v>1.65</v>
      </c>
      <c r="U532" s="9">
        <f>VLOOKUP($B532,'[1]Plant data'!$A$1:$AB$315,19,0)</f>
        <v>0.40700000000000003</v>
      </c>
      <c r="V532" s="8">
        <f>VLOOKUP($B532,'[1]Plant data'!$A$1:$AB$315,20,0)</f>
        <v>0.68400000000000005</v>
      </c>
      <c r="W532" s="8">
        <f>VLOOKUP($B532,'[1]Plant data'!$A$1:$AB$315,21,0)</f>
        <v>7.5999999999999998E-2</v>
      </c>
      <c r="X532" s="8" t="str">
        <f>VLOOKUP($B532,'[1]Plant data'!$A$1:$AB$315,22,0)</f>
        <v>NA</v>
      </c>
      <c r="Y532" s="8" t="str">
        <f>VLOOKUP($B532,'[1]Plant data'!$A$1:$AB$315,23,0)</f>
        <v>NA</v>
      </c>
      <c r="Z532" s="8" t="str">
        <f>VLOOKUP($B532,'[1]Plant data'!$A$1:$AB$315,24,0)</f>
        <v>NA</v>
      </c>
      <c r="AA532" s="8">
        <f>VLOOKUP($B532,'[1]Plant data'!$A$1:$AB$315,25,0)</f>
        <v>0.217</v>
      </c>
      <c r="AB532" s="8" t="s">
        <v>19</v>
      </c>
    </row>
    <row r="533" spans="1:28">
      <c r="A533" s="5" t="s">
        <v>43</v>
      </c>
      <c r="B533" s="37" t="s">
        <v>244</v>
      </c>
      <c r="C533" s="53">
        <v>2</v>
      </c>
      <c r="D533" s="11">
        <f>12+9.5</f>
        <v>21.5</v>
      </c>
      <c r="E533" s="8">
        <f>C533/(12+9.5)</f>
        <v>9.3023255813953487E-2</v>
      </c>
      <c r="F533" s="54" t="s">
        <v>19</v>
      </c>
      <c r="G533" s="9">
        <v>2.9912903225806455</v>
      </c>
      <c r="H533" s="23">
        <f t="shared" si="43"/>
        <v>0.27825956489122283</v>
      </c>
      <c r="I533" t="s">
        <v>30</v>
      </c>
      <c r="J533" s="11">
        <v>32.5</v>
      </c>
      <c r="K533" s="11">
        <v>8.9205555560000001</v>
      </c>
      <c r="L533" t="str">
        <f>VLOOKUP(B533,'[1]Plant data'!$A$1:$AB$315,2,0)</f>
        <v>Euphorbiaceae</v>
      </c>
      <c r="M533" s="9">
        <f>VLOOKUP($B533,'[1]Plant data'!$A$1:$AB$315,6,0)</f>
        <v>5.0250000000000004</v>
      </c>
      <c r="N533" s="9">
        <f>VLOOKUP($B533,'[1]Plant data'!$A$1:$AB$315,7,0)</f>
        <v>6.36</v>
      </c>
      <c r="O533" s="8">
        <f>VLOOKUP($B533,'[1]Plant data'!$A$1:$AB$315,10,0)</f>
        <v>0.08</v>
      </c>
      <c r="P533" s="8">
        <f>VLOOKUP($B533,'[1]Plant data'!$A$1:$AB$315,11,0)</f>
        <v>0.03</v>
      </c>
      <c r="Q533" s="8" t="str">
        <f>VLOOKUP($B533,'[1]Plant data'!$A$1:$AB$315,12,0)</f>
        <v>NA</v>
      </c>
      <c r="R533" s="8" t="str">
        <f>VLOOKUP($B533,'[1]Plant data'!$A$1:$AB$315,13,0)</f>
        <v>NA</v>
      </c>
      <c r="S533" s="8" t="str">
        <f>VLOOKUP($B533,'[1]Plant data'!$A$1:$AB$315,14,0)</f>
        <v>NA</v>
      </c>
      <c r="T533" s="11">
        <f>VLOOKUP($B533,'[1]Plant data'!$A$1:$AB$315,15,0)</f>
        <v>1.65</v>
      </c>
      <c r="U533" s="9">
        <f>VLOOKUP($B533,'[1]Plant data'!$A$1:$AB$315,19,0)</f>
        <v>0.40700000000000003</v>
      </c>
      <c r="V533" s="8">
        <f>VLOOKUP($B533,'[1]Plant data'!$A$1:$AB$315,20,0)</f>
        <v>0.68400000000000005</v>
      </c>
      <c r="W533" s="8">
        <f>VLOOKUP($B533,'[1]Plant data'!$A$1:$AB$315,21,0)</f>
        <v>7.5999999999999998E-2</v>
      </c>
      <c r="X533" s="8" t="str">
        <f>VLOOKUP($B533,'[1]Plant data'!$A$1:$AB$315,22,0)</f>
        <v>NA</v>
      </c>
      <c r="Y533" s="8" t="str">
        <f>VLOOKUP($B533,'[1]Plant data'!$A$1:$AB$315,23,0)</f>
        <v>NA</v>
      </c>
      <c r="Z533" s="8" t="str">
        <f>VLOOKUP($B533,'[1]Plant data'!$A$1:$AB$315,24,0)</f>
        <v>NA</v>
      </c>
      <c r="AA533" s="8">
        <f>VLOOKUP($B533,'[1]Plant data'!$A$1:$AB$315,25,0)</f>
        <v>0.217</v>
      </c>
      <c r="AB533" s="8" t="s">
        <v>19</v>
      </c>
    </row>
    <row r="534" spans="1:28">
      <c r="A534" s="5" t="s">
        <v>46</v>
      </c>
      <c r="B534" s="40" t="s">
        <v>244</v>
      </c>
      <c r="C534" s="53">
        <v>4</v>
      </c>
      <c r="D534" s="11">
        <v>12</v>
      </c>
      <c r="E534" s="8">
        <v>0.33</v>
      </c>
      <c r="F534" s="54">
        <v>51</v>
      </c>
      <c r="G534" s="9">
        <v>12.75</v>
      </c>
      <c r="H534" s="23">
        <f t="shared" si="43"/>
        <v>4.2075000000000005</v>
      </c>
      <c r="I534" t="s">
        <v>47</v>
      </c>
      <c r="J534" s="11">
        <v>54</v>
      </c>
      <c r="K534" s="11">
        <v>11.14875</v>
      </c>
      <c r="L534" t="str">
        <f>VLOOKUP(B534,'[1]Plant data'!$A$1:$AB$315,2,0)</f>
        <v>Euphorbiaceae</v>
      </c>
      <c r="M534" s="9">
        <f>VLOOKUP($B534,'[1]Plant data'!$A$1:$AB$315,6,0)</f>
        <v>5.0250000000000004</v>
      </c>
      <c r="N534" s="9">
        <f>VLOOKUP($B534,'[1]Plant data'!$A$1:$AB$315,7,0)</f>
        <v>6.36</v>
      </c>
      <c r="O534" s="8">
        <f>VLOOKUP($B534,'[1]Plant data'!$A$1:$AB$315,10,0)</f>
        <v>0.08</v>
      </c>
      <c r="P534" s="8">
        <f>VLOOKUP($B534,'[1]Plant data'!$A$1:$AB$315,11,0)</f>
        <v>0.03</v>
      </c>
      <c r="Q534" s="8" t="str">
        <f>VLOOKUP($B534,'[1]Plant data'!$A$1:$AB$315,12,0)</f>
        <v>NA</v>
      </c>
      <c r="R534" s="8" t="str">
        <f>VLOOKUP($B534,'[1]Plant data'!$A$1:$AB$315,13,0)</f>
        <v>NA</v>
      </c>
      <c r="S534" s="8" t="str">
        <f>VLOOKUP($B534,'[1]Plant data'!$A$1:$AB$315,14,0)</f>
        <v>NA</v>
      </c>
      <c r="T534" s="11">
        <f>VLOOKUP($B534,'[1]Plant data'!$A$1:$AB$315,15,0)</f>
        <v>1.65</v>
      </c>
      <c r="U534" s="9">
        <f>VLOOKUP($B534,'[1]Plant data'!$A$1:$AB$315,19,0)</f>
        <v>0.40700000000000003</v>
      </c>
      <c r="V534" s="8">
        <f>VLOOKUP($B534,'[1]Plant data'!$A$1:$AB$315,20,0)</f>
        <v>0.68400000000000005</v>
      </c>
      <c r="W534" s="8">
        <f>VLOOKUP($B534,'[1]Plant data'!$A$1:$AB$315,21,0)</f>
        <v>7.5999999999999998E-2</v>
      </c>
      <c r="X534" s="8" t="str">
        <f>VLOOKUP($B534,'[1]Plant data'!$A$1:$AB$315,22,0)</f>
        <v>NA</v>
      </c>
      <c r="Y534" s="8" t="str">
        <f>VLOOKUP($B534,'[1]Plant data'!$A$1:$AB$315,23,0)</f>
        <v>NA</v>
      </c>
      <c r="Z534" s="8" t="str">
        <f>VLOOKUP($B534,'[1]Plant data'!$A$1:$AB$315,24,0)</f>
        <v>NA</v>
      </c>
      <c r="AA534" s="8">
        <f>VLOOKUP($B534,'[1]Plant data'!$A$1:$AB$315,25,0)</f>
        <v>0.217</v>
      </c>
      <c r="AB534" s="8" t="s">
        <v>19</v>
      </c>
    </row>
    <row r="535" spans="1:28">
      <c r="A535" s="5" t="s">
        <v>46</v>
      </c>
      <c r="B535" s="40" t="s">
        <v>244</v>
      </c>
      <c r="C535" s="53">
        <v>4</v>
      </c>
      <c r="D535" s="11">
        <v>20.6</v>
      </c>
      <c r="E535" s="8">
        <v>0.2</v>
      </c>
      <c r="F535" s="54">
        <v>40</v>
      </c>
      <c r="G535" s="9">
        <v>10</v>
      </c>
      <c r="H535" s="23">
        <f t="shared" si="43"/>
        <v>2</v>
      </c>
      <c r="I535" t="s">
        <v>47</v>
      </c>
      <c r="J535" s="11">
        <v>54</v>
      </c>
      <c r="K535" s="11">
        <v>11.14875</v>
      </c>
      <c r="L535" t="str">
        <f>VLOOKUP(B535,'[1]Plant data'!$A$1:$AB$315,2,0)</f>
        <v>Euphorbiaceae</v>
      </c>
      <c r="M535" s="9">
        <f>VLOOKUP($B535,'[1]Plant data'!$A$1:$AB$315,6,0)</f>
        <v>5.0250000000000004</v>
      </c>
      <c r="N535" s="9">
        <f>VLOOKUP($B535,'[1]Plant data'!$A$1:$AB$315,7,0)</f>
        <v>6.36</v>
      </c>
      <c r="O535" s="8">
        <f>VLOOKUP($B535,'[1]Plant data'!$A$1:$AB$315,10,0)</f>
        <v>0.08</v>
      </c>
      <c r="P535" s="8">
        <f>VLOOKUP($B535,'[1]Plant data'!$A$1:$AB$315,11,0)</f>
        <v>0.03</v>
      </c>
      <c r="Q535" s="8" t="str">
        <f>VLOOKUP($B535,'[1]Plant data'!$A$1:$AB$315,12,0)</f>
        <v>NA</v>
      </c>
      <c r="R535" s="8" t="str">
        <f>VLOOKUP($B535,'[1]Plant data'!$A$1:$AB$315,13,0)</f>
        <v>NA</v>
      </c>
      <c r="S535" s="8" t="str">
        <f>VLOOKUP($B535,'[1]Plant data'!$A$1:$AB$315,14,0)</f>
        <v>NA</v>
      </c>
      <c r="T535" s="11">
        <f>VLOOKUP($B535,'[1]Plant data'!$A$1:$AB$315,15,0)</f>
        <v>1.65</v>
      </c>
      <c r="U535" s="9">
        <f>VLOOKUP($B535,'[1]Plant data'!$A$1:$AB$315,19,0)</f>
        <v>0.40700000000000003</v>
      </c>
      <c r="V535" s="8">
        <f>VLOOKUP($B535,'[1]Plant data'!$A$1:$AB$315,20,0)</f>
        <v>0.68400000000000005</v>
      </c>
      <c r="W535" s="8">
        <f>VLOOKUP($B535,'[1]Plant data'!$A$1:$AB$315,21,0)</f>
        <v>7.5999999999999998E-2</v>
      </c>
      <c r="X535" s="8" t="str">
        <f>VLOOKUP($B535,'[1]Plant data'!$A$1:$AB$315,22,0)</f>
        <v>NA</v>
      </c>
      <c r="Y535" s="8" t="str">
        <f>VLOOKUP($B535,'[1]Plant data'!$A$1:$AB$315,23,0)</f>
        <v>NA</v>
      </c>
      <c r="Z535" s="8" t="str">
        <f>VLOOKUP($B535,'[1]Plant data'!$A$1:$AB$315,24,0)</f>
        <v>NA</v>
      </c>
      <c r="AA535" s="8">
        <f>VLOOKUP($B535,'[1]Plant data'!$A$1:$AB$315,25,0)</f>
        <v>0.217</v>
      </c>
      <c r="AB535" s="8" t="s">
        <v>19</v>
      </c>
    </row>
    <row r="536" spans="1:28">
      <c r="A536" s="5" t="s">
        <v>50</v>
      </c>
      <c r="B536" s="37" t="s">
        <v>244</v>
      </c>
      <c r="C536" s="53">
        <v>9</v>
      </c>
      <c r="D536" s="11">
        <v>12</v>
      </c>
      <c r="E536" s="8">
        <v>0.75</v>
      </c>
      <c r="F536" s="54">
        <v>97</v>
      </c>
      <c r="G536" s="9">
        <v>10.777777777777779</v>
      </c>
      <c r="H536" s="23">
        <f t="shared" si="43"/>
        <v>8.0833333333333339</v>
      </c>
      <c r="I536" t="s">
        <v>47</v>
      </c>
      <c r="J536" s="11">
        <v>69.5</v>
      </c>
      <c r="K536" s="11">
        <v>13.253214290000001</v>
      </c>
      <c r="L536" t="str">
        <f>VLOOKUP(B536,'[1]Plant data'!$A$1:$AB$315,2,0)</f>
        <v>Euphorbiaceae</v>
      </c>
      <c r="M536" s="9">
        <f>VLOOKUP($B536,'[1]Plant data'!$A$1:$AB$315,6,0)</f>
        <v>5.0250000000000004</v>
      </c>
      <c r="N536" s="9">
        <f>VLOOKUP($B536,'[1]Plant data'!$A$1:$AB$315,7,0)</f>
        <v>6.36</v>
      </c>
      <c r="O536" s="8">
        <f>VLOOKUP($B536,'[1]Plant data'!$A$1:$AB$315,10,0)</f>
        <v>0.08</v>
      </c>
      <c r="P536" s="8">
        <f>VLOOKUP($B536,'[1]Plant data'!$A$1:$AB$315,11,0)</f>
        <v>0.03</v>
      </c>
      <c r="Q536" s="8" t="str">
        <f>VLOOKUP($B536,'[1]Plant data'!$A$1:$AB$315,12,0)</f>
        <v>NA</v>
      </c>
      <c r="R536" s="8" t="str">
        <f>VLOOKUP($B536,'[1]Plant data'!$A$1:$AB$315,13,0)</f>
        <v>NA</v>
      </c>
      <c r="S536" s="8" t="str">
        <f>VLOOKUP($B536,'[1]Plant data'!$A$1:$AB$315,14,0)</f>
        <v>NA</v>
      </c>
      <c r="T536" s="11">
        <f>VLOOKUP($B536,'[1]Plant data'!$A$1:$AB$315,15,0)</f>
        <v>1.65</v>
      </c>
      <c r="U536" s="9">
        <f>VLOOKUP($B536,'[1]Plant data'!$A$1:$AB$315,19,0)</f>
        <v>0.40700000000000003</v>
      </c>
      <c r="V536" s="8">
        <f>VLOOKUP($B536,'[1]Plant data'!$A$1:$AB$315,20,0)</f>
        <v>0.68400000000000005</v>
      </c>
      <c r="W536" s="8">
        <f>VLOOKUP($B536,'[1]Plant data'!$A$1:$AB$315,21,0)</f>
        <v>7.5999999999999998E-2</v>
      </c>
      <c r="X536" s="8" t="str">
        <f>VLOOKUP($B536,'[1]Plant data'!$A$1:$AB$315,22,0)</f>
        <v>NA</v>
      </c>
      <c r="Y536" s="8" t="str">
        <f>VLOOKUP($B536,'[1]Plant data'!$A$1:$AB$315,23,0)</f>
        <v>NA</v>
      </c>
      <c r="Z536" s="8" t="str">
        <f>VLOOKUP($B536,'[1]Plant data'!$A$1:$AB$315,24,0)</f>
        <v>NA</v>
      </c>
      <c r="AA536" s="8">
        <f>VLOOKUP($B536,'[1]Plant data'!$A$1:$AB$315,25,0)</f>
        <v>0.217</v>
      </c>
      <c r="AB536" s="8" t="s">
        <v>19</v>
      </c>
    </row>
    <row r="537" spans="1:28">
      <c r="A537" s="5" t="s">
        <v>50</v>
      </c>
      <c r="B537" s="37" t="s">
        <v>244</v>
      </c>
      <c r="C537" s="53">
        <v>6</v>
      </c>
      <c r="D537" s="11">
        <f>12+9.5</f>
        <v>21.5</v>
      </c>
      <c r="E537" s="8">
        <f>C537/(12+9.5)</f>
        <v>0.27906976744186046</v>
      </c>
      <c r="F537" s="54" t="s">
        <v>19</v>
      </c>
      <c r="G537" s="9">
        <v>6.7308201058201051</v>
      </c>
      <c r="H537" s="23">
        <f t="shared" si="43"/>
        <v>1.8783684016242153</v>
      </c>
      <c r="I537" t="s">
        <v>47</v>
      </c>
      <c r="J537" s="11">
        <v>69.5</v>
      </c>
      <c r="K537" s="11">
        <v>13.253214290000001</v>
      </c>
      <c r="L537" t="str">
        <f>VLOOKUP(B537,'[1]Plant data'!$A$1:$AB$315,2,0)</f>
        <v>Euphorbiaceae</v>
      </c>
      <c r="M537" s="9">
        <f>VLOOKUP($B537,'[1]Plant data'!$A$1:$AB$315,6,0)</f>
        <v>5.0250000000000004</v>
      </c>
      <c r="N537" s="9">
        <f>VLOOKUP($B537,'[1]Plant data'!$A$1:$AB$315,7,0)</f>
        <v>6.36</v>
      </c>
      <c r="O537" s="8">
        <f>VLOOKUP($B537,'[1]Plant data'!$A$1:$AB$315,10,0)</f>
        <v>0.08</v>
      </c>
      <c r="P537" s="8">
        <f>VLOOKUP($B537,'[1]Plant data'!$A$1:$AB$315,11,0)</f>
        <v>0.03</v>
      </c>
      <c r="Q537" s="8" t="str">
        <f>VLOOKUP($B537,'[1]Plant data'!$A$1:$AB$315,12,0)</f>
        <v>NA</v>
      </c>
      <c r="R537" s="8" t="str">
        <f>VLOOKUP($B537,'[1]Plant data'!$A$1:$AB$315,13,0)</f>
        <v>NA</v>
      </c>
      <c r="S537" s="8" t="str">
        <f>VLOOKUP($B537,'[1]Plant data'!$A$1:$AB$315,14,0)</f>
        <v>NA</v>
      </c>
      <c r="T537" s="11">
        <f>VLOOKUP($B537,'[1]Plant data'!$A$1:$AB$315,15,0)</f>
        <v>1.65</v>
      </c>
      <c r="U537" s="9">
        <f>VLOOKUP($B537,'[1]Plant data'!$A$1:$AB$315,19,0)</f>
        <v>0.40700000000000003</v>
      </c>
      <c r="V537" s="8">
        <f>VLOOKUP($B537,'[1]Plant data'!$A$1:$AB$315,20,0)</f>
        <v>0.68400000000000005</v>
      </c>
      <c r="W537" s="8">
        <f>VLOOKUP($B537,'[1]Plant data'!$A$1:$AB$315,21,0)</f>
        <v>7.5999999999999998E-2</v>
      </c>
      <c r="X537" s="8" t="str">
        <f>VLOOKUP($B537,'[1]Plant data'!$A$1:$AB$315,22,0)</f>
        <v>NA</v>
      </c>
      <c r="Y537" s="8" t="str">
        <f>VLOOKUP($B537,'[1]Plant data'!$A$1:$AB$315,23,0)</f>
        <v>NA</v>
      </c>
      <c r="Z537" s="8" t="str">
        <f>VLOOKUP($B537,'[1]Plant data'!$A$1:$AB$315,24,0)</f>
        <v>NA</v>
      </c>
      <c r="AA537" s="8">
        <f>VLOOKUP($B537,'[1]Plant data'!$A$1:$AB$315,25,0)</f>
        <v>0.217</v>
      </c>
      <c r="AB537" s="8" t="s">
        <v>19</v>
      </c>
    </row>
    <row r="538" spans="1:28">
      <c r="A538" s="5" t="s">
        <v>41</v>
      </c>
      <c r="B538" s="40" t="s">
        <v>42</v>
      </c>
      <c r="C538" s="53">
        <v>4</v>
      </c>
      <c r="D538" s="58">
        <v>27.7</v>
      </c>
      <c r="E538" s="8">
        <f>C538/D538</f>
        <v>0.1444043321299639</v>
      </c>
      <c r="F538" s="54" t="s">
        <v>19</v>
      </c>
      <c r="G538" s="9" t="s">
        <v>19</v>
      </c>
      <c r="H538" s="23" t="s">
        <v>19</v>
      </c>
      <c r="I538" t="s">
        <v>30</v>
      </c>
      <c r="J538" s="11">
        <v>39</v>
      </c>
      <c r="K538" s="11">
        <v>8.2839869279999991</v>
      </c>
      <c r="L538" t="str">
        <f>VLOOKUP(B538,'[1]Plant data'!$A$1:$AB$315,2,0)</f>
        <v>Lamiaceae</v>
      </c>
      <c r="M538" s="9">
        <f>VLOOKUP($B538,'[1]Plant data'!$A$1:$AB$315,6,0)</f>
        <v>5.1875</v>
      </c>
      <c r="N538" s="9">
        <f>VLOOKUP($B538,'[1]Plant data'!$A$1:$AB$315,7,0)</f>
        <v>9.76</v>
      </c>
      <c r="O538" s="8">
        <f>VLOOKUP($B538,'[1]Plant data'!$A$1:$AB$315,10,0)</f>
        <v>0.16700000000000004</v>
      </c>
      <c r="P538" s="8" t="str">
        <f>VLOOKUP($B538,'[1]Plant data'!$A$1:$AB$315,11,0)</f>
        <v>NA</v>
      </c>
      <c r="Q538" s="8">
        <f>VLOOKUP($B538,'[1]Plant data'!$A$1:$AB$315,12,0)</f>
        <v>4.2200000000000001E-2</v>
      </c>
      <c r="R538" s="8">
        <f>VLOOKUP($B538,'[1]Plant data'!$A$1:$AB$315,13,0)</f>
        <v>9.180000000000002E-2</v>
      </c>
      <c r="S538" s="8">
        <f>VLOOKUP($B538,'[1]Plant data'!$A$1:$AB$315,14,0)</f>
        <v>4.2200000000000001E-2</v>
      </c>
      <c r="T538" s="11">
        <f>VLOOKUP($B538,'[1]Plant data'!$A$1:$AB$315,15,0)</f>
        <v>1</v>
      </c>
      <c r="U538" s="9" t="str">
        <f>VLOOKUP($B538,'[1]Plant data'!$A$1:$AB$315,19,0)</f>
        <v>NA</v>
      </c>
      <c r="V538" s="8">
        <f>VLOOKUP($B538,'[1]Plant data'!$A$1:$AB$315,20,0)</f>
        <v>8.7008017492702774E-2</v>
      </c>
      <c r="W538" s="8">
        <f>VLOOKUP($B538,'[1]Plant data'!$A$1:$AB$315,21,0)</f>
        <v>7.5690999999999994E-2</v>
      </c>
      <c r="X538" s="8">
        <f>VLOOKUP($B538,'[1]Plant data'!$A$1:$AB$315,22,0)</f>
        <v>0.10180344715883068</v>
      </c>
      <c r="Y538" s="8">
        <f>VLOOKUP($B538,'[1]Plant data'!$A$1:$AB$315,23,0)</f>
        <v>0.21479582528139882</v>
      </c>
      <c r="Z538" s="8" t="str">
        <f>VLOOKUP($B538,'[1]Plant data'!$A$1:$AB$315,24,0)</f>
        <v>NA</v>
      </c>
      <c r="AA538" s="8" t="str">
        <f>VLOOKUP($B538,'[1]Plant data'!$A$1:$AB$315,25,0)</f>
        <v>NA</v>
      </c>
      <c r="AB538" s="8">
        <f>SUMIF(X538:Y538,"&gt;0.00001")</f>
        <v>0.31659927244022951</v>
      </c>
    </row>
    <row r="539" spans="1:28">
      <c r="A539" s="5" t="s">
        <v>43</v>
      </c>
      <c r="B539" s="40" t="s">
        <v>42</v>
      </c>
      <c r="C539" s="53">
        <v>23</v>
      </c>
      <c r="D539" s="58">
        <v>27.7</v>
      </c>
      <c r="E539" s="8">
        <f>C539/D539</f>
        <v>0.83032490974729245</v>
      </c>
      <c r="F539" s="54" t="s">
        <v>19</v>
      </c>
      <c r="G539" s="9" t="s">
        <v>19</v>
      </c>
      <c r="H539" s="23" t="s">
        <v>19</v>
      </c>
      <c r="I539" t="s">
        <v>30</v>
      </c>
      <c r="J539" s="11">
        <v>32.5</v>
      </c>
      <c r="K539" s="11">
        <v>8.9205555560000001</v>
      </c>
      <c r="L539" t="str">
        <f>VLOOKUP(B539,'[1]Plant data'!$A$1:$AB$315,2,0)</f>
        <v>Lamiaceae</v>
      </c>
      <c r="M539" s="9">
        <f>VLOOKUP($B539,'[1]Plant data'!$A$1:$AB$315,6,0)</f>
        <v>5.1875</v>
      </c>
      <c r="N539" s="9">
        <f>VLOOKUP($B539,'[1]Plant data'!$A$1:$AB$315,7,0)</f>
        <v>9.76</v>
      </c>
      <c r="O539" s="8">
        <f>VLOOKUP($B539,'[1]Plant data'!$A$1:$AB$315,10,0)</f>
        <v>0.16700000000000004</v>
      </c>
      <c r="P539" s="8" t="str">
        <f>VLOOKUP($B539,'[1]Plant data'!$A$1:$AB$315,11,0)</f>
        <v>NA</v>
      </c>
      <c r="Q539" s="8">
        <f>VLOOKUP($B539,'[1]Plant data'!$A$1:$AB$315,12,0)</f>
        <v>4.2200000000000001E-2</v>
      </c>
      <c r="R539" s="8">
        <f>VLOOKUP($B539,'[1]Plant data'!$A$1:$AB$315,13,0)</f>
        <v>9.180000000000002E-2</v>
      </c>
      <c r="S539" s="8">
        <f>VLOOKUP($B539,'[1]Plant data'!$A$1:$AB$315,14,0)</f>
        <v>4.2200000000000001E-2</v>
      </c>
      <c r="T539" s="11">
        <f>VLOOKUP($B539,'[1]Plant data'!$A$1:$AB$315,15,0)</f>
        <v>1</v>
      </c>
      <c r="U539" s="9" t="str">
        <f>VLOOKUP($B539,'[1]Plant data'!$A$1:$AB$315,19,0)</f>
        <v>NA</v>
      </c>
      <c r="V539" s="8">
        <f>VLOOKUP($B539,'[1]Plant data'!$A$1:$AB$315,20,0)</f>
        <v>8.7008017492702774E-2</v>
      </c>
      <c r="W539" s="8">
        <f>VLOOKUP($B539,'[1]Plant data'!$A$1:$AB$315,21,0)</f>
        <v>7.5690999999999994E-2</v>
      </c>
      <c r="X539" s="8">
        <f>VLOOKUP($B539,'[1]Plant data'!$A$1:$AB$315,22,0)</f>
        <v>0.10180344715883068</v>
      </c>
      <c r="Y539" s="8">
        <f>VLOOKUP($B539,'[1]Plant data'!$A$1:$AB$315,23,0)</f>
        <v>0.21479582528139882</v>
      </c>
      <c r="Z539" s="8" t="str">
        <f>VLOOKUP($B539,'[1]Plant data'!$A$1:$AB$315,24,0)</f>
        <v>NA</v>
      </c>
      <c r="AA539" s="8" t="str">
        <f>VLOOKUP($B539,'[1]Plant data'!$A$1:$AB$315,25,0)</f>
        <v>NA</v>
      </c>
      <c r="AB539" s="8">
        <f>SUMIF(X539:Y539,"&gt;0.00001")</f>
        <v>0.31659927244022951</v>
      </c>
    </row>
    <row r="540" spans="1:28">
      <c r="A540" s="5" t="s">
        <v>46</v>
      </c>
      <c r="B540" s="40" t="s">
        <v>42</v>
      </c>
      <c r="C540" s="53">
        <v>11</v>
      </c>
      <c r="D540" s="58">
        <v>27.7</v>
      </c>
      <c r="E540" s="8">
        <f>C540/D540</f>
        <v>0.39711191335740076</v>
      </c>
      <c r="F540" s="54" t="s">
        <v>19</v>
      </c>
      <c r="G540" s="9" t="s">
        <v>19</v>
      </c>
      <c r="H540" s="23" t="s">
        <v>19</v>
      </c>
      <c r="I540" t="s">
        <v>47</v>
      </c>
      <c r="J540" s="11">
        <v>54</v>
      </c>
      <c r="K540" s="11">
        <v>11.14875</v>
      </c>
      <c r="L540" t="str">
        <f>VLOOKUP(B540,'[1]Plant data'!$A$1:$AB$315,2,0)</f>
        <v>Lamiaceae</v>
      </c>
      <c r="M540" s="9">
        <f>VLOOKUP($B540,'[1]Plant data'!$A$1:$AB$315,6,0)</f>
        <v>5.1875</v>
      </c>
      <c r="N540" s="9">
        <f>VLOOKUP($B540,'[1]Plant data'!$A$1:$AB$315,7,0)</f>
        <v>9.76</v>
      </c>
      <c r="O540" s="8">
        <f>VLOOKUP($B540,'[1]Plant data'!$A$1:$AB$315,10,0)</f>
        <v>0.16700000000000004</v>
      </c>
      <c r="P540" s="8" t="str">
        <f>VLOOKUP($B540,'[1]Plant data'!$A$1:$AB$315,11,0)</f>
        <v>NA</v>
      </c>
      <c r="Q540" s="8">
        <f>VLOOKUP($B540,'[1]Plant data'!$A$1:$AB$315,12,0)</f>
        <v>4.2200000000000001E-2</v>
      </c>
      <c r="R540" s="8">
        <f>VLOOKUP($B540,'[1]Plant data'!$A$1:$AB$315,13,0)</f>
        <v>9.180000000000002E-2</v>
      </c>
      <c r="S540" s="8">
        <f>VLOOKUP($B540,'[1]Plant data'!$A$1:$AB$315,14,0)</f>
        <v>4.2200000000000001E-2</v>
      </c>
      <c r="T540" s="11">
        <f>VLOOKUP($B540,'[1]Plant data'!$A$1:$AB$315,15,0)</f>
        <v>1</v>
      </c>
      <c r="U540" s="9" t="str">
        <f>VLOOKUP($B540,'[1]Plant data'!$A$1:$AB$315,19,0)</f>
        <v>NA</v>
      </c>
      <c r="V540" s="8">
        <f>VLOOKUP($B540,'[1]Plant data'!$A$1:$AB$315,20,0)</f>
        <v>8.7008017492702774E-2</v>
      </c>
      <c r="W540" s="8">
        <f>VLOOKUP($B540,'[1]Plant data'!$A$1:$AB$315,21,0)</f>
        <v>7.5690999999999994E-2</v>
      </c>
      <c r="X540" s="8">
        <f>VLOOKUP($B540,'[1]Plant data'!$A$1:$AB$315,22,0)</f>
        <v>0.10180344715883068</v>
      </c>
      <c r="Y540" s="8">
        <f>VLOOKUP($B540,'[1]Plant data'!$A$1:$AB$315,23,0)</f>
        <v>0.21479582528139882</v>
      </c>
      <c r="Z540" s="8" t="str">
        <f>VLOOKUP($B540,'[1]Plant data'!$A$1:$AB$315,24,0)</f>
        <v>NA</v>
      </c>
      <c r="AA540" s="8" t="str">
        <f>VLOOKUP($B540,'[1]Plant data'!$A$1:$AB$315,25,0)</f>
        <v>NA</v>
      </c>
      <c r="AB540" s="8">
        <f>SUMIF(X540:Y540,"&gt;0.00001")</f>
        <v>0.31659927244022951</v>
      </c>
    </row>
    <row r="541" spans="1:28">
      <c r="A541" s="5" t="s">
        <v>50</v>
      </c>
      <c r="B541" s="40" t="s">
        <v>42</v>
      </c>
      <c r="C541" s="53">
        <v>16</v>
      </c>
      <c r="D541" s="58">
        <v>27.7</v>
      </c>
      <c r="E541" s="8">
        <f>C541/D541</f>
        <v>0.57761732851985559</v>
      </c>
      <c r="F541" s="54" t="s">
        <v>19</v>
      </c>
      <c r="G541" s="9" t="s">
        <v>19</v>
      </c>
      <c r="H541" s="23" t="s">
        <v>19</v>
      </c>
      <c r="I541" s="16" t="s">
        <v>47</v>
      </c>
      <c r="J541" s="17">
        <v>69.5</v>
      </c>
      <c r="K541" s="17">
        <v>13.253214290000001</v>
      </c>
      <c r="L541" t="str">
        <f>VLOOKUP(B541,'[1]Plant data'!$A$1:$AB$315,2,0)</f>
        <v>Lamiaceae</v>
      </c>
      <c r="M541" s="9">
        <f>VLOOKUP($B541,'[1]Plant data'!$A$1:$AB$315,6,0)</f>
        <v>5.1875</v>
      </c>
      <c r="N541" s="9">
        <f>VLOOKUP($B541,'[1]Plant data'!$A$1:$AB$315,7,0)</f>
        <v>9.76</v>
      </c>
      <c r="O541" s="8">
        <f>VLOOKUP($B541,'[1]Plant data'!$A$1:$AB$315,10,0)</f>
        <v>0.16700000000000004</v>
      </c>
      <c r="P541" s="8" t="str">
        <f>VLOOKUP($B541,'[1]Plant data'!$A$1:$AB$315,11,0)</f>
        <v>NA</v>
      </c>
      <c r="Q541" s="8">
        <f>VLOOKUP($B541,'[1]Plant data'!$A$1:$AB$315,12,0)</f>
        <v>4.2200000000000001E-2</v>
      </c>
      <c r="R541" s="8">
        <f>VLOOKUP($B541,'[1]Plant data'!$A$1:$AB$315,13,0)</f>
        <v>9.180000000000002E-2</v>
      </c>
      <c r="S541" s="8">
        <f>VLOOKUP($B541,'[1]Plant data'!$A$1:$AB$315,14,0)</f>
        <v>4.2200000000000001E-2</v>
      </c>
      <c r="T541" s="11">
        <f>VLOOKUP($B541,'[1]Plant data'!$A$1:$AB$315,15,0)</f>
        <v>1</v>
      </c>
      <c r="U541" s="9" t="str">
        <f>VLOOKUP($B541,'[1]Plant data'!$A$1:$AB$315,19,0)</f>
        <v>NA</v>
      </c>
      <c r="V541" s="8">
        <f>VLOOKUP($B541,'[1]Plant data'!$A$1:$AB$315,20,0)</f>
        <v>8.7008017492702774E-2</v>
      </c>
      <c r="W541" s="8">
        <f>VLOOKUP($B541,'[1]Plant data'!$A$1:$AB$315,21,0)</f>
        <v>7.5690999999999994E-2</v>
      </c>
      <c r="X541" s="8">
        <f>VLOOKUP($B541,'[1]Plant data'!$A$1:$AB$315,22,0)</f>
        <v>0.10180344715883068</v>
      </c>
      <c r="Y541" s="8">
        <f>VLOOKUP($B541,'[1]Plant data'!$A$1:$AB$315,23,0)</f>
        <v>0.21479582528139882</v>
      </c>
      <c r="Z541" s="8" t="str">
        <f>VLOOKUP($B541,'[1]Plant data'!$A$1:$AB$315,24,0)</f>
        <v>NA</v>
      </c>
      <c r="AA541" s="8" t="str">
        <f>VLOOKUP($B541,'[1]Plant data'!$A$1:$AB$315,25,0)</f>
        <v>NA</v>
      </c>
      <c r="AB541" s="8">
        <f>SUMIF(X541:Y541,"&gt;0.00001")</f>
        <v>0.31659927244022951</v>
      </c>
    </row>
    <row r="542" spans="1:28">
      <c r="A542" s="5" t="s">
        <v>50</v>
      </c>
      <c r="B542" s="37" t="s">
        <v>150</v>
      </c>
      <c r="C542" s="53">
        <v>1</v>
      </c>
      <c r="D542" s="58">
        <v>250</v>
      </c>
      <c r="E542" s="8">
        <f>C542/250</f>
        <v>4.0000000000000001E-3</v>
      </c>
      <c r="F542" s="54" t="s">
        <v>19</v>
      </c>
      <c r="G542" s="9" t="s">
        <v>19</v>
      </c>
      <c r="H542" s="23" t="s">
        <v>19</v>
      </c>
      <c r="I542" t="s">
        <v>47</v>
      </c>
      <c r="J542" s="11">
        <v>69.5</v>
      </c>
      <c r="K542" s="11">
        <v>13.253214290000001</v>
      </c>
      <c r="L542" t="str">
        <f>VLOOKUP(B542,'[1]Plant data'!$A$1:$AB$315,2,0)</f>
        <v>Lamiaceae</v>
      </c>
      <c r="M542" s="9">
        <f>VLOOKUP($B542,'[1]Plant data'!$A$1:$AB$315,6,0)</f>
        <v>8</v>
      </c>
      <c r="N542" s="9">
        <f>VLOOKUP($B542,'[1]Plant data'!$A$1:$AB$315,7,0)</f>
        <v>9</v>
      </c>
      <c r="O542" s="8" t="str">
        <f>VLOOKUP($B542,'[1]Plant data'!$A$1:$AB$315,10,0)</f>
        <v>NA</v>
      </c>
      <c r="P542" s="8" t="str">
        <f>VLOOKUP($B542,'[1]Plant data'!$A$1:$AB$315,11,0)</f>
        <v>NA</v>
      </c>
      <c r="Q542" s="8" t="str">
        <f>VLOOKUP($B542,'[1]Plant data'!$A$1:$AB$315,12,0)</f>
        <v>NA</v>
      </c>
      <c r="R542" s="8" t="str">
        <f>VLOOKUP($B542,'[1]Plant data'!$A$1:$AB$315,13,0)</f>
        <v>NA</v>
      </c>
      <c r="S542" s="8" t="str">
        <f>VLOOKUP($B542,'[1]Plant data'!$A$1:$AB$315,14,0)</f>
        <v>NA</v>
      </c>
      <c r="T542" s="11" t="str">
        <f>VLOOKUP($B542,'[1]Plant data'!$A$1:$AB$315,15,0)</f>
        <v>NA</v>
      </c>
      <c r="U542" s="9" t="str">
        <f>VLOOKUP($B542,'[1]Plant data'!$A$1:$AB$315,19,0)</f>
        <v>NA</v>
      </c>
      <c r="V542" s="8" t="str">
        <f>VLOOKUP($B542,'[1]Plant data'!$A$1:$AB$315,20,0)</f>
        <v>NA</v>
      </c>
      <c r="W542" s="8" t="str">
        <f>VLOOKUP($B542,'[1]Plant data'!$A$1:$AB$315,21,0)</f>
        <v>NA</v>
      </c>
      <c r="X542" s="8" t="str">
        <f>VLOOKUP($B542,'[1]Plant data'!$A$1:$AB$315,22,0)</f>
        <v>NA</v>
      </c>
      <c r="Y542" s="8" t="str">
        <f>VLOOKUP($B542,'[1]Plant data'!$A$1:$AB$315,23,0)</f>
        <v>NA</v>
      </c>
      <c r="Z542" s="8" t="str">
        <f>VLOOKUP($B542,'[1]Plant data'!$A$1:$AB$315,24,0)</f>
        <v>NA</v>
      </c>
      <c r="AA542" s="8" t="str">
        <f>VLOOKUP($B542,'[1]Plant data'!$A$1:$AB$315,25,0)</f>
        <v>NA</v>
      </c>
      <c r="AB542" s="8" t="s">
        <v>19</v>
      </c>
    </row>
    <row r="543" spans="1:28">
      <c r="A543" s="5" t="s">
        <v>28</v>
      </c>
      <c r="B543" s="39" t="s">
        <v>81</v>
      </c>
      <c r="C543" s="53">
        <v>11</v>
      </c>
      <c r="D543" s="58">
        <v>18</v>
      </c>
      <c r="E543" s="8">
        <f>C543/D543</f>
        <v>0.61111111111111116</v>
      </c>
      <c r="F543" s="54">
        <v>19</v>
      </c>
      <c r="G543" s="9">
        <f>F543/C543</f>
        <v>1.7272727272727273</v>
      </c>
      <c r="H543" s="23">
        <f>E543*G543</f>
        <v>1.0555555555555556</v>
      </c>
      <c r="I543" t="s">
        <v>30</v>
      </c>
      <c r="J543" s="11">
        <v>18</v>
      </c>
      <c r="K543" s="11">
        <v>7.4188405800000004</v>
      </c>
      <c r="L543" t="str">
        <f>VLOOKUP(B543,'[1]Plant data'!$A$1:$AB$315,2,0)</f>
        <v>Solanaceae</v>
      </c>
      <c r="M543" s="9">
        <f>VLOOKUP($B543,'[1]Plant data'!$A$1:$AB$315,6,0)</f>
        <v>6.05</v>
      </c>
      <c r="N543" s="9">
        <f>VLOOKUP($B543,'[1]Plant data'!$A$1:$AB$315,7,0)</f>
        <v>6.27</v>
      </c>
      <c r="O543" s="8">
        <f>VLOOKUP($B543,'[1]Plant data'!$A$1:$AB$315,10,0)</f>
        <v>0.15</v>
      </c>
      <c r="P543" s="8" t="str">
        <f>VLOOKUP($B543,'[1]Plant data'!$A$1:$AB$315,11,0)</f>
        <v>NA</v>
      </c>
      <c r="Q543" s="8">
        <f>VLOOKUP($B543,'[1]Plant data'!$A$1:$AB$315,12,0)</f>
        <v>8.5000000000000006E-2</v>
      </c>
      <c r="R543" s="8" t="str">
        <f>VLOOKUP($B543,'[1]Plant data'!$A$1:$AB$315,13,0)</f>
        <v>NA</v>
      </c>
      <c r="S543" s="8" t="str">
        <f>VLOOKUP($B543,'[1]Plant data'!$A$1:$AB$315,14,0)</f>
        <v>NA</v>
      </c>
      <c r="T543" s="11">
        <f>VLOOKUP($B543,'[1]Plant data'!$A$1:$AB$315,15,0)</f>
        <v>12.7</v>
      </c>
      <c r="U543" s="9">
        <f>VLOOKUP($B543,'[1]Plant data'!$A$1:$AB$315,19,0)</f>
        <v>0.82</v>
      </c>
      <c r="V543" s="8">
        <f>VLOOKUP($B543,'[1]Plant data'!$A$1:$AB$315,20,0)</f>
        <v>0.04</v>
      </c>
      <c r="W543" s="8">
        <f>VLOOKUP($B543,'[1]Plant data'!$A$1:$AB$315,21,0)</f>
        <v>7.9000000000000001E-2</v>
      </c>
      <c r="X543" s="8" t="str">
        <f>VLOOKUP($B543,'[1]Plant data'!$A$1:$AB$315,22,0)</f>
        <v>NA</v>
      </c>
      <c r="Y543" s="8" t="str">
        <f>VLOOKUP($B543,'[1]Plant data'!$A$1:$AB$315,23,0)</f>
        <v>NA</v>
      </c>
      <c r="Z543" s="8">
        <f>VLOOKUP($B543,'[1]Plant data'!$A$1:$AB$315,24,0)</f>
        <v>0.48299999999999998</v>
      </c>
      <c r="AA543" s="8" t="str">
        <f>VLOOKUP($B543,'[1]Plant data'!$A$1:$AB$315,25,0)</f>
        <v>NA</v>
      </c>
      <c r="AB543" s="8" t="s">
        <v>19</v>
      </c>
    </row>
    <row r="544" spans="1:28">
      <c r="A544" s="5" t="s">
        <v>43</v>
      </c>
      <c r="B544" s="14" t="s">
        <v>81</v>
      </c>
      <c r="C544" s="53">
        <v>9</v>
      </c>
      <c r="D544" s="58">
        <v>18</v>
      </c>
      <c r="E544" s="8">
        <f>C544/18</f>
        <v>0.5</v>
      </c>
      <c r="F544" s="54">
        <v>11</v>
      </c>
      <c r="G544" s="9">
        <f>F544/C544</f>
        <v>1.2222222222222223</v>
      </c>
      <c r="H544" s="23">
        <f>E544*G544</f>
        <v>0.61111111111111116</v>
      </c>
      <c r="I544" t="s">
        <v>30</v>
      </c>
      <c r="J544" s="11">
        <v>32.5</v>
      </c>
      <c r="K544" s="11">
        <v>8.9205555560000001</v>
      </c>
      <c r="L544" t="str">
        <f>VLOOKUP(B544,'[1]Plant data'!$A$1:$AB$315,2,0)</f>
        <v>Solanaceae</v>
      </c>
      <c r="M544" s="9">
        <f>VLOOKUP($B544,'[1]Plant data'!$A$1:$AB$315,6,0)</f>
        <v>6.05</v>
      </c>
      <c r="N544" s="9">
        <f>VLOOKUP($B544,'[1]Plant data'!$A$1:$AB$315,7,0)</f>
        <v>6.27</v>
      </c>
      <c r="O544" s="8">
        <f>VLOOKUP($B544,'[1]Plant data'!$A$1:$AB$315,10,0)</f>
        <v>0.15</v>
      </c>
      <c r="P544" s="8" t="str">
        <f>VLOOKUP($B544,'[1]Plant data'!$A$1:$AB$315,11,0)</f>
        <v>NA</v>
      </c>
      <c r="Q544" s="8">
        <f>VLOOKUP($B544,'[1]Plant data'!$A$1:$AB$315,12,0)</f>
        <v>8.5000000000000006E-2</v>
      </c>
      <c r="R544" s="8" t="str">
        <f>VLOOKUP($B544,'[1]Plant data'!$A$1:$AB$315,13,0)</f>
        <v>NA</v>
      </c>
      <c r="S544" s="8" t="str">
        <f>VLOOKUP($B544,'[1]Plant data'!$A$1:$AB$315,14,0)</f>
        <v>NA</v>
      </c>
      <c r="T544" s="11">
        <f>VLOOKUP($B544,'[1]Plant data'!$A$1:$AB$315,15,0)</f>
        <v>12.7</v>
      </c>
      <c r="U544" s="9">
        <f>VLOOKUP($B544,'[1]Plant data'!$A$1:$AB$315,19,0)</f>
        <v>0.82</v>
      </c>
      <c r="V544" s="8">
        <f>VLOOKUP($B544,'[1]Plant data'!$A$1:$AB$315,20,0)</f>
        <v>0.04</v>
      </c>
      <c r="W544" s="8">
        <f>VLOOKUP($B544,'[1]Plant data'!$A$1:$AB$315,21,0)</f>
        <v>7.9000000000000001E-2</v>
      </c>
      <c r="X544" s="8" t="str">
        <f>VLOOKUP($B544,'[1]Plant data'!$A$1:$AB$315,22,0)</f>
        <v>NA</v>
      </c>
      <c r="Y544" s="8" t="str">
        <f>VLOOKUP($B544,'[1]Plant data'!$A$1:$AB$315,23,0)</f>
        <v>NA</v>
      </c>
      <c r="Z544" s="8">
        <f>VLOOKUP($B544,'[1]Plant data'!$A$1:$AB$315,24,0)</f>
        <v>0.48299999999999998</v>
      </c>
      <c r="AA544" s="8" t="str">
        <f>VLOOKUP($B544,'[1]Plant data'!$A$1:$AB$315,25,0)</f>
        <v>NA</v>
      </c>
      <c r="AB544" s="8" t="s">
        <v>19</v>
      </c>
    </row>
  </sheetData>
  <sortState ref="A2:AB543">
    <sortCondition descending="1" ref="B470"/>
  </sortState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ALL</vt:lpstr>
      <vt:lpstr>SELECTED VARIABLES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cp:lastPrinted>2017-07-17T18:12:35Z</cp:lastPrinted>
  <dcterms:created xsi:type="dcterms:W3CDTF">2017-06-07T09:54:26Z</dcterms:created>
  <dcterms:modified xsi:type="dcterms:W3CDTF">2017-07-17T18:12:44Z</dcterms:modified>
</cp:coreProperties>
</file>